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FERC-REG\FERC\FERC Contract &amp; Cost Analysis\2018 FERC Rate Case (Formula 6th True Up) TO12\6-Jun 15-Draft Informational Filing\Sharepoint Workpapers\"/>
    </mc:Choice>
  </mc:AlternateContent>
  <bookViews>
    <workbookView xWindow="0" yWindow="0" windowWidth="25200" windowHeight="11085"/>
  </bookViews>
  <sheets>
    <sheet name="One Time Adj Explanation" sheetId="100" r:id="rId1"/>
    <sheet name="WP-Total Adj with Int" sheetId="86" r:id="rId2"/>
    <sheet name="WP-2012 True Up TRR Adj" sheetId="130" r:id="rId3"/>
    <sheet name="WP-2012 Sch4-TUTRR" sheetId="147" r:id="rId4"/>
    <sheet name="WP-2012 Sch5-ROR-1" sheetId="149" r:id="rId5"/>
    <sheet name="WP-2012 Sch5-ROR-2" sheetId="148" r:id="rId6"/>
    <sheet name="WP-2012 Sch7-PlantStudy" sheetId="141" r:id="rId7"/>
    <sheet name="WP-2012 Sch10-CWIP" sheetId="142" r:id="rId8"/>
    <sheet name="WP-2012 Sch20-AandG" sheetId="143" r:id="rId9"/>
    <sheet name="WP-2012 Sch27-Allocators" sheetId="144" r:id="rId10"/>
    <sheet name="WP-2013 True Up TRR Adj" sheetId="101" r:id="rId11"/>
    <sheet name="WP-2013 Sch4-TUTRR" sheetId="150" r:id="rId12"/>
    <sheet name="WP-2013 Sch5-ROR-1" sheetId="151" r:id="rId13"/>
    <sheet name="WP-2013 Sch5-ROR-2" sheetId="152" r:id="rId14"/>
    <sheet name="WP-2013 Sch6-PlantInService" sheetId="153" r:id="rId15"/>
    <sheet name="WP-2013 Sch7-PlantStudy" sheetId="154" r:id="rId16"/>
    <sheet name="WP-2013 Sch8-AccDep" sheetId="155" r:id="rId17"/>
    <sheet name="WP-2013 Sch10-CWIP" sheetId="156" r:id="rId18"/>
    <sheet name="WP-2013 Sch14-IncentivePlant" sheetId="157" r:id="rId19"/>
    <sheet name="WP-2013 Sch20-AandG" sheetId="158" r:id="rId20"/>
    <sheet name="WP-2013 Sch27-Allocators" sheetId="159" r:id="rId21"/>
    <sheet name="WP-2014 True Up TRR Adj" sheetId="106" r:id="rId22"/>
    <sheet name="WP-2014 Sch4-TUTRR" sheetId="161" r:id="rId23"/>
    <sheet name="WP-2014 Sch5-ROR-1" sheetId="162" r:id="rId24"/>
    <sheet name="WP-2014 Sch5-ROR-2" sheetId="163" r:id="rId25"/>
    <sheet name="WP-2014 Sch6-PlantInService" sheetId="164" r:id="rId26"/>
    <sheet name="WP-2014 Sch7-PlantStudy" sheetId="165" r:id="rId27"/>
    <sheet name="WP-2014 Sch8-AccDep" sheetId="166" r:id="rId28"/>
    <sheet name="WP-2014 Sch14-IncentivePlant" sheetId="167" r:id="rId29"/>
    <sheet name="WP-2014 Sch20-AandG" sheetId="168" r:id="rId30"/>
    <sheet name="WP-2014 Sch27-Allocators" sheetId="169" r:id="rId31"/>
    <sheet name="WP-2015 True Up TRR Adj" sheetId="139" r:id="rId32"/>
    <sheet name="WP-2015 Sch4-TUTRR" sheetId="171" r:id="rId33"/>
    <sheet name="WP-2015 Sch5-ROR-1" sheetId="172" r:id="rId34"/>
    <sheet name="WP-2015 Sch5-ROR-2" sheetId="173" r:id="rId35"/>
    <sheet name="WP-2015 Sch6-PlantInService" sheetId="174" r:id="rId36"/>
    <sheet name="WP-2015 Sch7-PlantStudy" sheetId="175" r:id="rId37"/>
    <sheet name="WP-2015 Sch8-AccDep" sheetId="176" r:id="rId38"/>
    <sheet name="WP-2015 Sch14-IncentivePlant" sheetId="177" r:id="rId39"/>
    <sheet name="WP-2015 Sch20-AandG" sheetId="178" r:id="rId40"/>
    <sheet name="WP-2015 Sch27-Allocators" sheetId="179" r:id="rId41"/>
  </sheets>
  <externalReferences>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s>
  <definedNames>
    <definedName name="_Alt2007" localSheetId="31">#REF!</definedName>
    <definedName name="_Alt2007">#REF!</definedName>
    <definedName name="_Apr06" localSheetId="31">#REF!</definedName>
    <definedName name="_Apr06">#REF!</definedName>
    <definedName name="_F100040">'[1]EIX Cost Centers'!$A$1:$B$33</definedName>
    <definedName name="_Feb06" localSheetId="31">#REF!</definedName>
    <definedName name="_Feb06">#REF!</definedName>
    <definedName name="_Fill" localSheetId="31" hidden="1">#REF!</definedName>
    <definedName name="_Fill" hidden="1">#REF!</definedName>
    <definedName name="_May06" localSheetId="31">#REF!</definedName>
    <definedName name="_May06">#REF!</definedName>
    <definedName name="_Nov05" localSheetId="31">#REF!</definedName>
    <definedName name="_Nov05">#REF!</definedName>
    <definedName name="_Order1" hidden="1">255</definedName>
    <definedName name="_Order2" hidden="1">255</definedName>
    <definedName name="_SO2" localSheetId="31">#REF!</definedName>
    <definedName name="_SO2">#REF!</definedName>
    <definedName name="_SO4" localSheetId="31">#REF!</definedName>
    <definedName name="_SO4">#REF!</definedName>
    <definedName name="Active" localSheetId="31">#REF!</definedName>
    <definedName name="Active">#REF!</definedName>
    <definedName name="AltForecast" localSheetId="31">#REF!</definedName>
    <definedName name="AltForecast">#REF!</definedName>
    <definedName name="Assets" localSheetId="31">'[2]GL Master Data lookup'!#REF!</definedName>
    <definedName name="Assets">'[2]GL Master Data lookup'!#REF!</definedName>
    <definedName name="Basis_Point" localSheetId="31">#REF!</definedName>
    <definedName name="Basis_Point">#REF!</definedName>
    <definedName name="Basis_Prices_Upload_Date">[3]Check!$B$29</definedName>
    <definedName name="Basis_Web_Query">[4]BasisPrices!$B$29</definedName>
    <definedName name="BHV" localSheetId="31">#REF!</definedName>
    <definedName name="BHV">#REF!</definedName>
    <definedName name="Bio" localSheetId="31">#REF!</definedName>
    <definedName name="Bio">#REF!</definedName>
    <definedName name="BLOCK" localSheetId="31">#REF!</definedName>
    <definedName name="BLOCK">#REF!</definedName>
    <definedName name="BLOCKPOSTING" localSheetId="31">#REF!</definedName>
    <definedName name="BLOCKPOSTING">#REF!</definedName>
    <definedName name="Calc_implied_vol">[4]Volatility!$B$31</definedName>
    <definedName name="Clearing_House_deals_MTM_PT___Current_Month" localSheetId="31">#REF!</definedName>
    <definedName name="Clearing_House_deals_MTM_PT___Current_Month">#REF!</definedName>
    <definedName name="Cogen" localSheetId="31">#REF!</definedName>
    <definedName name="Cogen">#REF!</definedName>
    <definedName name="Convert_price">[4]PowerPrices!$B$64</definedName>
    <definedName name="Copy_Brkr_Quotes">[4]PowerPrices!$B$61</definedName>
    <definedName name="Create_Nuc_Basis">[4]BasisPrices!$B$30</definedName>
    <definedName name="Create_Nuc_Futs">[4]FuturePrices!$B$35</definedName>
    <definedName name="Create_Nuc_IR">[4]InterestRates!$B$27</definedName>
    <definedName name="Create_Nuc_Pwr">[4]PowerPrices!$B$65</definedName>
    <definedName name="Create_Nuc_Vol">[4]Volatility!$B$32</definedName>
    <definedName name="CRR_PT2" localSheetId="31">#REF!</definedName>
    <definedName name="CRR_PT2">#REF!</definedName>
    <definedName name="CRR_SD_1" localSheetId="31">#REF!</definedName>
    <definedName name="CRR_SD_1">#REF!</definedName>
    <definedName name="CRR_SD_2" localSheetId="31">#REF!</definedName>
    <definedName name="CRR_SD_2">#REF!</definedName>
    <definedName name="CRR_ST_PT2" localSheetId="31">#REF!</definedName>
    <definedName name="CRR_ST_PT2">#REF!</definedName>
    <definedName name="CurrentMonth" localSheetId="31">#REF!</definedName>
    <definedName name="CurrentMonth">#REF!</definedName>
    <definedName name="CurrentMTMDate">[5]Clearinghouse_Fuel_Suppliers.xl!$B$4</definedName>
    <definedName name="CurrentQtrEnd">'[6]Input And Prices'!$C$4</definedName>
    <definedName name="DaysForward">'[4]Calpine Renewable Cntrct  MTM'!$K$81</definedName>
    <definedName name="DWR_End_Row" localSheetId="31">#REF!</definedName>
    <definedName name="DWR_End_Row">#REF!</definedName>
    <definedName name="DWR_Start_Row" localSheetId="31">#REF!</definedName>
    <definedName name="DWR_Start_Row">#REF!</definedName>
    <definedName name="Effective_date">'[4]Calpine Renewable Cntrct  MTM'!$L$81</definedName>
    <definedName name="EIX_10k" localSheetId="31">#REF!</definedName>
    <definedName name="EIX_10k">#REF!</definedName>
    <definedName name="EIX_10K_DET_M" localSheetId="31">#REF!</definedName>
    <definedName name="EIX_10K_DET_M">#REF!</definedName>
    <definedName name="EIX_10K_DET_T" localSheetId="31">#REF!</definedName>
    <definedName name="EIX_10K_DET_T">#REF!</definedName>
    <definedName name="EIX_10K_DETAIL" localSheetId="31">#REF!</definedName>
    <definedName name="EIX_10K_DETAIL">#REF!</definedName>
    <definedName name="EIX_10K_M" localSheetId="31">#REF!</definedName>
    <definedName name="EIX_10K_M">#REF!</definedName>
    <definedName name="EIX_10k_t" localSheetId="31">#REF!</definedName>
    <definedName name="EIX_10k_t">#REF!</definedName>
    <definedName name="EIX_10K_WK_CURR" localSheetId="31">[7]WS!#REF!</definedName>
    <definedName name="EIX_10K_WK_CURR">[7]WS!#REF!</definedName>
    <definedName name="EIX_10K_WK_JAN1" localSheetId="31">#REF!</definedName>
    <definedName name="EIX_10K_WK_JAN1">#REF!</definedName>
    <definedName name="EIX_10k_WK_LASTMO" localSheetId="31">#REF!</definedName>
    <definedName name="EIX_10k_WK_LASTMO">#REF!</definedName>
    <definedName name="EIX_WS" localSheetId="31">[7]WS!#REF!</definedName>
    <definedName name="EIX_WS">[7]WS!#REF!</definedName>
    <definedName name="eixytd" localSheetId="31">#REF!</definedName>
    <definedName name="eixytd">#REF!</definedName>
    <definedName name="ENTRYNODE" localSheetId="31">#REF!</definedName>
    <definedName name="ENTRYNODE">#REF!</definedName>
    <definedName name="EOptns_Term_Sch_Point" localSheetId="31">#REF!</definedName>
    <definedName name="EOptns_Term_Sch_Point">#REF!</definedName>
    <definedName name="Equity" localSheetId="31">'[2]GL Master Data lookup'!#REF!</definedName>
    <definedName name="Equity">'[2]GL Master Data lookup'!#REF!</definedName>
    <definedName name="Escalation_Rate" localSheetId="31">#REF!</definedName>
    <definedName name="Escalation_Rate">#REF!</definedName>
    <definedName name="FERC" localSheetId="31">#REF!</definedName>
    <definedName name="FERC">#REF!</definedName>
    <definedName name="FERC_Map">'[2]CARS to FERC Map'!$A$2:$B$2339</definedName>
    <definedName name="Format_Quotes">[4]PowerPrices!$B$62</definedName>
    <definedName name="FSD" localSheetId="31">#REF!</definedName>
    <definedName name="FSD">#REF!</definedName>
    <definedName name="Fut_Point" localSheetId="31">#REF!</definedName>
    <definedName name="Fut_Point">#REF!</definedName>
    <definedName name="Futs_Web_Query">[4]FuturePrices!$B$34</definedName>
    <definedName name="Futures_Prices_Upload_Date">[3]Check!$B$28</definedName>
    <definedName name="Gas" localSheetId="31">#REF!</definedName>
    <definedName name="Gas">#REF!</definedName>
    <definedName name="Gas_Fin_Non_Options" localSheetId="31">#REF!</definedName>
    <definedName name="Gas_Fin_Non_Options">#REF!</definedName>
    <definedName name="Gas_NOpt_PT_1" localSheetId="31">#REF!</definedName>
    <definedName name="Gas_NOpt_PT_1">#REF!</definedName>
    <definedName name="Gas_NOpt_PT_2" localSheetId="31">#REF!</definedName>
    <definedName name="Gas_NOpt_PT_2">#REF!</definedName>
    <definedName name="Gas_NOpt_PT_3" localSheetId="31">#REF!</definedName>
    <definedName name="Gas_NOpt_PT_3">#REF!</definedName>
    <definedName name="Gas_NOpt_PT_Source_1" localSheetId="31">#REF!</definedName>
    <definedName name="Gas_NOpt_PT_Source_1">#REF!</definedName>
    <definedName name="Gas_NOpt_PT_Source_2" localSheetId="31">#REF!</definedName>
    <definedName name="Gas_NOpt_PT_Source_2">#REF!</definedName>
    <definedName name="Geo" localSheetId="31">#REF!</definedName>
    <definedName name="Geo">#REF!</definedName>
    <definedName name="HD" localSheetId="31">#REF!</definedName>
    <definedName name="HD">#REF!</definedName>
    <definedName name="Henry_Hub_Swap">[3]FuturePrices!$R$562:$U$600</definedName>
    <definedName name="HISTORICDOLLAR" localSheetId="31">#REF!</definedName>
    <definedName name="HISTORICDOLLAR">#REF!</definedName>
    <definedName name="Hydro" localSheetId="31">#REF!</definedName>
    <definedName name="Hydro">#REF!</definedName>
    <definedName name="Interest_Rates_Upload_Date">[3]Check!$B$30</definedName>
    <definedName name="IR_Web_Query">[4]InterestRates!$B$26</definedName>
    <definedName name="ITEMTYPE" localSheetId="31">#REF!</definedName>
    <definedName name="ITEMTYPE">#REF!</definedName>
    <definedName name="Level" localSheetId="31">#REF!</definedName>
    <definedName name="Level">#REF!</definedName>
    <definedName name="Liab" localSheetId="31">'[2]GL Master Data lookup'!#REF!</definedName>
    <definedName name="Liab">'[2]GL Master Data lookup'!#REF!</definedName>
    <definedName name="List_1st_nearby">[4]Volatility!$B$28</definedName>
    <definedName name="List_2nd_nearby">[4]Volatility!$B$29</definedName>
    <definedName name="List_3rd_nearby">[4]Volatility!$B$30</definedName>
    <definedName name="Load_Flag" localSheetId="31">#REF!</definedName>
    <definedName name="Load_Flag">#REF!</definedName>
    <definedName name="MonthList">[5]Clearinghouse_Fuel_Suppliers.xl!$AH$1:$AH$12</definedName>
    <definedName name="MS.CreatedAt" hidden="1">"30.06.1998 11:53:43"</definedName>
    <definedName name="MS.CreatedBy" hidden="1">"JMA"</definedName>
    <definedName name="MS.ModifiedAt" hidden="1">"20.04.1999 10:43:12"</definedName>
    <definedName name="MS.ModifiedBy" hidden="1">"RL"</definedName>
    <definedName name="MS.Version" hidden="1">"1.0.2"</definedName>
    <definedName name="MTM_Calculation_of_Calpine_QF_Contract">'[3]Calpine Renewable Cntrct  MTM'!$1:$11</definedName>
    <definedName name="MTM_Summary_Compare" localSheetId="31">#REF!</definedName>
    <definedName name="MTM_Summary_Compare">#REF!</definedName>
    <definedName name="NEG" localSheetId="31">#REF!</definedName>
    <definedName name="NEG">#REF!</definedName>
    <definedName name="new" hidden="1">{#N/A,#N/A,TRUE,"Section6";#N/A,#N/A,TRUE,"OHcycles";#N/A,#N/A,TRUE,"OHtiming";#N/A,#N/A,TRUE,"OHcosts";#N/A,#N/A,TRUE,"GTdegradation";#N/A,#N/A,TRUE,"GTperformance";#N/A,#N/A,TRUE,"GraphEquip"}</definedName>
    <definedName name="Next_Month" localSheetId="31">#REF!</definedName>
    <definedName name="Next_Month">#REF!</definedName>
    <definedName name="NoContamSystems">SUM('[8]Facility Technical Data'!$C$11:$C$12)</definedName>
    <definedName name="OOR" localSheetId="31">'[2]GL Master Data lookup'!#REF!</definedName>
    <definedName name="OOR">'[2]GL Master Data lookup'!#REF!</definedName>
    <definedName name="Op_Exp" localSheetId="31">'[2]GL Master Data lookup'!#REF!</definedName>
    <definedName name="Op_Exp">'[2]GL Master Data lookup'!#REF!</definedName>
    <definedName name="OracleUploadDate">[9]Renewable!$I$1</definedName>
    <definedName name="ord">'[10]Master Data'!$B$1:$T$118</definedName>
    <definedName name="P_L" localSheetId="31">'[2]GL Master Data lookup'!#REF!</definedName>
    <definedName name="P_L">'[2]GL Master Data lookup'!#REF!</definedName>
    <definedName name="Past_Cash" localSheetId="31">'[2]GL Master Data lookup'!#REF!</definedName>
    <definedName name="Past_Cash">'[2]GL Master Data lookup'!#REF!</definedName>
    <definedName name="PivotTablePoint" localSheetId="31">#REF!</definedName>
    <definedName name="PivotTablePoint">#REF!</definedName>
    <definedName name="Posting_Keys" localSheetId="31">#REF!</definedName>
    <definedName name="Posting_Keys">#REF!</definedName>
    <definedName name="Power" localSheetId="31">#REF!</definedName>
    <definedName name="Power">#REF!</definedName>
    <definedName name="Power_Prices_Upload_Date">[3]Check!$B$27</definedName>
    <definedName name="Pricelist">'[3]Calpine Renewable Cntrct  MTM'!$AU$15:$AU$20</definedName>
    <definedName name="PriceListDec_01_2003">'[3]WME WIP'!$AX$22:$AX$27</definedName>
    <definedName name="PriceListOct_30_2003">'[3]MWD WIP'!$AX$22:$AX$27</definedName>
    <definedName name="_xlnm.Print_Area" localSheetId="0">'One Time Adj Explanation'!$A$1:$F$62</definedName>
    <definedName name="_xlnm.Print_Area" localSheetId="7">'WP-2012 Sch10-CWIP'!$A$1:$K$412</definedName>
    <definedName name="_xlnm.Print_Area" localSheetId="8">'WP-2012 Sch20-AandG'!$A$1:$J$112</definedName>
    <definedName name="_xlnm.Print_Area" localSheetId="9">'WP-2012 Sch27-Allocators'!$A$1:$K$126</definedName>
    <definedName name="_xlnm.Print_Area" localSheetId="3">'WP-2012 Sch4-TUTRR'!$A$1:$J$108</definedName>
    <definedName name="_xlnm.Print_Area" localSheetId="4">'WP-2012 Sch5-ROR-1'!$A$1:$L$57</definedName>
    <definedName name="_xlnm.Print_Area" localSheetId="5">'WP-2012 Sch5-ROR-2'!$A$1:$P$78</definedName>
    <definedName name="_xlnm.Print_Area" localSheetId="6">'WP-2012 Sch7-PlantStudy'!$A$1:$G$54</definedName>
    <definedName name="_xlnm.Print_Area" localSheetId="2">'WP-2012 True Up TRR Adj'!$A$1:$G$16</definedName>
    <definedName name="_xlnm.Print_Area" localSheetId="17">'WP-2013 Sch10-CWIP'!$A$1:$K$412</definedName>
    <definedName name="_xlnm.Print_Area" localSheetId="18">'WP-2013 Sch14-IncentivePlant'!$A$1:$J$372</definedName>
    <definedName name="_xlnm.Print_Area" localSheetId="19">'WP-2013 Sch20-AandG'!$A$1:$J$112</definedName>
    <definedName name="_xlnm.Print_Area" localSheetId="20">'WP-2013 Sch27-Allocators'!$A$1:$K$133</definedName>
    <definedName name="_xlnm.Print_Area" localSheetId="11">'WP-2013 Sch4-TUTRR'!$A$1:$J$109</definedName>
    <definedName name="_xlnm.Print_Area" localSheetId="12">'WP-2013 Sch5-ROR-1'!$A$1:$L$57</definedName>
    <definedName name="_xlnm.Print_Area" localSheetId="13">'WP-2013 Sch5-ROR-2'!$A$1:$P$81</definedName>
    <definedName name="_xlnm.Print_Area" localSheetId="14">'WP-2013 Sch6-PlantInService'!$A$1:$M$181</definedName>
    <definedName name="_xlnm.Print_Area" localSheetId="15">'WP-2013 Sch7-PlantStudy'!$A$1:$I$54</definedName>
    <definedName name="_xlnm.Print_Area" localSheetId="16">'WP-2013 Sch8-AccDep'!$A$1:$N$179</definedName>
    <definedName name="_xlnm.Print_Area" localSheetId="10">'WP-2013 True Up TRR Adj'!$A$2:$G$16</definedName>
    <definedName name="_xlnm.Print_Area" localSheetId="28">'WP-2014 Sch14-IncentivePlant'!$A$1:$J$372</definedName>
    <definedName name="_xlnm.Print_Area" localSheetId="29">'WP-2014 Sch20-AandG'!$A$1:$J$112</definedName>
    <definedName name="_xlnm.Print_Area" localSheetId="30">'WP-2014 Sch27-Allocators'!$A$1:$K$133</definedName>
    <definedName name="_xlnm.Print_Area" localSheetId="22">'WP-2014 Sch4-TUTRR'!$A$1:$J$109</definedName>
    <definedName name="_xlnm.Print_Area" localSheetId="23">'WP-2014 Sch5-ROR-1'!$A$1:$L$57</definedName>
    <definedName name="_xlnm.Print_Area" localSheetId="24">'WP-2014 Sch5-ROR-2'!$A$1:$P$80</definedName>
    <definedName name="_xlnm.Print_Area" localSheetId="25">'WP-2014 Sch6-PlantInService'!$A$1:$M$181</definedName>
    <definedName name="_xlnm.Print_Area" localSheetId="26">'WP-2014 Sch7-PlantStudy'!$A$1:$J$54</definedName>
    <definedName name="_xlnm.Print_Area" localSheetId="27">'WP-2014 Sch8-AccDep'!$A$1:$N$179</definedName>
    <definedName name="_xlnm.Print_Area" localSheetId="21">'WP-2014 True Up TRR Adj'!$A$2:$G$16</definedName>
    <definedName name="_xlnm.Print_Area" localSheetId="38">'WP-2015 Sch14-IncentivePlant'!$A$1:$J$372</definedName>
    <definedName name="_xlnm.Print_Area" localSheetId="39">'WP-2015 Sch20-AandG'!$A$1:$J$112</definedName>
    <definedName name="_xlnm.Print_Area" localSheetId="40">'WP-2015 Sch27-Allocators'!$A$1:$K$126</definedName>
    <definedName name="_xlnm.Print_Area" localSheetId="32">'WP-2015 Sch4-TUTRR'!$A$1:$J$109</definedName>
    <definedName name="_xlnm.Print_Area" localSheetId="33">'WP-2015 Sch5-ROR-1'!$A$1:$L$57</definedName>
    <definedName name="_xlnm.Print_Area" localSheetId="34">'WP-2015 Sch5-ROR-2'!$A$1:$P$81</definedName>
    <definedName name="_xlnm.Print_Area" localSheetId="35">'WP-2015 Sch6-PlantInService'!$A$1:$M$181</definedName>
    <definedName name="_xlnm.Print_Area" localSheetId="36">'WP-2015 Sch7-PlantStudy'!$A$1:$I$54</definedName>
    <definedName name="_xlnm.Print_Area" localSheetId="37">'WP-2015 Sch8-AccDep'!$A$1:$N$179</definedName>
    <definedName name="_xlnm.Print_Area" localSheetId="31">'WP-2015 True Up TRR Adj'!$A$1:$G$16</definedName>
    <definedName name="_xlnm.Print_Area" localSheetId="1">'WP-Total Adj with Int'!$A$1:$S$61</definedName>
    <definedName name="print1" localSheetId="31">#REF!</definedName>
    <definedName name="print1">#REF!</definedName>
    <definedName name="print2" localSheetId="31">#REF!</definedName>
    <definedName name="print2">#REF!</definedName>
    <definedName name="PriorMTMdate">'[11]Input And Prices'!$B$3</definedName>
    <definedName name="ProcessDate" localSheetId="31">#REF!</definedName>
    <definedName name="ProcessDate">#REF!</definedName>
    <definedName name="ProcessDate2">[9]Check!$B$3</definedName>
    <definedName name="ProcessMonth" localSheetId="31">#REF!</definedName>
    <definedName name="ProcessMonth">#REF!</definedName>
    <definedName name="ProxyList">'[3]Calpine Renewable Cntrct  MTM'!$AT$15:$AT$20</definedName>
    <definedName name="QF_Asgn_List_Capacity" localSheetId="31">#REF!</definedName>
    <definedName name="QF_Asgn_List_Capacity">#REF!</definedName>
    <definedName name="QF_Asgn_List0212" localSheetId="31">#REF!</definedName>
    <definedName name="QF_Asgn_List0212">#REF!</definedName>
    <definedName name="QF_Asgn_List0301" localSheetId="31">#REF!</definedName>
    <definedName name="QF_Asgn_List0301">#REF!</definedName>
    <definedName name="QF_Asgn_List0302" localSheetId="31">#REF!</definedName>
    <definedName name="QF_Asgn_List0302">#REF!</definedName>
    <definedName name="QF_Asgn_List040131" localSheetId="31">#REF!</definedName>
    <definedName name="QF_Asgn_List040131">#REF!</definedName>
    <definedName name="QF_Assign_List" localSheetId="31">#REF!</definedName>
    <definedName name="QF_Assign_List">#REF!</definedName>
    <definedName name="QF_Assign_List_v2" localSheetId="31">#REF!</definedName>
    <definedName name="QF_Assign_List_v2">#REF!</definedName>
    <definedName name="QFAL0212_cnt_typ" localSheetId="31">#REF!</definedName>
    <definedName name="QFAL0212_cnt_typ">#REF!</definedName>
    <definedName name="QFAL0212_qfid" localSheetId="31">#REF!</definedName>
    <definedName name="QFAL0212_qfid">#REF!</definedName>
    <definedName name="QFAL0301_cnt_typ" localSheetId="31">#REF!</definedName>
    <definedName name="QFAL0301_cnt_typ">#REF!</definedName>
    <definedName name="QFAL0301_qfid" localSheetId="31">#REF!</definedName>
    <definedName name="QFAL0301_qfid">#REF!</definedName>
    <definedName name="QFAL0302_cnt_typ" localSheetId="31">#REF!</definedName>
    <definedName name="QFAL0302_cnt_typ">#REF!</definedName>
    <definedName name="QFAL0302_qfid" localSheetId="31">#REF!</definedName>
    <definedName name="QFAL0302_qfid">#REF!</definedName>
    <definedName name="QFAL040131_cnt_typ" localSheetId="31">#REF!</definedName>
    <definedName name="QFAL040131_cnt_typ">#REF!</definedName>
    <definedName name="QFAL040131_qfid" localSheetId="31">#REF!</definedName>
    <definedName name="QFAL040131_qfid">#REF!</definedName>
    <definedName name="SAI" localSheetId="31">#REF!</definedName>
    <definedName name="SAI">#REF!</definedName>
    <definedName name="Sales_Purchases_matching" localSheetId="31">#REF!</definedName>
    <definedName name="Sales_Purchases_matching">#REF!</definedName>
    <definedName name="SCE_10K_DET_M" localSheetId="31">#REF!</definedName>
    <definedName name="SCE_10K_DET_M">#REF!</definedName>
    <definedName name="SCE_10K_DET_T" localSheetId="31">#REF!</definedName>
    <definedName name="SCE_10K_DET_T">#REF!</definedName>
    <definedName name="SCE_10K_M" localSheetId="31">#REF!</definedName>
    <definedName name="SCE_10K_M">#REF!</definedName>
    <definedName name="SCE_10K_T" localSheetId="31">#REF!</definedName>
    <definedName name="SCE_10K_T">#REF!</definedName>
    <definedName name="SCE_10k_WK_CURR" localSheetId="31">[7]WS!#REF!</definedName>
    <definedName name="SCE_10k_WK_CURR">[7]WS!#REF!</definedName>
    <definedName name="SCE_10K_WK_JAN1" localSheetId="31">#REF!</definedName>
    <definedName name="SCE_10K_WK_JAN1">#REF!</definedName>
    <definedName name="SCE_10K_WK_LASTMO" localSheetId="31">#REF!</definedName>
    <definedName name="SCE_10K_WK_LASTMO">#REF!</definedName>
    <definedName name="SCE_WS" localSheetId="31">#REF!</definedName>
    <definedName name="SCE_WS">#REF!</definedName>
    <definedName name="SCE_WS_LASTMO" localSheetId="31">#REF!</definedName>
    <definedName name="SCE_WS_LASTMO">#REF!</definedName>
    <definedName name="SCE10K" localSheetId="31">#REF!</definedName>
    <definedName name="SCE10K">#REF!</definedName>
    <definedName name="SCE10KWksht" localSheetId="31">#REF!</definedName>
    <definedName name="SCE10KWksht">#REF!</definedName>
    <definedName name="Season2_data" localSheetId="31">'[12]LT Volumes'!#REF!</definedName>
    <definedName name="Season2_data">'[12]LT Volumes'!#REF!</definedName>
    <definedName name="Season4_data" localSheetId="31">'[12]LT Volumes'!#REF!</definedName>
    <definedName name="Season4_data">'[12]LT Volumes'!#REF!</definedName>
    <definedName name="Setup_Shape">[4]PowerPrices!$B$63</definedName>
    <definedName name="Solar" localSheetId="31">#REF!</definedName>
    <definedName name="Solar">#REF!</definedName>
    <definedName name="SUBMITEM" localSheetId="31">#REF!</definedName>
    <definedName name="SUBMITEM">#REF!</definedName>
    <definedName name="SUBMITEMS" localSheetId="31">#REF!</definedName>
    <definedName name="SUBMITEMS">#REF!</definedName>
    <definedName name="Summary_SD_2" localSheetId="31">#REF!</definedName>
    <definedName name="Summary_SD_2">#REF!</definedName>
    <definedName name="Summary_SD_2_Point" localSheetId="31">#REF!</definedName>
    <definedName name="Summary_SD_2_Point">#REF!</definedName>
    <definedName name="Swap_Point" localSheetId="31">#REF!</definedName>
    <definedName name="Swap_Point">#REF!</definedName>
    <definedName name="tblUpload_Temp_M200701" localSheetId="31">#REF!</definedName>
    <definedName name="tblUpload_Temp_M200701">#REF!</definedName>
    <definedName name="tblUpload_Temp_M200703" localSheetId="31">#REF!</definedName>
    <definedName name="tblUpload_Temp_M200703">#REF!</definedName>
    <definedName name="TCap_PT_1" localSheetId="31">#REF!</definedName>
    <definedName name="TCap_PT_1">#REF!</definedName>
    <definedName name="TCap_PT_2" localSheetId="31">#REF!</definedName>
    <definedName name="TCap_PT_2">#REF!</definedName>
    <definedName name="TCap_PT_Source_1" localSheetId="31">#REF!</definedName>
    <definedName name="TCap_PT_Source_1">#REF!</definedName>
    <definedName name="TCap_PT_Source_2" localSheetId="31">#REF!</definedName>
    <definedName name="TCap_PT_Source_2">#REF!</definedName>
    <definedName name="TEST0" localSheetId="31">#REF!</definedName>
    <definedName name="TEST0">#REF!</definedName>
    <definedName name="TEST10" localSheetId="31">[13]DATA!#REF!</definedName>
    <definedName name="TEST10">[13]DATA!#REF!</definedName>
    <definedName name="TransCapMTM" localSheetId="31">#REF!</definedName>
    <definedName name="TransCapMTM">#REF!</definedName>
    <definedName name="Upload_Basis">[4]BasisPrices!$B$31</definedName>
    <definedName name="Upload_Basis_Access">[4]BasisPrices!$B$32</definedName>
    <definedName name="Upload_Futs">[4]FuturePrices!$B$36</definedName>
    <definedName name="Upload_Futs_Access">[4]FuturePrices!$B$37</definedName>
    <definedName name="Upload_IR">[4]InterestRates!$B$28</definedName>
    <definedName name="Upload_IR_Access" localSheetId="31">#REF!</definedName>
    <definedName name="Upload_IR_Access">#REF!</definedName>
    <definedName name="Upload_Pwr">[4]PowerPrices!$B$66</definedName>
    <definedName name="Upload_Pwr_Access">[4]PowerPrices!$B$67</definedName>
    <definedName name="UploadAccess">[4]Volatility!$B$34</definedName>
    <definedName name="Uploads_IR_Access" localSheetId="31">#REF!</definedName>
    <definedName name="Uploads_IR_Access">#REF!</definedName>
    <definedName name="UploadVol">[4]Volatility!$B$33</definedName>
    <definedName name="Volatility_Upload_Date">[3]Check!$B$31</definedName>
    <definedName name="Week">{0;1;2;3;4;5}</definedName>
    <definedName name="Weekday">{1,2,3,4,5,6,7}</definedName>
    <definedName name="Wind" localSheetId="31">#REF!</definedName>
    <definedName name="Wind">#REF!</definedName>
    <definedName name="WITdata">[14]WIT!$A$1:$S$440</definedName>
    <definedName name="wrn.Cover." hidden="1">{#N/A,#N/A,TRUE,"Cover";#N/A,#N/A,TRUE,"Contents"}</definedName>
    <definedName name="wrn.CoverContents." hidden="1">{#N/A,#N/A,FALSE,"Cover";#N/A,#N/A,FALSE,"Contents"}</definedName>
    <definedName name="wrn.Distributed._.Decon._.Notebook." hidden="1">{"Engineering &amp; Planning",#N/A,FALSE,"Engineering and Planning ";"Site Modifications &amp; Prep",#N/A,FALSE,"Site Modifications and Prep";"Baseline Survey",#N/A,FALSE,"Baseline Survey";"MARSSIM A",#N/A,FALSE,"MARSSIM FSS";"MARSSIM B",#N/A,FALSE,"MARSSIM FSS";"MARSSIM C",#N/A,FALSE,"MARSSIM FSS";"MARSSIM D",#N/A,FALSE,"MARSSIM FSS";"MARSSIM E",#N/A,FALSE,"MARSSIM FSS";"Curies A",#N/A,FALSE,"DeconVesselCurie";"Vessel &amp; Internals Summary",#N/A,FALSE,"VesselSummary";"Curies B",#N/A,FALSE,"DeconVesselCurie";"Internals Segmentation A",#N/A,FALSE,"DeconVesselSegmentation";"Internals Segmentation B",#N/A,FALSE,"DeconVesselSegmentation";"Vessel Segmentation A",#N/A,FALSE,"DeconVesselSegmentation";"Vessel Segmentation B",#N/A,FALSE,"DeconVesselSegmentation";"Vessel &amp; Internals Details",#N/A,FALSE,"DeconVesselSegmentation";"Vessel Activities",#N/A,FALSE,"DeconVesselActivities";"Vessel Insulation",#N/A,FALSE,"VesselInsulation";"Stored Steam Generators",#N/A,FALSE,"NAPS Steam Generator";"Steam Generators",#N/A,FALSE,"NAPS Steam Generator";"Pressurizer",#N/A,FALSE,"NAPS Steam Generator";"SoilRemediation",#N/A,FALSE,"Soil Remediation";"Exposure",#N/A,FALSE,"Exposure"}</definedName>
    <definedName name="wrn.El._.Paso._.Offshore." hidden="1">{#N/A,#N/A,TRUE,"EPEsum";#N/A,#N/A,TRUE,"Approve1";#N/A,#N/A,TRUE,"Approve2";#N/A,#N/A,TRUE,"Approve3";#N/A,#N/A,TRUE,"EPE1";#N/A,#N/A,TRUE,"EPE2";#N/A,#N/A,TRUE,"CashCompare";#N/A,#N/A,TRUE,"XIRR";#N/A,#N/A,TRUE,"EPEloan";#N/A,#N/A,TRUE,"GraphEPE";#N/A,#N/A,TRUE,"OrgChart";#N/A,#N/A,TRUE,"SA08B"}</definedName>
    <definedName name="wrn.PrintHistory." hidden="1">{#N/A,#N/A,FALSE,"6004";#N/A,#N/A,FALSE,"6006";#N/A,#N/A,FALSE,"6011";#N/A,#N/A,FALSE,"6019";#N/A,#N/A,FALSE,"6024";#N/A,#N/A,FALSE,"6030";#N/A,#N/A,FALSE,"6031";#N/A,#N/A,FALSE,"6035";#N/A,#N/A,FALSE,"6037";#N/A,#N/A,FALSE,"6051";#N/A,#N/A,FALSE,"6052";#N/A,#N/A,FALSE,"6056";#N/A,#N/A,FALSE,"6057";#N/A,#N/A,FALSE,"6058";#N/A,#N/A,FALSE,"6063";#N/A,#N/A,FALSE,"6087";#N/A,#N/A,FALSE,"6090";#N/A,#N/A,FALSE,"6091";#N/A,#N/A,FALSE,"6092";#N/A,#N/A,FALSE,"6094";#N/A,#N/A,FALSE,"6095";#N/A,#N/A,FALSE,"6097";#N/A,#N/A,FALSE,"6098";#N/A,#N/A,FALSE,"6114";#N/A,#N/A,FALSE,"6118";#N/A,#N/A,FALSE,"6213";#N/A,#N/A,FALSE,"6234";#N/A,#N/A,FALSE,"6236"}</definedName>
    <definedName name="wrn.PrintOther." hidden="1">{#N/A,#N/A,FALSE,"Cover";#N/A,#N/A,FALSE,"ProjectSelector";#N/A,#N/A,FALSE,"ProjectTable";#N/A,#N/A,FALSE,"SanGorgonio";#N/A,#N/A,FALSE,"Tehachapi";#N/A,#N/A,FALSE,"Results";#N/A,#N/A,FALSE,"ReplaceForecast"}</definedName>
    <definedName name="wrn.Resource._.Dictionary._.Notebook." hidden="1">{"Labor Rate Factors",#N/A,FALSE,"Labor Rate Factors";"Craft Labor Rates",#N/A,FALSE,"Craft Labor Rates";"Constants",#N/A,FALSE,"Constants";"Facility Technical Data",#N/A,FALSE,"Facility Technical Data";"Project Cost Data",#N/A,FALSE,"Project Cost Data";"Misc Cost Factors",#N/A,FALSE,"Misc Cost Factors";"Waste Disposal Cost A",#N/A,FALSE,"Waste Disposal Costs";"Waste Disposal Cost B",#N/A,FALSE,"Waste Disposal Costs";"M&amp;E Calculation",#N/A,FALSE,"M &amp; E Calculations";"HP Consumables",#N/A,FALSE,"HP Consumables";"Decon Solution",#N/A,FALSE,"Decon Solution";"Pipe CCE",#N/A,FALSE,"Pipe CCE"}</definedName>
    <definedName name="wrn.Section1." hidden="1">{#N/A,#N/A,TRUE,"Section1";"SavingsTop",#N/A,TRUE,"SumSavings";#N/A,#N/A,TRUE,"GraphSum";"SavingsAll",#N/A,TRUE,"SumSavings";#N/A,#N/A,TRUE,"Inputs";#N/A,#N/A,TRUE,"Scenarios";#N/A,#N/A,TRUE,"LineLoss";#N/A,#N/A,TRUE,"Summary";#N/A,#N/A,TRUE,"TermSummary";#N/A,#N/A,TRUE,"NetRates";#N/A,#N/A,TRUE,"PPAtypes"}</definedName>
    <definedName name="wrn.Section1Summaries." hidden="1">{#N/A,#N/A,TRUE,"Section1";#N/A,#N/A,TRUE,"SumF";#N/A,#N/A,TRUE,"FigExchange";#N/A,#N/A,TRUE,"Escalation";#N/A,#N/A,TRUE,"GraphEscalate";#N/A,#N/A,TRUE,"Scenarios"}</definedName>
    <definedName name="wrn.Section2." hidden="1">{#N/A,#N/A,TRUE,"Section2";#N/A,#N/A,TRUE,"OverPymt";#N/A,#N/A,TRUE,"Energy";#N/A,#N/A,TRUE,"EnergyDiff1";#N/A,#N/A,TRUE,"EnergyDiff2";#N/A,#N/A,TRUE,"CapPerformance";#N/A,#N/A,TRUE,"BonusPerformance";#N/A,#N/A,TRUE,"BonusFormula";#N/A,#N/A,TRUE,"GraphPymt"}</definedName>
    <definedName name="wrn.Section2TotalProjectCost." hidden="1">{#N/A,#N/A,TRUE,"Section2";#N/A,#N/A,TRUE,"TPCestimate";#N/A,#N/A,TRUE,"SumTPC";#N/A,#N/A,TRUE,"ConstrLoan";#N/A,#N/A,TRUE,"FigBalance";#N/A,#N/A,TRUE,"DEV27air";#N/A,#N/A,TRUE,"Graph27air";#N/A,#N/A,TRUE,"PreOp"}</definedName>
    <definedName name="wrn.Section3." hidden="1">{#N/A,#N/A,TRUE,"Section3";#N/A,#N/A,TRUE,"BaseYear";#N/A,#N/A,TRUE,"GenHistory";#N/A,#N/A,TRUE,"GenGraph";#N/A,#N/A,TRUE,"MonthCompare";#N/A,#N/A,TRUE,"HourHistory";#N/A,#N/A,TRUE,"PayHistory";#N/A,#N/A,TRUE,"PayGraphs";#N/A,#N/A,TRUE,"ReplaceForecast";#N/A,#N/A,TRUE,"PPAforecast";#N/A,#N/A,TRUE,"OLSier"}</definedName>
    <definedName name="wrn.Section3PowerPlantCompany." hidden="1">{#N/A,#N/A,TRUE,"Section3";#N/A,#N/A,TRUE,"Tax";#N/A,#N/A,TRUE,"Dividend";#N/A,#N/A,TRUE,"Depreciation";#N/A,#N/A,TRUE,"Balance";#N/A,#N/A,TRUE,"SaleGain";#N/A,#N/A,TRUE,"RevExp";#N/A,#N/A,TRUE,"PIG";#N/A,#N/A,TRUE,"GraphPlant"}</definedName>
    <definedName name="wrn.Section4." hidden="1">{#N/A,#N/A,TRUE,"Section4";#N/A,#N/A,TRUE,"Tariffwksht";#N/A,#N/A,TRUE,"TariffINFO";#N/A,#N/A,TRUE,"Generation";#N/A,#N/A,TRUE,"PPAsum";#N/A,#N/A,TRUE,"PPApayments";#N/A,#N/A,TRUE,"RevExp";#N/A,#N/A,TRUE,"GraphRevenue";#N/A,#N/A,TRUE,"GraphRevExp"}</definedName>
    <definedName name="wrn.Section4Revenue." hidden="1">{#N/A,#N/A,TRUE,"Section4";#N/A,#N/A,TRUE,"PPAtable";#N/A,#N/A,TRUE,"RFPtable";#N/A,#N/A,TRUE,"RevCap";#N/A,#N/A,TRUE,"RevOther";#N/A,#N/A,TRUE,"RevGas";#N/A,#N/A,TRUE,"GraphRev"}</definedName>
    <definedName name="wrn.Section5." hidden="1">{#N/A,#N/A,TRUE,"Section5";#N/A,#N/A,TRUE,"Coal";#N/A,#N/A,TRUE,"Fuel";#N/A,#N/A,TRUE,"OMwksht";#N/A,#N/A,TRUE,"VOM";#N/A,#N/A,TRUE,"FOM";#N/A,#N/A,TRUE,"Debt";#N/A,#N/A,TRUE,"LoanSchedules";#N/A,#N/A,TRUE,"GraphExp";#N/A,#N/A,TRUE,"Conversions"}</definedName>
    <definedName name="wrn.Section5Expenses." hidden="1">{#N/A,#N/A,TRUE,"Section5";#N/A,#N/A,TRUE,"Gas";#N/A,#N/A,TRUE,"Oil";#N/A,#N/A,TRUE,"SumOM";#N/A,#N/A,TRUE,"VOM";#N/A,#N/A,TRUE,"FOM";#N/A,#N/A,TRUE,"StartUps";#N/A,#N/A,TRUE,"Labor";#N/A,#N/A,TRUE,"PlantOrg";#N/A,#N/A,TRUE,"Conversions";#N/A,#N/A,TRUE,"GraphExp"}</definedName>
    <definedName name="wrn.Section6Equipment." hidden="1">{#N/A,#N/A,TRUE,"Section6";#N/A,#N/A,TRUE,"OHcycles";#N/A,#N/A,TRUE,"OHtiming";#N/A,#N/A,TRUE,"OHcosts";#N/A,#N/A,TRUE,"GTdegradation";#N/A,#N/A,TRUE,"GTperformance";#N/A,#N/A,TRUE,"GraphEquip"}</definedName>
    <definedName name="wrn.Section7DebtService." hidden="1">{#N/A,#N/A,TRUE,"Section7";#N/A,#N/A,TRUE,"DebtService";#N/A,#N/A,TRUE,"LoanSchedules";#N/A,#N/A,TRUE,"GraphDebt"}</definedName>
    <definedName name="wrn.SponsorSection." hidden="1">{#N/A,#N/A,TRUE,"Cover";#N/A,#N/A,TRUE,"Contents";#N/A,#N/A,TRUE,"Organization";#N/A,#N/A,TRUE,"SumSponsor";#N/A,#N/A,TRUE,"Plant1";#N/A,#N/A,TRUE,"Plant2";#N/A,#N/A,TRUE,"Sponsors";#N/A,#N/A,TRUE,"ElPaso1";#N/A,#N/A,TRUE,"GraphSponsor"}</definedName>
    <definedName name="wrn.Summary." hidden="1">{"Table A",#N/A,FALSE,"Summary";"Table D",#N/A,FALSE,"Summary";"Table E",#N/A,FALSE,"Summary"}</definedName>
    <definedName name="wrn.Total._.Summary." hidden="1">{"Total Summary",#N/A,FALSE,"Summary"}</definedName>
    <definedName name="YearList">'[3]Calpine Renewable Cntrct  MTM'!$AS$15:$AS$20</definedName>
    <definedName name="YearProxyList">'[3]Calpine Renewable Cntrct  MTM'!$AS$15:$AT$20</definedName>
  </definedNames>
  <calcPr calcId="152511"/>
</workbook>
</file>

<file path=xl/calcChain.xml><?xml version="1.0" encoding="utf-8"?>
<calcChain xmlns="http://schemas.openxmlformats.org/spreadsheetml/2006/main">
  <c r="E16" i="100" l="1"/>
  <c r="E55" i="100"/>
  <c r="E29" i="100" l="1"/>
  <c r="D126" i="179" l="1"/>
  <c r="D125" i="179"/>
  <c r="D120" i="179"/>
  <c r="D119" i="179"/>
  <c r="D114" i="179"/>
  <c r="D113" i="179"/>
  <c r="D108" i="179"/>
  <c r="D107" i="179"/>
  <c r="D102" i="179"/>
  <c r="D101" i="179"/>
  <c r="D96" i="179"/>
  <c r="D95" i="179"/>
  <c r="D90" i="179"/>
  <c r="D89" i="179"/>
  <c r="D84" i="179"/>
  <c r="D83" i="179"/>
  <c r="D78" i="179"/>
  <c r="D77" i="179"/>
  <c r="D72" i="179"/>
  <c r="D71" i="179"/>
  <c r="D66" i="179"/>
  <c r="D65" i="179"/>
  <c r="D60" i="179"/>
  <c r="D59" i="179"/>
  <c r="D54" i="179"/>
  <c r="D53" i="179"/>
  <c r="D48" i="179"/>
  <c r="D47" i="179"/>
  <c r="D42" i="179"/>
  <c r="D41" i="179"/>
  <c r="D36" i="179"/>
  <c r="D35" i="179"/>
  <c r="G13" i="179"/>
  <c r="E12" i="179"/>
  <c r="E11" i="179"/>
  <c r="G10" i="179"/>
  <c r="A9" i="179"/>
  <c r="E10" i="179" s="1"/>
  <c r="A8" i="179"/>
  <c r="C108" i="178"/>
  <c r="F70" i="178"/>
  <c r="E70" i="178"/>
  <c r="F64" i="178"/>
  <c r="E64" i="178"/>
  <c r="G58" i="178"/>
  <c r="G37" i="178" s="1"/>
  <c r="D37" i="178" s="1"/>
  <c r="G6" i="178" s="1"/>
  <c r="H6" i="178" s="1"/>
  <c r="H57" i="178"/>
  <c r="G57" i="178"/>
  <c r="D50" i="178"/>
  <c r="D49" i="178"/>
  <c r="D48" i="178"/>
  <c r="D47" i="178"/>
  <c r="D46" i="178"/>
  <c r="D45" i="178"/>
  <c r="F44" i="178"/>
  <c r="D44" i="178"/>
  <c r="H43" i="178"/>
  <c r="D43" i="178" s="1"/>
  <c r="G12" i="178" s="1"/>
  <c r="H12" i="178" s="1"/>
  <c r="D42" i="178"/>
  <c r="D41" i="178"/>
  <c r="D40" i="178"/>
  <c r="D39" i="178"/>
  <c r="D38" i="178"/>
  <c r="F24" i="178"/>
  <c r="E20" i="178"/>
  <c r="G19" i="178"/>
  <c r="H19" i="178" s="1"/>
  <c r="H18" i="178"/>
  <c r="G18" i="178"/>
  <c r="G17" i="178"/>
  <c r="H17" i="178" s="1"/>
  <c r="H16" i="178"/>
  <c r="G16" i="178"/>
  <c r="G15" i="178"/>
  <c r="H15" i="178" s="1"/>
  <c r="H14" i="178"/>
  <c r="G14" i="178"/>
  <c r="G13" i="178"/>
  <c r="H13" i="178" s="1"/>
  <c r="G11" i="178"/>
  <c r="H11" i="178" s="1"/>
  <c r="H10" i="178"/>
  <c r="F29" i="178" s="1"/>
  <c r="G10" i="178"/>
  <c r="G9" i="178"/>
  <c r="H9" i="178" s="1"/>
  <c r="H8" i="178"/>
  <c r="G8" i="178"/>
  <c r="A8" i="178"/>
  <c r="A9" i="178" s="1"/>
  <c r="A10" i="178" s="1"/>
  <c r="G7" i="178"/>
  <c r="H7" i="178" s="1"/>
  <c r="A7" i="178"/>
  <c r="H302" i="177"/>
  <c r="G302" i="177"/>
  <c r="H301" i="177"/>
  <c r="G301" i="177"/>
  <c r="H300" i="177"/>
  <c r="G300" i="177"/>
  <c r="H299" i="177"/>
  <c r="G299" i="177"/>
  <c r="H298" i="177"/>
  <c r="G298" i="177"/>
  <c r="H297" i="177"/>
  <c r="G297" i="177"/>
  <c r="H296" i="177"/>
  <c r="G296" i="177"/>
  <c r="H295" i="177"/>
  <c r="G295" i="177"/>
  <c r="H294" i="177"/>
  <c r="G294" i="177"/>
  <c r="H293" i="177"/>
  <c r="G293" i="177"/>
  <c r="H292" i="177"/>
  <c r="G292" i="177"/>
  <c r="H291" i="177"/>
  <c r="G291" i="177"/>
  <c r="H290" i="177"/>
  <c r="G290" i="177"/>
  <c r="H283" i="177"/>
  <c r="G283" i="177"/>
  <c r="H282" i="177"/>
  <c r="G282" i="177"/>
  <c r="H281" i="177"/>
  <c r="G281" i="177"/>
  <c r="H280" i="177"/>
  <c r="G280" i="177"/>
  <c r="H279" i="177"/>
  <c r="G279" i="177"/>
  <c r="H278" i="177"/>
  <c r="G278" i="177"/>
  <c r="H277" i="177"/>
  <c r="G277" i="177"/>
  <c r="H276" i="177"/>
  <c r="G276" i="177"/>
  <c r="H275" i="177"/>
  <c r="G275" i="177"/>
  <c r="H274" i="177"/>
  <c r="G274" i="177"/>
  <c r="H273" i="177"/>
  <c r="G273" i="177"/>
  <c r="H272" i="177"/>
  <c r="G272" i="177"/>
  <c r="H271" i="177"/>
  <c r="G271" i="177"/>
  <c r="H264" i="177"/>
  <c r="G264" i="177"/>
  <c r="H263" i="177"/>
  <c r="G263" i="177"/>
  <c r="H262" i="177"/>
  <c r="G262" i="177"/>
  <c r="H261" i="177"/>
  <c r="G261" i="177"/>
  <c r="H260" i="177"/>
  <c r="G260" i="177"/>
  <c r="H259" i="177"/>
  <c r="G259" i="177"/>
  <c r="H258" i="177"/>
  <c r="G258" i="177"/>
  <c r="H257" i="177"/>
  <c r="G257" i="177"/>
  <c r="H256" i="177"/>
  <c r="G256" i="177"/>
  <c r="H255" i="177"/>
  <c r="G255" i="177"/>
  <c r="H254" i="177"/>
  <c r="G254" i="177"/>
  <c r="H253" i="177"/>
  <c r="G253" i="177"/>
  <c r="H252" i="177"/>
  <c r="G252" i="177"/>
  <c r="H245" i="177"/>
  <c r="G245" i="177"/>
  <c r="H244" i="177"/>
  <c r="G244" i="177"/>
  <c r="H243" i="177"/>
  <c r="G243" i="177"/>
  <c r="H242" i="177"/>
  <c r="G242" i="177"/>
  <c r="H241" i="177"/>
  <c r="G241" i="177"/>
  <c r="H240" i="177"/>
  <c r="G240" i="177"/>
  <c r="H239" i="177"/>
  <c r="G239" i="177"/>
  <c r="H238" i="177"/>
  <c r="G238" i="177"/>
  <c r="H237" i="177"/>
  <c r="G237" i="177"/>
  <c r="H236" i="177"/>
  <c r="G236" i="177"/>
  <c r="H235" i="177"/>
  <c r="G235" i="177"/>
  <c r="H234" i="177"/>
  <c r="G234" i="177"/>
  <c r="H233" i="177"/>
  <c r="G233" i="177"/>
  <c r="H226" i="177"/>
  <c r="G226" i="177"/>
  <c r="H225" i="177"/>
  <c r="G225" i="177"/>
  <c r="H224" i="177"/>
  <c r="G224" i="177"/>
  <c r="H223" i="177"/>
  <c r="G223" i="177"/>
  <c r="H222" i="177"/>
  <c r="G222" i="177"/>
  <c r="H221" i="177"/>
  <c r="G221" i="177"/>
  <c r="H220" i="177"/>
  <c r="G220" i="177"/>
  <c r="H219" i="177"/>
  <c r="G219" i="177"/>
  <c r="H218" i="177"/>
  <c r="G218" i="177"/>
  <c r="H217" i="177"/>
  <c r="G217" i="177"/>
  <c r="H216" i="177"/>
  <c r="G216" i="177"/>
  <c r="H215" i="177"/>
  <c r="G215" i="177"/>
  <c r="H214" i="177"/>
  <c r="G214" i="177"/>
  <c r="H207" i="177"/>
  <c r="G207" i="177"/>
  <c r="H206" i="177"/>
  <c r="G206" i="177"/>
  <c r="H205" i="177"/>
  <c r="G205" i="177"/>
  <c r="H204" i="177"/>
  <c r="G204" i="177"/>
  <c r="H203" i="177"/>
  <c r="G203" i="177"/>
  <c r="H202" i="177"/>
  <c r="G202" i="177"/>
  <c r="H201" i="177"/>
  <c r="G201" i="177"/>
  <c r="H200" i="177"/>
  <c r="G200" i="177"/>
  <c r="H199" i="177"/>
  <c r="G199" i="177"/>
  <c r="H198" i="177"/>
  <c r="G198" i="177"/>
  <c r="H197" i="177"/>
  <c r="G197" i="177"/>
  <c r="H196" i="177"/>
  <c r="G196" i="177"/>
  <c r="H195" i="177"/>
  <c r="G195" i="177"/>
  <c r="H188" i="177"/>
  <c r="G188" i="177"/>
  <c r="H187" i="177"/>
  <c r="G187" i="177"/>
  <c r="H186" i="177"/>
  <c r="G186" i="177"/>
  <c r="H185" i="177"/>
  <c r="G185" i="177"/>
  <c r="H184" i="177"/>
  <c r="G184" i="177"/>
  <c r="H183" i="177"/>
  <c r="G183" i="177"/>
  <c r="H182" i="177"/>
  <c r="G182" i="177"/>
  <c r="H181" i="177"/>
  <c r="G181" i="177"/>
  <c r="H180" i="177"/>
  <c r="G180" i="177"/>
  <c r="H179" i="177"/>
  <c r="G179" i="177"/>
  <c r="H178" i="177"/>
  <c r="G178" i="177"/>
  <c r="H177" i="177"/>
  <c r="G177" i="177"/>
  <c r="H176" i="177"/>
  <c r="G176" i="177"/>
  <c r="H169" i="177"/>
  <c r="E106" i="177" s="1"/>
  <c r="G169" i="177"/>
  <c r="G84" i="177" s="1"/>
  <c r="G48" i="177" s="1"/>
  <c r="H168" i="177"/>
  <c r="G168" i="177"/>
  <c r="G83" i="177" s="1"/>
  <c r="H167" i="177"/>
  <c r="G167" i="177"/>
  <c r="H166" i="177"/>
  <c r="G166" i="177"/>
  <c r="H165" i="177"/>
  <c r="E102" i="177" s="1"/>
  <c r="G165" i="177"/>
  <c r="G80" i="177" s="1"/>
  <c r="E80" i="177" s="1"/>
  <c r="H164" i="177"/>
  <c r="G164" i="177"/>
  <c r="G79" i="177" s="1"/>
  <c r="H163" i="177"/>
  <c r="G163" i="177"/>
  <c r="H162" i="177"/>
  <c r="G162" i="177"/>
  <c r="H161" i="177"/>
  <c r="E98" i="177" s="1"/>
  <c r="G161" i="177"/>
  <c r="G76" i="177" s="1"/>
  <c r="E76" i="177" s="1"/>
  <c r="H160" i="177"/>
  <c r="G160" i="177"/>
  <c r="G75" i="177" s="1"/>
  <c r="H159" i="177"/>
  <c r="G159" i="177"/>
  <c r="H158" i="177"/>
  <c r="G158" i="177"/>
  <c r="H157" i="177"/>
  <c r="E94" i="177" s="1"/>
  <c r="G157" i="177"/>
  <c r="G72" i="177" s="1"/>
  <c r="E72" i="177" s="1"/>
  <c r="H149" i="177"/>
  <c r="G149" i="177"/>
  <c r="H84" i="177" s="1"/>
  <c r="H148" i="177"/>
  <c r="G148" i="177"/>
  <c r="H147" i="177"/>
  <c r="G147" i="177"/>
  <c r="H146" i="177"/>
  <c r="E103" i="177" s="1"/>
  <c r="G103" i="177" s="1"/>
  <c r="G146" i="177"/>
  <c r="H145" i="177"/>
  <c r="G145" i="177"/>
  <c r="H80" i="177" s="1"/>
  <c r="H144" i="177"/>
  <c r="G144" i="177"/>
  <c r="H143" i="177"/>
  <c r="G143" i="177"/>
  <c r="H142" i="177"/>
  <c r="E99" i="177" s="1"/>
  <c r="G99" i="177" s="1"/>
  <c r="G142" i="177"/>
  <c r="H77" i="177" s="1"/>
  <c r="H141" i="177"/>
  <c r="G141" i="177"/>
  <c r="H140" i="177"/>
  <c r="G140" i="177"/>
  <c r="H139" i="177"/>
  <c r="G139" i="177"/>
  <c r="H138" i="177"/>
  <c r="E95" i="177" s="1"/>
  <c r="G95" i="177" s="1"/>
  <c r="G138" i="177"/>
  <c r="H73" i="177" s="1"/>
  <c r="H137" i="177"/>
  <c r="G137" i="177"/>
  <c r="H72" i="177" s="1"/>
  <c r="H129" i="177"/>
  <c r="G129" i="177"/>
  <c r="H128" i="177"/>
  <c r="G128" i="177"/>
  <c r="H127" i="177"/>
  <c r="G127" i="177"/>
  <c r="F82" i="177" s="1"/>
  <c r="E82" i="177" s="1"/>
  <c r="H126" i="177"/>
  <c r="G126" i="177"/>
  <c r="F81" i="177" s="1"/>
  <c r="H125" i="177"/>
  <c r="G125" i="177"/>
  <c r="H124" i="177"/>
  <c r="G124" i="177"/>
  <c r="H123" i="177"/>
  <c r="E100" i="177" s="1"/>
  <c r="G100" i="177" s="1"/>
  <c r="G123" i="177"/>
  <c r="H122" i="177"/>
  <c r="G122" i="177"/>
  <c r="F77" i="177" s="1"/>
  <c r="H121" i="177"/>
  <c r="G121" i="177"/>
  <c r="H120" i="177"/>
  <c r="G120" i="177"/>
  <c r="H119" i="177"/>
  <c r="G119" i="177"/>
  <c r="F74" i="177" s="1"/>
  <c r="E74" i="177" s="1"/>
  <c r="H118" i="177"/>
  <c r="G118" i="177"/>
  <c r="F73" i="177" s="1"/>
  <c r="H117" i="177"/>
  <c r="G117" i="177"/>
  <c r="F107" i="177"/>
  <c r="G106" i="177"/>
  <c r="E105" i="177"/>
  <c r="G105" i="177" s="1"/>
  <c r="E104" i="177"/>
  <c r="G104" i="177" s="1"/>
  <c r="G102" i="177"/>
  <c r="E101" i="177"/>
  <c r="G101" i="177" s="1"/>
  <c r="G98" i="177"/>
  <c r="E97" i="177"/>
  <c r="G97" i="177" s="1"/>
  <c r="E96" i="177"/>
  <c r="G96" i="177" s="1"/>
  <c r="G94" i="177"/>
  <c r="F84" i="177"/>
  <c r="H83" i="177"/>
  <c r="F83" i="177"/>
  <c r="E83" i="177"/>
  <c r="H82" i="177"/>
  <c r="G82" i="177"/>
  <c r="H81" i="177"/>
  <c r="G81" i="177"/>
  <c r="F80" i="177"/>
  <c r="H79" i="177"/>
  <c r="F79" i="177"/>
  <c r="E79" i="177" s="1"/>
  <c r="H78" i="177"/>
  <c r="G78" i="177"/>
  <c r="F78" i="177"/>
  <c r="E78" i="177" s="1"/>
  <c r="G77" i="177"/>
  <c r="H76" i="177"/>
  <c r="F76" i="177"/>
  <c r="H75" i="177"/>
  <c r="F75" i="177"/>
  <c r="E75" i="177"/>
  <c r="H74" i="177"/>
  <c r="G74" i="177"/>
  <c r="G85" i="177" s="1"/>
  <c r="G62" i="177" s="1"/>
  <c r="G73" i="177"/>
  <c r="F72" i="177"/>
  <c r="G47" i="177"/>
  <c r="A28" i="177"/>
  <c r="A29" i="177" s="1"/>
  <c r="A30" i="177" s="1"/>
  <c r="A31" i="177" s="1"/>
  <c r="A32" i="177" s="1"/>
  <c r="A33" i="177" s="1"/>
  <c r="A34" i="177" s="1"/>
  <c r="A35" i="177" s="1"/>
  <c r="A36" i="177" s="1"/>
  <c r="A37" i="177" s="1"/>
  <c r="A46" i="177" s="1"/>
  <c r="A47" i="177" s="1"/>
  <c r="A48" i="177" s="1"/>
  <c r="A49" i="177" s="1"/>
  <c r="A50" i="177" s="1"/>
  <c r="A51" i="177" s="1"/>
  <c r="A60" i="177" s="1"/>
  <c r="A61" i="177" s="1"/>
  <c r="A62" i="177" s="1"/>
  <c r="A63" i="177" s="1"/>
  <c r="A64" i="177" s="1"/>
  <c r="A65" i="177" s="1"/>
  <c r="A72" i="177" s="1"/>
  <c r="A73" i="177" s="1"/>
  <c r="A74" i="177" s="1"/>
  <c r="A75" i="177" s="1"/>
  <c r="A76" i="177" s="1"/>
  <c r="A77" i="177" s="1"/>
  <c r="A78" i="177" s="1"/>
  <c r="A79" i="177" s="1"/>
  <c r="A80" i="177" s="1"/>
  <c r="A81" i="177" s="1"/>
  <c r="A82" i="177" s="1"/>
  <c r="A83" i="177" s="1"/>
  <c r="A84" i="177" s="1"/>
  <c r="F62" i="177"/>
  <c r="F48" i="177"/>
  <c r="E48" i="177" s="1"/>
  <c r="A27" i="177"/>
  <c r="F47" i="177"/>
  <c r="B170" i="176"/>
  <c r="D156" i="176"/>
  <c r="M129" i="176"/>
  <c r="L129" i="176"/>
  <c r="K129" i="176"/>
  <c r="J129" i="176"/>
  <c r="I129" i="176"/>
  <c r="H129" i="176"/>
  <c r="G129" i="176"/>
  <c r="F129" i="176"/>
  <c r="E129" i="176"/>
  <c r="D129" i="176"/>
  <c r="E121" i="176"/>
  <c r="F116" i="176"/>
  <c r="M122" i="176"/>
  <c r="L122" i="176"/>
  <c r="K122" i="176"/>
  <c r="J122" i="176"/>
  <c r="I122" i="176"/>
  <c r="H122" i="176"/>
  <c r="G122" i="176"/>
  <c r="F122" i="176"/>
  <c r="E122" i="176"/>
  <c r="D122" i="176"/>
  <c r="M121" i="176"/>
  <c r="L121" i="176"/>
  <c r="K121" i="176"/>
  <c r="J121" i="176"/>
  <c r="I121" i="176"/>
  <c r="H121" i="176"/>
  <c r="G121" i="176"/>
  <c r="F121" i="176"/>
  <c r="D121" i="176"/>
  <c r="M120" i="176"/>
  <c r="L120" i="176"/>
  <c r="K120" i="176"/>
  <c r="J120" i="176"/>
  <c r="I120" i="176"/>
  <c r="H120" i="176"/>
  <c r="G120" i="176"/>
  <c r="F120" i="176"/>
  <c r="E120" i="176"/>
  <c r="D120" i="176"/>
  <c r="M119" i="176"/>
  <c r="L119" i="176"/>
  <c r="K119" i="176"/>
  <c r="J119" i="176"/>
  <c r="I119" i="176"/>
  <c r="H119" i="176"/>
  <c r="G119" i="176"/>
  <c r="F119" i="176"/>
  <c r="E119" i="176"/>
  <c r="D119" i="176"/>
  <c r="M118" i="176"/>
  <c r="L118" i="176"/>
  <c r="K118" i="176"/>
  <c r="J118" i="176"/>
  <c r="I118" i="176"/>
  <c r="H118" i="176"/>
  <c r="G118" i="176"/>
  <c r="F118" i="176"/>
  <c r="E118" i="176"/>
  <c r="D118" i="176"/>
  <c r="M117" i="176"/>
  <c r="L117" i="176"/>
  <c r="K117" i="176"/>
  <c r="J117" i="176"/>
  <c r="I117" i="176"/>
  <c r="H117" i="176"/>
  <c r="G117" i="176"/>
  <c r="F117" i="176"/>
  <c r="E117" i="176"/>
  <c r="D117" i="176"/>
  <c r="M116" i="176"/>
  <c r="L116" i="176"/>
  <c r="K116" i="176"/>
  <c r="J116" i="176"/>
  <c r="I116" i="176"/>
  <c r="H116" i="176"/>
  <c r="G116" i="176"/>
  <c r="E116" i="176"/>
  <c r="D116" i="176"/>
  <c r="M115" i="176"/>
  <c r="L115" i="176"/>
  <c r="K115" i="176"/>
  <c r="J115" i="176"/>
  <c r="I115" i="176"/>
  <c r="H115" i="176"/>
  <c r="G115" i="176"/>
  <c r="F115" i="176"/>
  <c r="E115" i="176"/>
  <c r="D115" i="176"/>
  <c r="M114" i="176"/>
  <c r="L114" i="176"/>
  <c r="K114" i="176"/>
  <c r="J114" i="176"/>
  <c r="I114" i="176"/>
  <c r="H114" i="176"/>
  <c r="G114" i="176"/>
  <c r="F114" i="176"/>
  <c r="E114" i="176"/>
  <c r="D114" i="176"/>
  <c r="M113" i="176"/>
  <c r="L113" i="176"/>
  <c r="K113" i="176"/>
  <c r="J113" i="176"/>
  <c r="I113" i="176"/>
  <c r="H113" i="176"/>
  <c r="G113" i="176"/>
  <c r="F113" i="176"/>
  <c r="E113" i="176"/>
  <c r="D113" i="176"/>
  <c r="M112" i="176"/>
  <c r="L112" i="176"/>
  <c r="K112" i="176"/>
  <c r="J112" i="176"/>
  <c r="I112" i="176"/>
  <c r="H112" i="176"/>
  <c r="G112" i="176"/>
  <c r="F112" i="176"/>
  <c r="E112" i="176"/>
  <c r="D112" i="176"/>
  <c r="M111" i="176"/>
  <c r="I111" i="176"/>
  <c r="F103" i="176"/>
  <c r="F133" i="176" s="1"/>
  <c r="M83" i="176"/>
  <c r="L83" i="176"/>
  <c r="K83" i="176"/>
  <c r="J83" i="176"/>
  <c r="I83" i="176"/>
  <c r="H83" i="176"/>
  <c r="G83" i="176"/>
  <c r="F83" i="176"/>
  <c r="E83" i="176"/>
  <c r="D83" i="176"/>
  <c r="N82" i="176"/>
  <c r="N81" i="176"/>
  <c r="N80" i="176"/>
  <c r="N79" i="176"/>
  <c r="N78" i="176"/>
  <c r="N77" i="176"/>
  <c r="N76" i="176"/>
  <c r="N75" i="176"/>
  <c r="N74" i="176"/>
  <c r="N73" i="176"/>
  <c r="N72" i="176"/>
  <c r="N83" i="176" s="1"/>
  <c r="N71" i="176"/>
  <c r="F58" i="176"/>
  <c r="F51" i="176"/>
  <c r="E45" i="176"/>
  <c r="E44" i="176"/>
  <c r="E46" i="176" s="1"/>
  <c r="A44" i="176"/>
  <c r="F35" i="176"/>
  <c r="E35" i="176"/>
  <c r="D35" i="176"/>
  <c r="A35" i="176"/>
  <c r="G34" i="176"/>
  <c r="G33" i="176"/>
  <c r="G35" i="176" s="1"/>
  <c r="D25" i="176"/>
  <c r="N24" i="176"/>
  <c r="A21" i="176"/>
  <c r="A22" i="176" s="1"/>
  <c r="A23" i="176" s="1"/>
  <c r="A24" i="176" s="1"/>
  <c r="A13" i="176"/>
  <c r="A14" i="176" s="1"/>
  <c r="A15" i="176" s="1"/>
  <c r="A16" i="176" s="1"/>
  <c r="A17" i="176" s="1"/>
  <c r="A18" i="176" s="1"/>
  <c r="A19" i="176" s="1"/>
  <c r="A20" i="176" s="1"/>
  <c r="N12" i="176"/>
  <c r="E40" i="175"/>
  <c r="E42" i="175" s="1"/>
  <c r="C40" i="175"/>
  <c r="C42" i="175" s="1"/>
  <c r="F39" i="175"/>
  <c r="F38" i="175"/>
  <c r="F36" i="175"/>
  <c r="E26" i="175"/>
  <c r="F26" i="175" s="1"/>
  <c r="C26" i="175"/>
  <c r="C28" i="175" s="1"/>
  <c r="F25" i="175"/>
  <c r="F24" i="175"/>
  <c r="F23" i="175"/>
  <c r="F22" i="175"/>
  <c r="F21" i="175"/>
  <c r="F20" i="175"/>
  <c r="C17" i="175"/>
  <c r="F15" i="175"/>
  <c r="F12" i="175"/>
  <c r="E12" i="175"/>
  <c r="E17" i="175" s="1"/>
  <c r="C12" i="175"/>
  <c r="F11" i="175"/>
  <c r="A11" i="175"/>
  <c r="D12" i="175" s="1"/>
  <c r="F10" i="175"/>
  <c r="A10" i="175"/>
  <c r="A9" i="175"/>
  <c r="F135" i="174"/>
  <c r="D131" i="174"/>
  <c r="D139" i="174" s="1"/>
  <c r="C131" i="174"/>
  <c r="C139" i="174" s="1"/>
  <c r="J126" i="174"/>
  <c r="L125" i="174"/>
  <c r="K125" i="174"/>
  <c r="J125" i="174"/>
  <c r="I125" i="174"/>
  <c r="H125" i="174"/>
  <c r="G125" i="174"/>
  <c r="F125" i="174"/>
  <c r="E125" i="174"/>
  <c r="D125" i="174"/>
  <c r="C125" i="174"/>
  <c r="L124" i="174"/>
  <c r="K124" i="174"/>
  <c r="J124" i="174"/>
  <c r="I124" i="174"/>
  <c r="H124" i="174"/>
  <c r="G124" i="174"/>
  <c r="F124" i="174"/>
  <c r="E124" i="174"/>
  <c r="D124" i="174"/>
  <c r="C124" i="174"/>
  <c r="L123" i="174"/>
  <c r="K123" i="174"/>
  <c r="J123" i="174"/>
  <c r="I123" i="174"/>
  <c r="H123" i="174"/>
  <c r="G123" i="174"/>
  <c r="F123" i="174"/>
  <c r="E123" i="174"/>
  <c r="D123" i="174"/>
  <c r="C123" i="174"/>
  <c r="L122" i="174"/>
  <c r="K122" i="174"/>
  <c r="J122" i="174"/>
  <c r="I122" i="174"/>
  <c r="H122" i="174"/>
  <c r="G122" i="174"/>
  <c r="F122" i="174"/>
  <c r="E122" i="174"/>
  <c r="D122" i="174"/>
  <c r="C122" i="174"/>
  <c r="L121" i="174"/>
  <c r="K121" i="174"/>
  <c r="J121" i="174"/>
  <c r="I121" i="174"/>
  <c r="H121" i="174"/>
  <c r="G121" i="174"/>
  <c r="F121" i="174"/>
  <c r="E121" i="174"/>
  <c r="D121" i="174"/>
  <c r="C121" i="174"/>
  <c r="L120" i="174"/>
  <c r="K120" i="174"/>
  <c r="J120" i="174"/>
  <c r="I120" i="174"/>
  <c r="H120" i="174"/>
  <c r="G120" i="174"/>
  <c r="F120" i="174"/>
  <c r="E120" i="174"/>
  <c r="D120" i="174"/>
  <c r="C120" i="174"/>
  <c r="L119" i="174"/>
  <c r="K119" i="174"/>
  <c r="J119" i="174"/>
  <c r="I119" i="174"/>
  <c r="H119" i="174"/>
  <c r="G119" i="174"/>
  <c r="F119" i="174"/>
  <c r="E119" i="174"/>
  <c r="D119" i="174"/>
  <c r="C119" i="174"/>
  <c r="L118" i="174"/>
  <c r="K118" i="174"/>
  <c r="J118" i="174"/>
  <c r="I118" i="174"/>
  <c r="H118" i="174"/>
  <c r="G118" i="174"/>
  <c r="F118" i="174"/>
  <c r="E118" i="174"/>
  <c r="D118" i="174"/>
  <c r="C118" i="174"/>
  <c r="M117" i="174"/>
  <c r="L117" i="174"/>
  <c r="K117" i="174"/>
  <c r="J117" i="174"/>
  <c r="I117" i="174"/>
  <c r="H117" i="174"/>
  <c r="G117" i="174"/>
  <c r="F117" i="174"/>
  <c r="E117" i="174"/>
  <c r="D117" i="174"/>
  <c r="C117" i="174"/>
  <c r="L116" i="174"/>
  <c r="K116" i="174"/>
  <c r="J116" i="174"/>
  <c r="I116" i="174"/>
  <c r="H116" i="174"/>
  <c r="G116" i="174"/>
  <c r="F116" i="174"/>
  <c r="E116" i="174"/>
  <c r="D116" i="174"/>
  <c r="C116" i="174"/>
  <c r="L115" i="174"/>
  <c r="K115" i="174"/>
  <c r="J115" i="174"/>
  <c r="I115" i="174"/>
  <c r="H115" i="174"/>
  <c r="G115" i="174"/>
  <c r="F115" i="174"/>
  <c r="E115" i="174"/>
  <c r="D115" i="174"/>
  <c r="C115" i="174"/>
  <c r="L114" i="174"/>
  <c r="K114" i="174"/>
  <c r="J114" i="174"/>
  <c r="I114" i="174"/>
  <c r="H114" i="174"/>
  <c r="G114" i="174"/>
  <c r="F114" i="174"/>
  <c r="F126" i="174" s="1"/>
  <c r="E114" i="174"/>
  <c r="D114" i="174"/>
  <c r="C114" i="174"/>
  <c r="L106" i="174"/>
  <c r="L135" i="174" s="1"/>
  <c r="K106" i="174"/>
  <c r="K135" i="174" s="1"/>
  <c r="J106" i="174"/>
  <c r="J135" i="174" s="1"/>
  <c r="I106" i="174"/>
  <c r="I135" i="174" s="1"/>
  <c r="H106" i="174"/>
  <c r="H135" i="174" s="1"/>
  <c r="G106" i="174"/>
  <c r="G135" i="174" s="1"/>
  <c r="F106" i="174"/>
  <c r="E106" i="174"/>
  <c r="E135" i="174" s="1"/>
  <c r="D106" i="174"/>
  <c r="D135" i="174" s="1"/>
  <c r="C106" i="174"/>
  <c r="C135" i="174" s="1"/>
  <c r="M105" i="174"/>
  <c r="M104" i="174"/>
  <c r="M103" i="174"/>
  <c r="M102" i="174"/>
  <c r="M101" i="174"/>
  <c r="M100" i="174"/>
  <c r="M99" i="174"/>
  <c r="M98" i="174"/>
  <c r="M97" i="174"/>
  <c r="M96" i="174"/>
  <c r="M95" i="174"/>
  <c r="M106" i="174" s="1"/>
  <c r="M135" i="174" s="1"/>
  <c r="M94" i="174"/>
  <c r="L86" i="174"/>
  <c r="K86" i="174"/>
  <c r="J86" i="174"/>
  <c r="I86" i="174"/>
  <c r="H86" i="174"/>
  <c r="G86" i="174"/>
  <c r="F86" i="174"/>
  <c r="E86" i="174"/>
  <c r="D86" i="174"/>
  <c r="C86" i="174"/>
  <c r="M85" i="174"/>
  <c r="M84" i="174"/>
  <c r="M83" i="174"/>
  <c r="M82" i="174"/>
  <c r="M81" i="174"/>
  <c r="M80" i="174"/>
  <c r="M79" i="174"/>
  <c r="M78" i="174"/>
  <c r="M77" i="174"/>
  <c r="M76" i="174"/>
  <c r="M75" i="174"/>
  <c r="M74" i="174"/>
  <c r="H53" i="174"/>
  <c r="F61" i="174" s="1"/>
  <c r="H52" i="174"/>
  <c r="F36" i="174"/>
  <c r="E36" i="174"/>
  <c r="D36" i="174"/>
  <c r="C36" i="174"/>
  <c r="F35" i="174"/>
  <c r="F34" i="174"/>
  <c r="L131" i="174"/>
  <c r="L139" i="174" s="1"/>
  <c r="K131" i="174"/>
  <c r="J131" i="174"/>
  <c r="J139" i="174" s="1"/>
  <c r="I131" i="174"/>
  <c r="H131" i="174"/>
  <c r="H139" i="174" s="1"/>
  <c r="G131" i="174"/>
  <c r="F131" i="174"/>
  <c r="F139" i="174" s="1"/>
  <c r="E131" i="174"/>
  <c r="A12" i="174"/>
  <c r="A13" i="174" s="1"/>
  <c r="A14" i="174" s="1"/>
  <c r="A15" i="174" s="1"/>
  <c r="A16" i="174" s="1"/>
  <c r="A17" i="174" s="1"/>
  <c r="A18" i="174" s="1"/>
  <c r="A19" i="174" s="1"/>
  <c r="A20" i="174" s="1"/>
  <c r="A21" i="174" s="1"/>
  <c r="A22" i="174" s="1"/>
  <c r="A23" i="174" s="1"/>
  <c r="M11" i="174"/>
  <c r="G75" i="173"/>
  <c r="H75" i="173" s="1"/>
  <c r="G74" i="173"/>
  <c r="H74" i="173" s="1"/>
  <c r="H77" i="173" s="1"/>
  <c r="I64" i="173"/>
  <c r="P34" i="173"/>
  <c r="C34" i="173" s="1"/>
  <c r="D34" i="173"/>
  <c r="A34" i="173"/>
  <c r="P32" i="173"/>
  <c r="C32" i="173" s="1"/>
  <c r="D32" i="173"/>
  <c r="C30" i="173"/>
  <c r="C28" i="173"/>
  <c r="C26" i="173"/>
  <c r="A26" i="173"/>
  <c r="A28" i="173" s="1"/>
  <c r="C24" i="173"/>
  <c r="A22" i="173"/>
  <c r="C14" i="173"/>
  <c r="C12" i="173"/>
  <c r="P10" i="173"/>
  <c r="D10" i="173"/>
  <c r="C10" i="173" s="1"/>
  <c r="A10" i="173"/>
  <c r="A14" i="173" s="1"/>
  <c r="A16" i="173" s="1"/>
  <c r="A18" i="173" s="1"/>
  <c r="C8" i="173"/>
  <c r="L41" i="172"/>
  <c r="L48" i="172"/>
  <c r="L35" i="172"/>
  <c r="L27" i="172"/>
  <c r="A11" i="172"/>
  <c r="A12" i="172" s="1"/>
  <c r="A13" i="172" s="1"/>
  <c r="A14" i="172" s="1"/>
  <c r="A15" i="172" s="1"/>
  <c r="A16" i="172" s="1"/>
  <c r="A19" i="172" s="1"/>
  <c r="L16" i="172"/>
  <c r="L29" i="172" s="1"/>
  <c r="A9" i="172"/>
  <c r="D6" i="139"/>
  <c r="F103" i="171"/>
  <c r="F98" i="171"/>
  <c r="J86" i="171"/>
  <c r="E87" i="171"/>
  <c r="E103" i="171" s="1"/>
  <c r="J42" i="171" s="1"/>
  <c r="H42" i="171"/>
  <c r="H41" i="171"/>
  <c r="A34" i="171"/>
  <c r="A38" i="171" s="1"/>
  <c r="H33" i="171"/>
  <c r="A33" i="171"/>
  <c r="H34" i="171" s="1"/>
  <c r="J21" i="171"/>
  <c r="J15" i="171"/>
  <c r="A7" i="171"/>
  <c r="A8" i="171" s="1"/>
  <c r="A9" i="171" s="1"/>
  <c r="A12" i="171" s="1"/>
  <c r="F63" i="174" l="1"/>
  <c r="F53" i="176"/>
  <c r="M103" i="176"/>
  <c r="M133" i="176" s="1"/>
  <c r="L43" i="172"/>
  <c r="G37" i="177"/>
  <c r="G14" i="179"/>
  <c r="N96" i="176"/>
  <c r="N122" i="176"/>
  <c r="I103" i="176"/>
  <c r="I133" i="176" s="1"/>
  <c r="I136" i="176" s="1"/>
  <c r="F37" i="177"/>
  <c r="J29" i="171"/>
  <c r="J41" i="171" s="1"/>
  <c r="E103" i="176"/>
  <c r="E133" i="176" s="1"/>
  <c r="E136" i="176" s="1"/>
  <c r="G15" i="179"/>
  <c r="A10" i="179"/>
  <c r="H20" i="178"/>
  <c r="F23" i="178" s="1"/>
  <c r="F25" i="178" s="1"/>
  <c r="F27" i="178" s="1"/>
  <c r="F30" i="178" s="1"/>
  <c r="A11" i="178"/>
  <c r="A12" i="178" s="1"/>
  <c r="A13" i="178" s="1"/>
  <c r="A14" i="178" s="1"/>
  <c r="A15" i="178" s="1"/>
  <c r="A16" i="178" s="1"/>
  <c r="A17" i="178" s="1"/>
  <c r="A18" i="178" s="1"/>
  <c r="A19" i="178" s="1"/>
  <c r="G24" i="178"/>
  <c r="H47" i="177"/>
  <c r="A85" i="177"/>
  <c r="H46" i="177"/>
  <c r="E62" i="177"/>
  <c r="G107" i="177"/>
  <c r="H85" i="177"/>
  <c r="G60" i="177" s="1"/>
  <c r="E60" i="177" s="1"/>
  <c r="G46" i="177"/>
  <c r="E46" i="177" s="1"/>
  <c r="E84" i="177"/>
  <c r="F85" i="177"/>
  <c r="G61" i="177" s="1"/>
  <c r="E77" i="177"/>
  <c r="E107" i="177"/>
  <c r="E73" i="177"/>
  <c r="E81" i="177"/>
  <c r="E85" i="177" s="1"/>
  <c r="E47" i="177"/>
  <c r="H48" i="177"/>
  <c r="F61" i="177"/>
  <c r="E37" i="177"/>
  <c r="A25" i="176"/>
  <c r="A33" i="176" s="1"/>
  <c r="B174" i="176"/>
  <c r="N118" i="176"/>
  <c r="G111" i="176"/>
  <c r="G103" i="176"/>
  <c r="G133" i="176" s="1"/>
  <c r="K103" i="176"/>
  <c r="K133" i="176" s="1"/>
  <c r="K136" i="176" s="1"/>
  <c r="K111" i="176"/>
  <c r="A45" i="176"/>
  <c r="J103" i="176"/>
  <c r="J133" i="176" s="1"/>
  <c r="J136" i="176" s="1"/>
  <c r="J111" i="176"/>
  <c r="N91" i="176"/>
  <c r="N92" i="176"/>
  <c r="N93" i="176"/>
  <c r="N94" i="176"/>
  <c r="N95" i="176"/>
  <c r="N97" i="176"/>
  <c r="N98" i="176"/>
  <c r="N99" i="176"/>
  <c r="N100" i="176"/>
  <c r="N101" i="176"/>
  <c r="N102" i="176"/>
  <c r="N116" i="176"/>
  <c r="N117" i="176"/>
  <c r="F136" i="176"/>
  <c r="M123" i="176"/>
  <c r="G136" i="176"/>
  <c r="N115" i="176"/>
  <c r="N119" i="176"/>
  <c r="F111" i="176"/>
  <c r="N112" i="176"/>
  <c r="N113" i="176"/>
  <c r="N120" i="176"/>
  <c r="N121" i="176"/>
  <c r="F60" i="176"/>
  <c r="I123" i="176"/>
  <c r="N114" i="176"/>
  <c r="M136" i="176"/>
  <c r="E111" i="176"/>
  <c r="D111" i="176"/>
  <c r="D103" i="176"/>
  <c r="D133" i="176" s="1"/>
  <c r="D136" i="176" s="1"/>
  <c r="H111" i="176"/>
  <c r="H103" i="176"/>
  <c r="H133" i="176" s="1"/>
  <c r="H136" i="176" s="1"/>
  <c r="L111" i="176"/>
  <c r="L103" i="176"/>
  <c r="L133" i="176" s="1"/>
  <c r="L136" i="176" s="1"/>
  <c r="N129" i="176"/>
  <c r="E28" i="175"/>
  <c r="F28" i="175" s="1"/>
  <c r="F17" i="175"/>
  <c r="F42" i="175"/>
  <c r="A12" i="175"/>
  <c r="F40" i="175"/>
  <c r="A24" i="174"/>
  <c r="B176" i="174"/>
  <c r="J155" i="174"/>
  <c r="J151" i="174"/>
  <c r="J147" i="174"/>
  <c r="J153" i="174"/>
  <c r="J157" i="174"/>
  <c r="J149" i="174"/>
  <c r="F154" i="174"/>
  <c r="F150" i="174"/>
  <c r="F146" i="174"/>
  <c r="M121" i="174"/>
  <c r="E157" i="174"/>
  <c r="M125" i="174"/>
  <c r="E139" i="174"/>
  <c r="E150" i="174" s="1"/>
  <c r="F148" i="174"/>
  <c r="F156" i="174"/>
  <c r="M115" i="174"/>
  <c r="E151" i="174"/>
  <c r="M119" i="174"/>
  <c r="M123" i="174"/>
  <c r="F152" i="174"/>
  <c r="F56" i="174"/>
  <c r="F58" i="174" s="1"/>
  <c r="M86" i="174"/>
  <c r="E126" i="174"/>
  <c r="M114" i="174"/>
  <c r="M118" i="174"/>
  <c r="M122" i="174"/>
  <c r="I126" i="174"/>
  <c r="E148" i="174"/>
  <c r="M116" i="174"/>
  <c r="M120" i="174"/>
  <c r="E156" i="174"/>
  <c r="M124" i="174"/>
  <c r="I139" i="174"/>
  <c r="I156" i="174" s="1"/>
  <c r="E146" i="174"/>
  <c r="M23" i="174"/>
  <c r="J146" i="174"/>
  <c r="F147" i="174"/>
  <c r="J148" i="174"/>
  <c r="F149" i="174"/>
  <c r="J150" i="174"/>
  <c r="F151" i="174"/>
  <c r="J152" i="174"/>
  <c r="F153" i="174"/>
  <c r="J154" i="174"/>
  <c r="F155" i="174"/>
  <c r="J156" i="174"/>
  <c r="F157" i="174"/>
  <c r="C150" i="174"/>
  <c r="C154" i="174"/>
  <c r="G157" i="174"/>
  <c r="G139" i="174"/>
  <c r="G148" i="174" s="1"/>
  <c r="K139" i="174"/>
  <c r="K149" i="174" s="1"/>
  <c r="D147" i="174"/>
  <c r="L147" i="174"/>
  <c r="D149" i="174"/>
  <c r="L149" i="174"/>
  <c r="D151" i="174"/>
  <c r="L151" i="174"/>
  <c r="D153" i="174"/>
  <c r="L153" i="174"/>
  <c r="D155" i="174"/>
  <c r="L155" i="174"/>
  <c r="L156" i="174"/>
  <c r="D157" i="174"/>
  <c r="L157" i="174"/>
  <c r="D126" i="174"/>
  <c r="D146" i="174" s="1"/>
  <c r="H126" i="174"/>
  <c r="H147" i="174" s="1"/>
  <c r="L126" i="174"/>
  <c r="L148" i="174" s="1"/>
  <c r="C126" i="174"/>
  <c r="C147" i="174" s="1"/>
  <c r="G126" i="174"/>
  <c r="G156" i="174" s="1"/>
  <c r="K126" i="174"/>
  <c r="A20" i="172"/>
  <c r="A21" i="172" s="1"/>
  <c r="A22" i="172" s="1"/>
  <c r="A23" i="172" s="1"/>
  <c r="A25" i="172" s="1"/>
  <c r="A26" i="172" s="1"/>
  <c r="A27" i="172" s="1"/>
  <c r="J27" i="172"/>
  <c r="L51" i="172"/>
  <c r="J16" i="172"/>
  <c r="A13" i="171"/>
  <c r="A14" i="171" s="1"/>
  <c r="A15" i="171" s="1"/>
  <c r="A18" i="171" s="1"/>
  <c r="H57" i="171"/>
  <c r="A41" i="171"/>
  <c r="A42" i="171" s="1"/>
  <c r="A43" i="171" s="1"/>
  <c r="A44" i="171" s="1"/>
  <c r="A45" i="171" s="1"/>
  <c r="A48" i="171" s="1"/>
  <c r="J38" i="171"/>
  <c r="J57" i="171" s="1"/>
  <c r="E98" i="171"/>
  <c r="J33" i="171" s="1"/>
  <c r="J34" i="171" s="1"/>
  <c r="J56" i="171" s="1"/>
  <c r="J60" i="171" s="1"/>
  <c r="J64" i="171" s="1"/>
  <c r="E68" i="171" s="1"/>
  <c r="H56" i="171"/>
  <c r="G151" i="174" l="1"/>
  <c r="I146" i="174"/>
  <c r="I155" i="174"/>
  <c r="I154" i="174"/>
  <c r="G155" i="174"/>
  <c r="G149" i="174"/>
  <c r="E149" i="174"/>
  <c r="E154" i="174"/>
  <c r="I147" i="174"/>
  <c r="E51" i="177"/>
  <c r="I151" i="176"/>
  <c r="I150" i="176"/>
  <c r="I152" i="174"/>
  <c r="K148" i="174"/>
  <c r="G153" i="174"/>
  <c r="G147" i="174"/>
  <c r="E152" i="174"/>
  <c r="I153" i="174"/>
  <c r="I150" i="174"/>
  <c r="E155" i="174"/>
  <c r="E147" i="174"/>
  <c r="I157" i="174"/>
  <c r="E153" i="174"/>
  <c r="A11" i="179"/>
  <c r="G23" i="179"/>
  <c r="G25" i="179"/>
  <c r="C76" i="178"/>
  <c r="A20" i="178"/>
  <c r="H61" i="177"/>
  <c r="A94" i="177"/>
  <c r="A95" i="177" s="1"/>
  <c r="A96" i="177" s="1"/>
  <c r="A97" i="177" s="1"/>
  <c r="A98" i="177" s="1"/>
  <c r="A99" i="177" s="1"/>
  <c r="A100" i="177" s="1"/>
  <c r="A101" i="177" s="1"/>
  <c r="A102" i="177" s="1"/>
  <c r="A103" i="177" s="1"/>
  <c r="A104" i="177" s="1"/>
  <c r="A105" i="177" s="1"/>
  <c r="A106" i="177" s="1"/>
  <c r="A107" i="177" s="1"/>
  <c r="A117" i="177" s="1"/>
  <c r="H60" i="177"/>
  <c r="H62" i="177"/>
  <c r="E61" i="177"/>
  <c r="E65" i="177" s="1"/>
  <c r="L123" i="176"/>
  <c r="L148" i="176" s="1"/>
  <c r="L144" i="176"/>
  <c r="D123" i="176"/>
  <c r="N111" i="176"/>
  <c r="N123" i="176" s="1"/>
  <c r="M153" i="176"/>
  <c r="M150" i="176"/>
  <c r="F123" i="176"/>
  <c r="M152" i="176"/>
  <c r="M144" i="176"/>
  <c r="J123" i="176"/>
  <c r="G123" i="176"/>
  <c r="G145" i="176" s="1"/>
  <c r="G144" i="176"/>
  <c r="E123" i="176"/>
  <c r="E145" i="176" s="1"/>
  <c r="I149" i="176"/>
  <c r="M148" i="176"/>
  <c r="M154" i="176"/>
  <c r="I144" i="176"/>
  <c r="N136" i="176"/>
  <c r="M147" i="176"/>
  <c r="K123" i="176"/>
  <c r="K151" i="176" s="1"/>
  <c r="H35" i="176"/>
  <c r="B169" i="176"/>
  <c r="H154" i="176"/>
  <c r="H150" i="176"/>
  <c r="H123" i="176"/>
  <c r="H148" i="176" s="1"/>
  <c r="H144" i="176"/>
  <c r="M155" i="176"/>
  <c r="I153" i="176"/>
  <c r="M149" i="176"/>
  <c r="M146" i="176"/>
  <c r="I147" i="176"/>
  <c r="M151" i="176"/>
  <c r="F151" i="176"/>
  <c r="G58" i="176"/>
  <c r="A46" i="176"/>
  <c r="J153" i="176"/>
  <c r="M145" i="176"/>
  <c r="K152" i="176"/>
  <c r="N133" i="176"/>
  <c r="E154" i="176"/>
  <c r="I152" i="176"/>
  <c r="I148" i="176"/>
  <c r="I145" i="176"/>
  <c r="I155" i="176"/>
  <c r="G149" i="176"/>
  <c r="J155" i="176"/>
  <c r="N103" i="176"/>
  <c r="H46" i="176"/>
  <c r="J151" i="176"/>
  <c r="I154" i="176"/>
  <c r="I146" i="176"/>
  <c r="A13" i="175"/>
  <c r="A14" i="175" s="1"/>
  <c r="A15" i="175" s="1"/>
  <c r="A16" i="175" s="1"/>
  <c r="A17" i="175" s="1"/>
  <c r="D17" i="175"/>
  <c r="D12" i="174"/>
  <c r="D13" i="174" s="1"/>
  <c r="H154" i="174"/>
  <c r="K152" i="174"/>
  <c r="H156" i="174"/>
  <c r="H152" i="174"/>
  <c r="H148" i="174"/>
  <c r="C156" i="174"/>
  <c r="K154" i="174"/>
  <c r="C152" i="174"/>
  <c r="K150" i="174"/>
  <c r="C148" i="174"/>
  <c r="K146" i="174"/>
  <c r="E12" i="174"/>
  <c r="H157" i="174"/>
  <c r="D156" i="174"/>
  <c r="L154" i="174"/>
  <c r="H153" i="174"/>
  <c r="D152" i="174"/>
  <c r="L150" i="174"/>
  <c r="H149" i="174"/>
  <c r="D148" i="174"/>
  <c r="L146" i="174"/>
  <c r="C157" i="174"/>
  <c r="K155" i="174"/>
  <c r="G154" i="174"/>
  <c r="C153" i="174"/>
  <c r="K151" i="174"/>
  <c r="G150" i="174"/>
  <c r="C149" i="174"/>
  <c r="K147" i="174"/>
  <c r="G146" i="174"/>
  <c r="I148" i="174"/>
  <c r="M126" i="174"/>
  <c r="I149" i="174"/>
  <c r="I151" i="174"/>
  <c r="H150" i="174"/>
  <c r="H146" i="174"/>
  <c r="K156" i="174"/>
  <c r="C146" i="174"/>
  <c r="J158" i="174"/>
  <c r="J12" i="174"/>
  <c r="J13" i="174" s="1"/>
  <c r="J14" i="174" s="1"/>
  <c r="J15" i="174" s="1"/>
  <c r="J16" i="174" s="1"/>
  <c r="J17" i="174" s="1"/>
  <c r="J18" i="174" s="1"/>
  <c r="J19" i="174" s="1"/>
  <c r="J20" i="174" s="1"/>
  <c r="J21" i="174" s="1"/>
  <c r="J22" i="174" s="1"/>
  <c r="I12" i="174"/>
  <c r="I13" i="174" s="1"/>
  <c r="A34" i="174"/>
  <c r="H155" i="174"/>
  <c r="D154" i="174"/>
  <c r="L152" i="174"/>
  <c r="H151" i="174"/>
  <c r="D150" i="174"/>
  <c r="K157" i="174"/>
  <c r="C155" i="174"/>
  <c r="K153" i="174"/>
  <c r="G152" i="174"/>
  <c r="C151" i="174"/>
  <c r="M131" i="174"/>
  <c r="M139" i="174" s="1"/>
  <c r="D43" i="174"/>
  <c r="F12" i="174"/>
  <c r="F158" i="174"/>
  <c r="J29" i="172"/>
  <c r="A29" i="172"/>
  <c r="A32" i="172" s="1"/>
  <c r="E73" i="171"/>
  <c r="J70" i="171" s="1"/>
  <c r="A19" i="171"/>
  <c r="A20" i="171" s="1"/>
  <c r="A21" i="171" s="1"/>
  <c r="A23" i="171" s="1"/>
  <c r="H15" i="171"/>
  <c r="A49" i="171"/>
  <c r="A51" i="171" s="1"/>
  <c r="A52" i="171" s="1"/>
  <c r="A53" i="171" s="1"/>
  <c r="A54" i="171" s="1"/>
  <c r="A55" i="171" s="1"/>
  <c r="A56" i="171" s="1"/>
  <c r="A57" i="171" s="1"/>
  <c r="A58" i="171" s="1"/>
  <c r="A59" i="171" s="1"/>
  <c r="A60" i="171" s="1"/>
  <c r="H60" i="171"/>
  <c r="H29" i="171"/>
  <c r="H153" i="176" l="1"/>
  <c r="L155" i="176"/>
  <c r="H146" i="176"/>
  <c r="H149" i="176"/>
  <c r="L145" i="176"/>
  <c r="M157" i="174"/>
  <c r="E158" i="174"/>
  <c r="J72" i="171"/>
  <c r="D7" i="139"/>
  <c r="I14" i="174"/>
  <c r="L151" i="176"/>
  <c r="L152" i="176"/>
  <c r="K145" i="176"/>
  <c r="G154" i="176"/>
  <c r="G147" i="176"/>
  <c r="G146" i="176"/>
  <c r="K144" i="176"/>
  <c r="K13" i="176" s="1"/>
  <c r="L154" i="176"/>
  <c r="L149" i="176"/>
  <c r="K148" i="176"/>
  <c r="G150" i="176"/>
  <c r="H145" i="176"/>
  <c r="L146" i="176"/>
  <c r="L153" i="176"/>
  <c r="G28" i="179"/>
  <c r="E13" i="179"/>
  <c r="A12" i="179"/>
  <c r="A13" i="179" s="1"/>
  <c r="G23" i="178"/>
  <c r="A23" i="178"/>
  <c r="A118" i="177"/>
  <c r="A119" i="177" s="1"/>
  <c r="A120" i="177" s="1"/>
  <c r="A121" i="177" s="1"/>
  <c r="A122" i="177" s="1"/>
  <c r="A123" i="177" s="1"/>
  <c r="A124" i="177" s="1"/>
  <c r="A125" i="177" s="1"/>
  <c r="A126" i="177" s="1"/>
  <c r="A127" i="177" s="1"/>
  <c r="A128" i="177" s="1"/>
  <c r="A129" i="177" s="1"/>
  <c r="A137" i="177" s="1"/>
  <c r="F69" i="177"/>
  <c r="I156" i="176"/>
  <c r="I13" i="176"/>
  <c r="I14" i="176" s="1"/>
  <c r="I15" i="176" s="1"/>
  <c r="I16" i="176" s="1"/>
  <c r="I17" i="176" s="1"/>
  <c r="I18" i="176" s="1"/>
  <c r="I19" i="176" s="1"/>
  <c r="I20" i="176" s="1"/>
  <c r="I21" i="176" s="1"/>
  <c r="I22" i="176" s="1"/>
  <c r="I23" i="176" s="1"/>
  <c r="E150" i="176"/>
  <c r="E149" i="176"/>
  <c r="E147" i="176"/>
  <c r="E151" i="176"/>
  <c r="E148" i="176"/>
  <c r="E152" i="176"/>
  <c r="E155" i="176"/>
  <c r="J148" i="176"/>
  <c r="J149" i="176"/>
  <c r="J146" i="176"/>
  <c r="J152" i="176"/>
  <c r="F149" i="176"/>
  <c r="F153" i="176"/>
  <c r="F148" i="176"/>
  <c r="F155" i="176"/>
  <c r="J154" i="176"/>
  <c r="E153" i="176"/>
  <c r="J150" i="176"/>
  <c r="F152" i="176"/>
  <c r="E144" i="176"/>
  <c r="J144" i="176"/>
  <c r="F144" i="176"/>
  <c r="A51" i="176"/>
  <c r="G51" i="176"/>
  <c r="H13" i="176"/>
  <c r="F147" i="176"/>
  <c r="F146" i="176"/>
  <c r="G13" i="176"/>
  <c r="M156" i="176"/>
  <c r="M13" i="176"/>
  <c r="M14" i="176" s="1"/>
  <c r="M15" i="176" s="1"/>
  <c r="M16" i="176" s="1"/>
  <c r="M17" i="176" s="1"/>
  <c r="M18" i="176" s="1"/>
  <c r="M19" i="176" s="1"/>
  <c r="M20" i="176" s="1"/>
  <c r="M21" i="176" s="1"/>
  <c r="M22" i="176" s="1"/>
  <c r="M23" i="176" s="1"/>
  <c r="L13" i="176"/>
  <c r="L14" i="176"/>
  <c r="L15" i="176" s="1"/>
  <c r="J147" i="176"/>
  <c r="E146" i="176"/>
  <c r="F145" i="176"/>
  <c r="H147" i="176"/>
  <c r="H151" i="176"/>
  <c r="H155" i="176"/>
  <c r="J145" i="176"/>
  <c r="K154" i="176"/>
  <c r="K149" i="176"/>
  <c r="K153" i="176"/>
  <c r="K146" i="176"/>
  <c r="K150" i="176"/>
  <c r="K155" i="176"/>
  <c r="K147" i="176"/>
  <c r="F154" i="176"/>
  <c r="G148" i="176"/>
  <c r="G151" i="176"/>
  <c r="G155" i="176"/>
  <c r="G152" i="176"/>
  <c r="G153" i="176"/>
  <c r="H152" i="176"/>
  <c r="L150" i="176"/>
  <c r="L147" i="176"/>
  <c r="F150" i="176"/>
  <c r="A18" i="175"/>
  <c r="A19" i="175" s="1"/>
  <c r="A20" i="175" s="1"/>
  <c r="G158" i="174"/>
  <c r="G12" i="174"/>
  <c r="M156" i="174"/>
  <c r="M155" i="174"/>
  <c r="B171" i="174"/>
  <c r="A35" i="174"/>
  <c r="H158" i="174"/>
  <c r="H12" i="174"/>
  <c r="I15" i="174"/>
  <c r="I16" i="174" s="1"/>
  <c r="F13" i="174"/>
  <c r="F14" i="174" s="1"/>
  <c r="F15" i="174" s="1"/>
  <c r="F16" i="174" s="1"/>
  <c r="F17" i="174" s="1"/>
  <c r="F18" i="174" s="1"/>
  <c r="F19" i="174" s="1"/>
  <c r="F20" i="174" s="1"/>
  <c r="F21" i="174" s="1"/>
  <c r="F22" i="174" s="1"/>
  <c r="M153" i="174"/>
  <c r="L158" i="174"/>
  <c r="L12" i="174"/>
  <c r="K158" i="174"/>
  <c r="K12" i="174"/>
  <c r="M152" i="174"/>
  <c r="M147" i="174"/>
  <c r="M151" i="174"/>
  <c r="I158" i="174"/>
  <c r="M154" i="174"/>
  <c r="M149" i="174"/>
  <c r="D14" i="174"/>
  <c r="D15" i="174" s="1"/>
  <c r="D16" i="174" s="1"/>
  <c r="D17" i="174" s="1"/>
  <c r="D18" i="174" s="1"/>
  <c r="D19" i="174" s="1"/>
  <c r="D20" i="174" s="1"/>
  <c r="D21" i="174" s="1"/>
  <c r="D22" i="174" s="1"/>
  <c r="M148" i="174"/>
  <c r="M150" i="174"/>
  <c r="J24" i="174"/>
  <c r="C158" i="174"/>
  <c r="M146" i="174"/>
  <c r="C12" i="174"/>
  <c r="I17" i="174"/>
  <c r="I18" i="174" s="1"/>
  <c r="I19" i="174" s="1"/>
  <c r="I20" i="174" s="1"/>
  <c r="I21" i="174" s="1"/>
  <c r="I22" i="174" s="1"/>
  <c r="E13" i="174"/>
  <c r="E14" i="174" s="1"/>
  <c r="E15" i="174" s="1"/>
  <c r="E16" i="174" s="1"/>
  <c r="E17" i="174" s="1"/>
  <c r="E18" i="174" s="1"/>
  <c r="E19" i="174" s="1"/>
  <c r="E20" i="174" s="1"/>
  <c r="E21" i="174" s="1"/>
  <c r="E22" i="174" s="1"/>
  <c r="D158" i="174"/>
  <c r="I47" i="172"/>
  <c r="A33" i="172"/>
  <c r="A34" i="172" s="1"/>
  <c r="A24" i="171"/>
  <c r="A25" i="171" s="1"/>
  <c r="H21" i="171"/>
  <c r="A62" i="171"/>
  <c r="A64" i="171" s="1"/>
  <c r="L156" i="176" l="1"/>
  <c r="K14" i="176"/>
  <c r="K15" i="176"/>
  <c r="K16" i="176" s="1"/>
  <c r="K17" i="176" s="1"/>
  <c r="K18" i="176" s="1"/>
  <c r="K19" i="176" s="1"/>
  <c r="K20" i="176" s="1"/>
  <c r="K21" i="176" s="1"/>
  <c r="K22" i="176" s="1"/>
  <c r="K23" i="176" s="1"/>
  <c r="A14" i="179"/>
  <c r="E14" i="179"/>
  <c r="A24" i="178"/>
  <c r="A25" i="178" s="1"/>
  <c r="A138" i="177"/>
  <c r="A139" i="177" s="1"/>
  <c r="A140" i="177" s="1"/>
  <c r="A141" i="177" s="1"/>
  <c r="A142" i="177" s="1"/>
  <c r="A143" i="177" s="1"/>
  <c r="A144" i="177" s="1"/>
  <c r="A145" i="177" s="1"/>
  <c r="A146" i="177" s="1"/>
  <c r="A147" i="177" s="1"/>
  <c r="A148" i="177" s="1"/>
  <c r="A149" i="177" s="1"/>
  <c r="A157" i="177" s="1"/>
  <c r="H69" i="177"/>
  <c r="N146" i="176"/>
  <c r="F13" i="176"/>
  <c r="F156" i="176"/>
  <c r="N155" i="176"/>
  <c r="N147" i="176"/>
  <c r="N154" i="176"/>
  <c r="L16" i="176"/>
  <c r="L17" i="176" s="1"/>
  <c r="L18" i="176" s="1"/>
  <c r="L19" i="176" s="1"/>
  <c r="L20" i="176" s="1"/>
  <c r="L21" i="176" s="1"/>
  <c r="L22" i="176" s="1"/>
  <c r="L23" i="176" s="1"/>
  <c r="H156" i="176"/>
  <c r="A52" i="176"/>
  <c r="A53" i="176" s="1"/>
  <c r="A58" i="176" s="1"/>
  <c r="G53" i="176"/>
  <c r="J13" i="176"/>
  <c r="J14" i="176" s="1"/>
  <c r="J15" i="176" s="1"/>
  <c r="J16" i="176" s="1"/>
  <c r="J17" i="176" s="1"/>
  <c r="J18" i="176" s="1"/>
  <c r="J19" i="176" s="1"/>
  <c r="J20" i="176" s="1"/>
  <c r="J21" i="176" s="1"/>
  <c r="J22" i="176" s="1"/>
  <c r="J23" i="176" s="1"/>
  <c r="J156" i="176"/>
  <c r="N152" i="176"/>
  <c r="N149" i="176"/>
  <c r="H14" i="176"/>
  <c r="H15" i="176" s="1"/>
  <c r="G156" i="176"/>
  <c r="E156" i="176"/>
  <c r="N144" i="176"/>
  <c r="E13" i="176"/>
  <c r="N148" i="176"/>
  <c r="N150" i="176"/>
  <c r="N145" i="176"/>
  <c r="H16" i="176"/>
  <c r="H17" i="176" s="1"/>
  <c r="H18" i="176" s="1"/>
  <c r="H19" i="176" s="1"/>
  <c r="H20" i="176" s="1"/>
  <c r="H21" i="176" s="1"/>
  <c r="H22" i="176" s="1"/>
  <c r="H23" i="176" s="1"/>
  <c r="G14" i="176"/>
  <c r="G15" i="176" s="1"/>
  <c r="G16" i="176" s="1"/>
  <c r="G17" i="176" s="1"/>
  <c r="G18" i="176" s="1"/>
  <c r="G19" i="176" s="1"/>
  <c r="G20" i="176" s="1"/>
  <c r="G21" i="176" s="1"/>
  <c r="G22" i="176" s="1"/>
  <c r="G23" i="176" s="1"/>
  <c r="M25" i="176"/>
  <c r="N153" i="176"/>
  <c r="N151" i="176"/>
  <c r="I25" i="176"/>
  <c r="K156" i="176"/>
  <c r="A21" i="175"/>
  <c r="A22" i="175" s="1"/>
  <c r="A23" i="175" s="1"/>
  <c r="A24" i="175" s="1"/>
  <c r="A25" i="175" s="1"/>
  <c r="A26" i="175" s="1"/>
  <c r="H13" i="174"/>
  <c r="H14" i="174" s="1"/>
  <c r="H15" i="174" s="1"/>
  <c r="H16" i="174" s="1"/>
  <c r="H17" i="174" s="1"/>
  <c r="H18" i="174" s="1"/>
  <c r="H19" i="174" s="1"/>
  <c r="H20" i="174" s="1"/>
  <c r="H21" i="174" s="1"/>
  <c r="H22" i="174" s="1"/>
  <c r="L13" i="174"/>
  <c r="L14" i="174" s="1"/>
  <c r="L15" i="174" s="1"/>
  <c r="L16" i="174" s="1"/>
  <c r="L17" i="174" s="1"/>
  <c r="L18" i="174" s="1"/>
  <c r="L19" i="174" s="1"/>
  <c r="L20" i="174" s="1"/>
  <c r="L21" i="174" s="1"/>
  <c r="L22" i="174" s="1"/>
  <c r="K13" i="174"/>
  <c r="K14" i="174" s="1"/>
  <c r="K15" i="174" s="1"/>
  <c r="K16" i="174" s="1"/>
  <c r="K17" i="174" s="1"/>
  <c r="K18" i="174" s="1"/>
  <c r="K19" i="174" s="1"/>
  <c r="K20" i="174" s="1"/>
  <c r="K21" i="174" s="1"/>
  <c r="K22" i="174" s="1"/>
  <c r="M12" i="174"/>
  <c r="C13" i="174"/>
  <c r="I24" i="174"/>
  <c r="D24" i="174"/>
  <c r="B172" i="174"/>
  <c r="A36" i="174"/>
  <c r="E43" i="174"/>
  <c r="G13" i="174"/>
  <c r="G14" i="174" s="1"/>
  <c r="G15" i="174" s="1"/>
  <c r="G16" i="174" s="1"/>
  <c r="G17" i="174" s="1"/>
  <c r="G18" i="174" s="1"/>
  <c r="G19" i="174" s="1"/>
  <c r="G20" i="174" s="1"/>
  <c r="G21" i="174" s="1"/>
  <c r="G22" i="174" s="1"/>
  <c r="M158" i="174"/>
  <c r="E24" i="174"/>
  <c r="F24" i="174"/>
  <c r="I48" i="172"/>
  <c r="B57" i="172"/>
  <c r="A35" i="172"/>
  <c r="A38" i="172" s="1"/>
  <c r="J35" i="172"/>
  <c r="G68" i="171"/>
  <c r="A68" i="171"/>
  <c r="H30" i="171"/>
  <c r="H64" i="171"/>
  <c r="G24" i="174" l="1"/>
  <c r="K24" i="174"/>
  <c r="E15" i="179"/>
  <c r="A15" i="179"/>
  <c r="A16" i="179" s="1"/>
  <c r="A17" i="179" s="1"/>
  <c r="A18" i="179" s="1"/>
  <c r="A19" i="179" s="1"/>
  <c r="A20" i="179" s="1"/>
  <c r="G25" i="178"/>
  <c r="G27" i="178"/>
  <c r="A26" i="178"/>
  <c r="A27" i="178" s="1"/>
  <c r="A158" i="177"/>
  <c r="A159" i="177" s="1"/>
  <c r="A160" i="177" s="1"/>
  <c r="A161" i="177" s="1"/>
  <c r="A162" i="177" s="1"/>
  <c r="A163" i="177" s="1"/>
  <c r="A164" i="177" s="1"/>
  <c r="A165" i="177" s="1"/>
  <c r="A166" i="177" s="1"/>
  <c r="A167" i="177" s="1"/>
  <c r="A168" i="177" s="1"/>
  <c r="A169" i="177" s="1"/>
  <c r="A176" i="177" s="1"/>
  <c r="A177" i="177" s="1"/>
  <c r="A178" i="177" s="1"/>
  <c r="A179" i="177" s="1"/>
  <c r="A180" i="177" s="1"/>
  <c r="A181" i="177" s="1"/>
  <c r="A182" i="177" s="1"/>
  <c r="A183" i="177" s="1"/>
  <c r="A184" i="177" s="1"/>
  <c r="A185" i="177" s="1"/>
  <c r="A186" i="177" s="1"/>
  <c r="A187" i="177" s="1"/>
  <c r="A188" i="177" s="1"/>
  <c r="A195" i="177" s="1"/>
  <c r="A196" i="177" s="1"/>
  <c r="A197" i="177" s="1"/>
  <c r="A198" i="177" s="1"/>
  <c r="A199" i="177" s="1"/>
  <c r="A200" i="177" s="1"/>
  <c r="A201" i="177" s="1"/>
  <c r="A202" i="177" s="1"/>
  <c r="A203" i="177" s="1"/>
  <c r="A204" i="177" s="1"/>
  <c r="A205" i="177" s="1"/>
  <c r="A206" i="177" s="1"/>
  <c r="A207" i="177" s="1"/>
  <c r="A214" i="177" s="1"/>
  <c r="A215" i="177" s="1"/>
  <c r="A216" i="177" s="1"/>
  <c r="A217" i="177" s="1"/>
  <c r="A218" i="177" s="1"/>
  <c r="A219" i="177" s="1"/>
  <c r="A220" i="177" s="1"/>
  <c r="A221" i="177" s="1"/>
  <c r="A222" i="177" s="1"/>
  <c r="A223" i="177" s="1"/>
  <c r="A224" i="177" s="1"/>
  <c r="A225" i="177" s="1"/>
  <c r="A226" i="177" s="1"/>
  <c r="A233" i="177" s="1"/>
  <c r="A234" i="177" s="1"/>
  <c r="A235" i="177" s="1"/>
  <c r="A236" i="177" s="1"/>
  <c r="A237" i="177" s="1"/>
  <c r="A238" i="177" s="1"/>
  <c r="A239" i="177" s="1"/>
  <c r="A240" i="177" s="1"/>
  <c r="A241" i="177" s="1"/>
  <c r="A242" i="177" s="1"/>
  <c r="A243" i="177" s="1"/>
  <c r="A244" i="177" s="1"/>
  <c r="A245" i="177" s="1"/>
  <c r="A252" i="177" s="1"/>
  <c r="A253" i="177" s="1"/>
  <c r="A254" i="177" s="1"/>
  <c r="A255" i="177" s="1"/>
  <c r="A256" i="177" s="1"/>
  <c r="A257" i="177" s="1"/>
  <c r="A258" i="177" s="1"/>
  <c r="A259" i="177" s="1"/>
  <c r="A260" i="177" s="1"/>
  <c r="A261" i="177" s="1"/>
  <c r="A262" i="177" s="1"/>
  <c r="A263" i="177" s="1"/>
  <c r="A264" i="177" s="1"/>
  <c r="A271" i="177" s="1"/>
  <c r="A272" i="177" s="1"/>
  <c r="A273" i="177" s="1"/>
  <c r="A274" i="177" s="1"/>
  <c r="A275" i="177" s="1"/>
  <c r="A276" i="177" s="1"/>
  <c r="A277" i="177" s="1"/>
  <c r="A278" i="177" s="1"/>
  <c r="A279" i="177" s="1"/>
  <c r="A280" i="177" s="1"/>
  <c r="A281" i="177" s="1"/>
  <c r="A282" i="177" s="1"/>
  <c r="A283" i="177" s="1"/>
  <c r="A290" i="177" s="1"/>
  <c r="A291" i="177" s="1"/>
  <c r="A292" i="177" s="1"/>
  <c r="A293" i="177" s="1"/>
  <c r="A294" i="177" s="1"/>
  <c r="A295" i="177" s="1"/>
  <c r="A296" i="177" s="1"/>
  <c r="A297" i="177" s="1"/>
  <c r="A298" i="177" s="1"/>
  <c r="A299" i="177" s="1"/>
  <c r="A300" i="177" s="1"/>
  <c r="A301" i="177" s="1"/>
  <c r="A302" i="177" s="1"/>
  <c r="A307" i="177" s="1"/>
  <c r="A308" i="177" s="1"/>
  <c r="A309" i="177" s="1"/>
  <c r="A312" i="177" s="1"/>
  <c r="A313" i="177" s="1"/>
  <c r="A314" i="177" s="1"/>
  <c r="A317" i="177" s="1"/>
  <c r="A318" i="177" s="1"/>
  <c r="A319" i="177" s="1"/>
  <c r="A320" i="177" s="1"/>
  <c r="A323" i="177" s="1"/>
  <c r="A324" i="177" s="1"/>
  <c r="A325" i="177" s="1"/>
  <c r="A326" i="177" s="1"/>
  <c r="A327" i="177" s="1"/>
  <c r="A330" i="177" s="1"/>
  <c r="A331" i="177" s="1"/>
  <c r="A332" i="177" s="1"/>
  <c r="A335" i="177" s="1"/>
  <c r="A336" i="177" s="1"/>
  <c r="A337" i="177" s="1"/>
  <c r="A340" i="177" s="1"/>
  <c r="A341" i="177" s="1"/>
  <c r="A342" i="177" s="1"/>
  <c r="A345" i="177" s="1"/>
  <c r="A346" i="177" s="1"/>
  <c r="A347" i="177" s="1"/>
  <c r="A350" i="177" s="1"/>
  <c r="A351" i="177" s="1"/>
  <c r="A352" i="177" s="1"/>
  <c r="A355" i="177" s="1"/>
  <c r="A356" i="177" s="1"/>
  <c r="A357" i="177" s="1"/>
  <c r="A360" i="177" s="1"/>
  <c r="A361" i="177" s="1"/>
  <c r="A362" i="177" s="1"/>
  <c r="A365" i="177" s="1"/>
  <c r="A366" i="177" s="1"/>
  <c r="A367" i="177" s="1"/>
  <c r="G69" i="177"/>
  <c r="G25" i="176"/>
  <c r="A59" i="176"/>
  <c r="A60" i="176" s="1"/>
  <c r="A71" i="176" s="1"/>
  <c r="G60" i="176"/>
  <c r="H25" i="176"/>
  <c r="K25" i="176"/>
  <c r="N13" i="176"/>
  <c r="E14" i="176"/>
  <c r="L25" i="176"/>
  <c r="N156" i="176"/>
  <c r="F14" i="176"/>
  <c r="F15" i="176" s="1"/>
  <c r="F16" i="176" s="1"/>
  <c r="F17" i="176" s="1"/>
  <c r="F18" i="176" s="1"/>
  <c r="F19" i="176" s="1"/>
  <c r="F20" i="176" s="1"/>
  <c r="F21" i="176" s="1"/>
  <c r="F22" i="176" s="1"/>
  <c r="F23" i="176" s="1"/>
  <c r="J25" i="176"/>
  <c r="A27" i="175"/>
  <c r="A28" i="175" s="1"/>
  <c r="A34" i="175" s="1"/>
  <c r="A35" i="175" s="1"/>
  <c r="A36" i="175" s="1"/>
  <c r="D28" i="175"/>
  <c r="D26" i="175"/>
  <c r="A42" i="174"/>
  <c r="A43" i="174" s="1"/>
  <c r="A52" i="174" s="1"/>
  <c r="E42" i="174"/>
  <c r="L24" i="174"/>
  <c r="M13" i="174"/>
  <c r="C14" i="174"/>
  <c r="H24" i="174"/>
  <c r="A39" i="172"/>
  <c r="A40" i="172" s="1"/>
  <c r="A41" i="172" s="1"/>
  <c r="A69" i="171"/>
  <c r="A70" i="171" s="1"/>
  <c r="A21" i="179" l="1"/>
  <c r="A22" i="179" s="1"/>
  <c r="A28" i="178"/>
  <c r="A72" i="176"/>
  <c r="A73" i="176" s="1"/>
  <c r="A74" i="176" s="1"/>
  <c r="A75" i="176" s="1"/>
  <c r="A76" i="176" s="1"/>
  <c r="A77" i="176" s="1"/>
  <c r="A78" i="176" s="1"/>
  <c r="A79" i="176" s="1"/>
  <c r="A80" i="176" s="1"/>
  <c r="A81" i="176" s="1"/>
  <c r="A82" i="176" s="1"/>
  <c r="A83" i="176" s="1"/>
  <c r="A91" i="176" s="1"/>
  <c r="A92" i="176" s="1"/>
  <c r="A93" i="176" s="1"/>
  <c r="A94" i="176" s="1"/>
  <c r="A95" i="176" s="1"/>
  <c r="A96" i="176" s="1"/>
  <c r="A97" i="176" s="1"/>
  <c r="A98" i="176" s="1"/>
  <c r="A99" i="176" s="1"/>
  <c r="A100" i="176" s="1"/>
  <c r="A101" i="176" s="1"/>
  <c r="A102" i="176" s="1"/>
  <c r="A103" i="176" s="1"/>
  <c r="F25" i="176"/>
  <c r="N14" i="176"/>
  <c r="E15" i="176"/>
  <c r="A37" i="175"/>
  <c r="A38" i="175" s="1"/>
  <c r="M14" i="174"/>
  <c r="C15" i="174"/>
  <c r="A53" i="174"/>
  <c r="G56" i="174"/>
  <c r="A43" i="172"/>
  <c r="A46" i="172" s="1"/>
  <c r="J43" i="172"/>
  <c r="J41" i="172"/>
  <c r="A71" i="171"/>
  <c r="A72" i="171" s="1"/>
  <c r="A73" i="171" s="1"/>
  <c r="G70" i="171"/>
  <c r="E23" i="179" l="1"/>
  <c r="A23" i="179"/>
  <c r="A29" i="178"/>
  <c r="G29" i="178"/>
  <c r="B175" i="176"/>
  <c r="A111" i="176"/>
  <c r="N15" i="176"/>
  <c r="E16" i="176"/>
  <c r="B173" i="176"/>
  <c r="A39" i="175"/>
  <c r="A40" i="175" s="1"/>
  <c r="A56" i="174"/>
  <c r="G61" i="174"/>
  <c r="M15" i="174"/>
  <c r="C16" i="174"/>
  <c r="A47" i="172"/>
  <c r="A48" i="172" s="1"/>
  <c r="A49" i="172" s="1"/>
  <c r="A50" i="172" s="1"/>
  <c r="A51" i="172" s="1"/>
  <c r="G72" i="171"/>
  <c r="G73" i="171"/>
  <c r="A24" i="179" l="1"/>
  <c r="A30" i="178"/>
  <c r="A37" i="178" s="1"/>
  <c r="G30" i="178"/>
  <c r="A112" i="176"/>
  <c r="A113" i="176" s="1"/>
  <c r="A114" i="176" s="1"/>
  <c r="A115" i="176" s="1"/>
  <c r="A116" i="176" s="1"/>
  <c r="A117" i="176" s="1"/>
  <c r="A118" i="176" s="1"/>
  <c r="A119" i="176" s="1"/>
  <c r="A120" i="176" s="1"/>
  <c r="A121" i="176" s="1"/>
  <c r="A122" i="176" s="1"/>
  <c r="A123" i="176" s="1"/>
  <c r="A129" i="176" s="1"/>
  <c r="N16" i="176"/>
  <c r="E17" i="176"/>
  <c r="A41" i="175"/>
  <c r="A42" i="175" s="1"/>
  <c r="D42" i="175"/>
  <c r="D40" i="175"/>
  <c r="M16" i="174"/>
  <c r="C17" i="174"/>
  <c r="A57" i="174"/>
  <c r="A58" i="174" s="1"/>
  <c r="A61" i="174" s="1"/>
  <c r="J51" i="172"/>
  <c r="E25" i="179" l="1"/>
  <c r="A25" i="179"/>
  <c r="G77" i="178"/>
  <c r="A38" i="178"/>
  <c r="A39" i="178" s="1"/>
  <c r="A40" i="178" s="1"/>
  <c r="A41" i="178" s="1"/>
  <c r="A42" i="178" s="1"/>
  <c r="A43" i="178" s="1"/>
  <c r="N17" i="176"/>
  <c r="E18" i="176"/>
  <c r="B176" i="176"/>
  <c r="A133" i="176"/>
  <c r="A136" i="176" s="1"/>
  <c r="B178" i="176"/>
  <c r="M17" i="174"/>
  <c r="C18" i="174"/>
  <c r="G58" i="174"/>
  <c r="A62" i="174"/>
  <c r="A63" i="174" s="1"/>
  <c r="A74" i="174" s="1"/>
  <c r="G63" i="174"/>
  <c r="A26" i="179" l="1"/>
  <c r="A27" i="179" s="1"/>
  <c r="A28" i="179" s="1"/>
  <c r="A29" i="179" s="1"/>
  <c r="A30" i="179" s="1"/>
  <c r="A31" i="179" s="1"/>
  <c r="A32" i="179" s="1"/>
  <c r="A33" i="179" s="1"/>
  <c r="E28" i="179"/>
  <c r="A44" i="178"/>
  <c r="C78" i="178"/>
  <c r="N18" i="176"/>
  <c r="E19" i="176"/>
  <c r="A144" i="176"/>
  <c r="B177" i="176"/>
  <c r="A75" i="174"/>
  <c r="A76" i="174" s="1"/>
  <c r="A77" i="174" s="1"/>
  <c r="A78" i="174" s="1"/>
  <c r="A79" i="174" s="1"/>
  <c r="A80" i="174" s="1"/>
  <c r="A81" i="174" s="1"/>
  <c r="A82" i="174" s="1"/>
  <c r="A83" i="174" s="1"/>
  <c r="A84" i="174" s="1"/>
  <c r="A85" i="174" s="1"/>
  <c r="A86" i="174" s="1"/>
  <c r="A94" i="174" s="1"/>
  <c r="A95" i="174" s="1"/>
  <c r="A96" i="174" s="1"/>
  <c r="A97" i="174" s="1"/>
  <c r="A98" i="174" s="1"/>
  <c r="A99" i="174" s="1"/>
  <c r="A100" i="174" s="1"/>
  <c r="A101" i="174" s="1"/>
  <c r="A102" i="174" s="1"/>
  <c r="A103" i="174" s="1"/>
  <c r="A104" i="174" s="1"/>
  <c r="A105" i="174" s="1"/>
  <c r="A106" i="174" s="1"/>
  <c r="M18" i="174"/>
  <c r="C19" i="174"/>
  <c r="A34" i="179" l="1"/>
  <c r="A35" i="179" s="1"/>
  <c r="A36" i="179" s="1"/>
  <c r="A37" i="179" s="1"/>
  <c r="A38" i="179" s="1"/>
  <c r="A39" i="179" s="1"/>
  <c r="E35" i="179"/>
  <c r="E36" i="179"/>
  <c r="C72" i="178"/>
  <c r="A45" i="178"/>
  <c r="A46" i="178" s="1"/>
  <c r="A47" i="178" s="1"/>
  <c r="A48" i="178" s="1"/>
  <c r="A49" i="178" s="1"/>
  <c r="A50" i="178" s="1"/>
  <c r="A145" i="176"/>
  <c r="A146" i="176" s="1"/>
  <c r="A147" i="176" s="1"/>
  <c r="A148" i="176" s="1"/>
  <c r="A149" i="176" s="1"/>
  <c r="A150" i="176" s="1"/>
  <c r="A151" i="176" s="1"/>
  <c r="A152" i="176" s="1"/>
  <c r="A153" i="176" s="1"/>
  <c r="A154" i="176" s="1"/>
  <c r="A155" i="176" s="1"/>
  <c r="A156" i="176" s="1"/>
  <c r="N19" i="176"/>
  <c r="E20" i="176"/>
  <c r="B177" i="174"/>
  <c r="A114" i="174"/>
  <c r="M19" i="174"/>
  <c r="C20" i="174"/>
  <c r="B175" i="174"/>
  <c r="A40" i="179" l="1"/>
  <c r="A41" i="179" s="1"/>
  <c r="A42" i="179" s="1"/>
  <c r="A43" i="179" s="1"/>
  <c r="A44" i="179" s="1"/>
  <c r="A45" i="179" s="1"/>
  <c r="N20" i="176"/>
  <c r="E21" i="176"/>
  <c r="B179" i="176"/>
  <c r="M20" i="174"/>
  <c r="C21" i="174"/>
  <c r="A115" i="174"/>
  <c r="A116" i="174" s="1"/>
  <c r="A117" i="174" s="1"/>
  <c r="A118" i="174" s="1"/>
  <c r="A119" i="174" s="1"/>
  <c r="A120" i="174" s="1"/>
  <c r="A121" i="174" s="1"/>
  <c r="A122" i="174" s="1"/>
  <c r="A123" i="174" s="1"/>
  <c r="A124" i="174" s="1"/>
  <c r="A125" i="174" s="1"/>
  <c r="A126" i="174" s="1"/>
  <c r="A131" i="174" s="1"/>
  <c r="E41" i="179" l="1"/>
  <c r="A46" i="179"/>
  <c r="A47" i="179" s="1"/>
  <c r="A48" i="179" s="1"/>
  <c r="A49" i="179" s="1"/>
  <c r="A50" i="179" s="1"/>
  <c r="A51" i="179" s="1"/>
  <c r="E42" i="179"/>
  <c r="N21" i="176"/>
  <c r="E22" i="176"/>
  <c r="A135" i="174"/>
  <c r="A139" i="174" s="1"/>
  <c r="B180" i="174"/>
  <c r="M21" i="174"/>
  <c r="C22" i="174"/>
  <c r="A52" i="179" l="1"/>
  <c r="A53" i="179" s="1"/>
  <c r="A54" i="179" s="1"/>
  <c r="A55" i="179" s="1"/>
  <c r="A56" i="179" s="1"/>
  <c r="A57" i="179" s="1"/>
  <c r="E48" i="179"/>
  <c r="E47" i="179"/>
  <c r="N22" i="176"/>
  <c r="E23" i="176"/>
  <c r="A146" i="174"/>
  <c r="B179" i="174"/>
  <c r="M22" i="174"/>
  <c r="M24" i="174" s="1"/>
  <c r="D42" i="174" s="1"/>
  <c r="C24" i="174"/>
  <c r="B178" i="174"/>
  <c r="E53" i="179" l="1"/>
  <c r="A58" i="179"/>
  <c r="A59" i="179" s="1"/>
  <c r="A60" i="179" s="1"/>
  <c r="A61" i="179" s="1"/>
  <c r="A62" i="179" s="1"/>
  <c r="A63" i="179" s="1"/>
  <c r="E54" i="179"/>
  <c r="N23" i="176"/>
  <c r="N25" i="176" s="1"/>
  <c r="E25" i="176"/>
  <c r="A147" i="174"/>
  <c r="A148" i="174" s="1"/>
  <c r="A149" i="174" s="1"/>
  <c r="A150" i="174" s="1"/>
  <c r="A151" i="174" s="1"/>
  <c r="A152" i="174" s="1"/>
  <c r="A153" i="174" s="1"/>
  <c r="A154" i="174" s="1"/>
  <c r="A155" i="174" s="1"/>
  <c r="A156" i="174" s="1"/>
  <c r="A157" i="174" s="1"/>
  <c r="A158" i="174" s="1"/>
  <c r="A64" i="179" l="1"/>
  <c r="A65" i="179" s="1"/>
  <c r="A66" i="179" s="1"/>
  <c r="A67" i="179" s="1"/>
  <c r="A68" i="179" s="1"/>
  <c r="A69" i="179" s="1"/>
  <c r="E60" i="179"/>
  <c r="E59" i="179"/>
  <c r="B181" i="174"/>
  <c r="E65" i="179" l="1"/>
  <c r="A70" i="179"/>
  <c r="A71" i="179" s="1"/>
  <c r="A72" i="179" s="1"/>
  <c r="A73" i="179" s="1"/>
  <c r="A74" i="179" s="1"/>
  <c r="A75" i="179" s="1"/>
  <c r="E66" i="179"/>
  <c r="A76" i="179" l="1"/>
  <c r="A77" i="179" s="1"/>
  <c r="A78" i="179" s="1"/>
  <c r="A79" i="179" s="1"/>
  <c r="A80" i="179" s="1"/>
  <c r="A81" i="179" s="1"/>
  <c r="E72" i="179"/>
  <c r="E71" i="179"/>
  <c r="E77" i="179" l="1"/>
  <c r="A82" i="179"/>
  <c r="A83" i="179" s="1"/>
  <c r="A84" i="179" s="1"/>
  <c r="A85" i="179" s="1"/>
  <c r="A86" i="179" s="1"/>
  <c r="A87" i="179" s="1"/>
  <c r="E78" i="179"/>
  <c r="E84" i="179" l="1"/>
  <c r="E83" i="179"/>
  <c r="A88" i="179"/>
  <c r="A89" i="179" s="1"/>
  <c r="A90" i="179" s="1"/>
  <c r="A91" i="179" s="1"/>
  <c r="A92" i="179" s="1"/>
  <c r="A93" i="179" s="1"/>
  <c r="E89" i="179"/>
  <c r="A94" i="179" l="1"/>
  <c r="A95" i="179" s="1"/>
  <c r="A96" i="179" s="1"/>
  <c r="A97" i="179" s="1"/>
  <c r="A98" i="179" s="1"/>
  <c r="A99" i="179" s="1"/>
  <c r="E95" i="179"/>
  <c r="E96" i="179"/>
  <c r="E90" i="179"/>
  <c r="A100" i="179" l="1"/>
  <c r="A101" i="179" s="1"/>
  <c r="A102" i="179" s="1"/>
  <c r="A103" i="179" s="1"/>
  <c r="A104" i="179" s="1"/>
  <c r="A105" i="179" s="1"/>
  <c r="E101" i="179" l="1"/>
  <c r="A106" i="179"/>
  <c r="A107" i="179" s="1"/>
  <c r="A108" i="179" s="1"/>
  <c r="A109" i="179" s="1"/>
  <c r="A110" i="179" s="1"/>
  <c r="A111" i="179" s="1"/>
  <c r="E102" i="179"/>
  <c r="A112" i="179" l="1"/>
  <c r="A113" i="179" s="1"/>
  <c r="A114" i="179" s="1"/>
  <c r="A115" i="179" s="1"/>
  <c r="A116" i="179" s="1"/>
  <c r="A117" i="179" s="1"/>
  <c r="E108" i="179"/>
  <c r="E107" i="179"/>
  <c r="E113" i="179" l="1"/>
  <c r="A118" i="179"/>
  <c r="A119" i="179" s="1"/>
  <c r="A120" i="179" s="1"/>
  <c r="A121" i="179" s="1"/>
  <c r="A122" i="179" s="1"/>
  <c r="A123" i="179" s="1"/>
  <c r="E114" i="179"/>
  <c r="E120" i="179" l="1"/>
  <c r="E119" i="179"/>
  <c r="A124" i="179"/>
  <c r="A125" i="179" s="1"/>
  <c r="A126" i="179" s="1"/>
  <c r="E125" i="179"/>
  <c r="E126" i="179" l="1"/>
  <c r="D126" i="169" l="1"/>
  <c r="D125" i="169"/>
  <c r="D119" i="169"/>
  <c r="D120" i="169" s="1"/>
  <c r="D114" i="169"/>
  <c r="D113" i="169"/>
  <c r="D107" i="169"/>
  <c r="D108" i="169" s="1"/>
  <c r="D102" i="169"/>
  <c r="D101" i="169"/>
  <c r="D95" i="169"/>
  <c r="D96" i="169" s="1"/>
  <c r="D90" i="169"/>
  <c r="D89" i="169"/>
  <c r="D83" i="169"/>
  <c r="D84" i="169" s="1"/>
  <c r="D78" i="169"/>
  <c r="D77" i="169"/>
  <c r="D71" i="169"/>
  <c r="D72" i="169" s="1"/>
  <c r="D66" i="169"/>
  <c r="D65" i="169"/>
  <c r="D59" i="169"/>
  <c r="D60" i="169" s="1"/>
  <c r="D54" i="169"/>
  <c r="D53" i="169"/>
  <c r="D47" i="169"/>
  <c r="D48" i="169" s="1"/>
  <c r="D42" i="169"/>
  <c r="D41" i="169"/>
  <c r="D35" i="169"/>
  <c r="D36" i="169" s="1"/>
  <c r="E12" i="169"/>
  <c r="E11" i="169"/>
  <c r="G10" i="169"/>
  <c r="E10" i="169"/>
  <c r="A10" i="169"/>
  <c r="A9" i="169"/>
  <c r="A8" i="169"/>
  <c r="C108" i="168"/>
  <c r="F70" i="168"/>
  <c r="E70" i="168"/>
  <c r="H43" i="168" s="1"/>
  <c r="D43" i="168" s="1"/>
  <c r="G12" i="168" s="1"/>
  <c r="H12" i="168" s="1"/>
  <c r="F64" i="168"/>
  <c r="E64" i="168"/>
  <c r="G58" i="168"/>
  <c r="G37" i="168" s="1"/>
  <c r="D37" i="168" s="1"/>
  <c r="G6" i="168" s="1"/>
  <c r="H6" i="168" s="1"/>
  <c r="H57" i="168"/>
  <c r="G57" i="168"/>
  <c r="D50" i="168"/>
  <c r="D49" i="168"/>
  <c r="D48" i="168"/>
  <c r="D47" i="168"/>
  <c r="G16" i="168" s="1"/>
  <c r="H16" i="168" s="1"/>
  <c r="D46" i="168"/>
  <c r="D45" i="168"/>
  <c r="F44" i="168"/>
  <c r="D44" i="168"/>
  <c r="D42" i="168"/>
  <c r="G11" i="168" s="1"/>
  <c r="H11" i="168" s="1"/>
  <c r="D41" i="168"/>
  <c r="D40" i="168"/>
  <c r="G9" i="168" s="1"/>
  <c r="H9" i="168" s="1"/>
  <c r="D39" i="168"/>
  <c r="D38" i="168"/>
  <c r="G7" i="168" s="1"/>
  <c r="H7" i="168" s="1"/>
  <c r="F24" i="168"/>
  <c r="E20" i="168"/>
  <c r="H19" i="168"/>
  <c r="G19" i="168"/>
  <c r="G18" i="168"/>
  <c r="H18" i="168" s="1"/>
  <c r="G17" i="168"/>
  <c r="H17" i="168" s="1"/>
  <c r="H15" i="168"/>
  <c r="G15" i="168"/>
  <c r="G14" i="168"/>
  <c r="H14" i="168" s="1"/>
  <c r="G13" i="168"/>
  <c r="H13" i="168" s="1"/>
  <c r="G10" i="168"/>
  <c r="H10" i="168" s="1"/>
  <c r="A9" i="168"/>
  <c r="A10" i="168" s="1"/>
  <c r="G8" i="168"/>
  <c r="H8" i="168" s="1"/>
  <c r="A8" i="168"/>
  <c r="A7" i="168"/>
  <c r="H302" i="167"/>
  <c r="G302" i="167"/>
  <c r="H301" i="167"/>
  <c r="G301" i="167"/>
  <c r="H300" i="167"/>
  <c r="G300" i="167"/>
  <c r="H299" i="167"/>
  <c r="G299" i="167"/>
  <c r="H298" i="167"/>
  <c r="G298" i="167"/>
  <c r="H297" i="167"/>
  <c r="G297" i="167"/>
  <c r="H296" i="167"/>
  <c r="G296" i="167"/>
  <c r="H295" i="167"/>
  <c r="G295" i="167"/>
  <c r="H294" i="167"/>
  <c r="G294" i="167"/>
  <c r="H293" i="167"/>
  <c r="G293" i="167"/>
  <c r="H292" i="167"/>
  <c r="G292" i="167"/>
  <c r="H291" i="167"/>
  <c r="G291" i="167"/>
  <c r="H290" i="167"/>
  <c r="G290" i="167"/>
  <c r="H283" i="167"/>
  <c r="G283" i="167"/>
  <c r="H282" i="167"/>
  <c r="G282" i="167"/>
  <c r="H281" i="167"/>
  <c r="G281" i="167"/>
  <c r="H280" i="167"/>
  <c r="G280" i="167"/>
  <c r="H279" i="167"/>
  <c r="E102" i="167" s="1"/>
  <c r="G102" i="167" s="1"/>
  <c r="G279" i="167"/>
  <c r="H278" i="167"/>
  <c r="G278" i="167"/>
  <c r="H277" i="167"/>
  <c r="G277" i="167"/>
  <c r="H276" i="167"/>
  <c r="G276" i="167"/>
  <c r="H275" i="167"/>
  <c r="G275" i="167"/>
  <c r="H274" i="167"/>
  <c r="G274" i="167"/>
  <c r="H273" i="167"/>
  <c r="G273" i="167"/>
  <c r="H272" i="167"/>
  <c r="G272" i="167"/>
  <c r="H271" i="167"/>
  <c r="G271" i="167"/>
  <c r="H264" i="167"/>
  <c r="G264" i="167"/>
  <c r="H263" i="167"/>
  <c r="G263" i="167"/>
  <c r="H262" i="167"/>
  <c r="G262" i="167"/>
  <c r="H261" i="167"/>
  <c r="G261" i="167"/>
  <c r="H260" i="167"/>
  <c r="G260" i="167"/>
  <c r="H259" i="167"/>
  <c r="G259" i="167"/>
  <c r="H258" i="167"/>
  <c r="G258" i="167"/>
  <c r="H257" i="167"/>
  <c r="G257" i="167"/>
  <c r="H256" i="167"/>
  <c r="G256" i="167"/>
  <c r="H255" i="167"/>
  <c r="G255" i="167"/>
  <c r="H254" i="167"/>
  <c r="G254" i="167"/>
  <c r="H253" i="167"/>
  <c r="G253" i="167"/>
  <c r="H252" i="167"/>
  <c r="G252" i="167"/>
  <c r="H245" i="167"/>
  <c r="G245" i="167"/>
  <c r="H244" i="167"/>
  <c r="G244" i="167"/>
  <c r="H243" i="167"/>
  <c r="G243" i="167"/>
  <c r="H242" i="167"/>
  <c r="G242" i="167"/>
  <c r="H241" i="167"/>
  <c r="G241" i="167"/>
  <c r="H240" i="167"/>
  <c r="G240" i="167"/>
  <c r="H239" i="167"/>
  <c r="G239" i="167"/>
  <c r="H238" i="167"/>
  <c r="G238" i="167"/>
  <c r="H237" i="167"/>
  <c r="G237" i="167"/>
  <c r="H236" i="167"/>
  <c r="G236" i="167"/>
  <c r="H235" i="167"/>
  <c r="G235" i="167"/>
  <c r="H234" i="167"/>
  <c r="G234" i="167"/>
  <c r="H233" i="167"/>
  <c r="G233" i="167"/>
  <c r="H226" i="167"/>
  <c r="G226" i="167"/>
  <c r="H225" i="167"/>
  <c r="G225" i="167"/>
  <c r="H224" i="167"/>
  <c r="G224" i="167"/>
  <c r="H223" i="167"/>
  <c r="G223" i="167"/>
  <c r="H222" i="167"/>
  <c r="G222" i="167"/>
  <c r="H221" i="167"/>
  <c r="G221" i="167"/>
  <c r="H220" i="167"/>
  <c r="G220" i="167"/>
  <c r="H219" i="167"/>
  <c r="G219" i="167"/>
  <c r="H218" i="167"/>
  <c r="G218" i="167"/>
  <c r="H217" i="167"/>
  <c r="G217" i="167"/>
  <c r="H216" i="167"/>
  <c r="G216" i="167"/>
  <c r="H215" i="167"/>
  <c r="G215" i="167"/>
  <c r="H214" i="167"/>
  <c r="G214" i="167"/>
  <c r="H207" i="167"/>
  <c r="G207" i="167"/>
  <c r="H206" i="167"/>
  <c r="G206" i="167"/>
  <c r="H205" i="167"/>
  <c r="G205" i="167"/>
  <c r="H204" i="167"/>
  <c r="G204" i="167"/>
  <c r="H203" i="167"/>
  <c r="G203" i="167"/>
  <c r="H202" i="167"/>
  <c r="G202" i="167"/>
  <c r="H201" i="167"/>
  <c r="G201" i="167"/>
  <c r="H200" i="167"/>
  <c r="G200" i="167"/>
  <c r="H199" i="167"/>
  <c r="G199" i="167"/>
  <c r="H198" i="167"/>
  <c r="G198" i="167"/>
  <c r="H197" i="167"/>
  <c r="G197" i="167"/>
  <c r="H196" i="167"/>
  <c r="G196" i="167"/>
  <c r="H195" i="167"/>
  <c r="G195" i="167"/>
  <c r="H188" i="167"/>
  <c r="G188" i="167"/>
  <c r="H187" i="167"/>
  <c r="G187" i="167"/>
  <c r="H186" i="167"/>
  <c r="G186" i="167"/>
  <c r="H185" i="167"/>
  <c r="G185" i="167"/>
  <c r="H184" i="167"/>
  <c r="G184" i="167"/>
  <c r="H183" i="167"/>
  <c r="G183" i="167"/>
  <c r="H182" i="167"/>
  <c r="G182" i="167"/>
  <c r="H181" i="167"/>
  <c r="G181" i="167"/>
  <c r="H180" i="167"/>
  <c r="G180" i="167"/>
  <c r="H179" i="167"/>
  <c r="G179" i="167"/>
  <c r="H178" i="167"/>
  <c r="G178" i="167"/>
  <c r="H177" i="167"/>
  <c r="G177" i="167"/>
  <c r="H176" i="167"/>
  <c r="G176" i="167"/>
  <c r="H169" i="167"/>
  <c r="G169" i="167"/>
  <c r="G84" i="167" s="1"/>
  <c r="G48" i="167" s="1"/>
  <c r="H168" i="167"/>
  <c r="G168" i="167"/>
  <c r="H167" i="167"/>
  <c r="G167" i="167"/>
  <c r="G82" i="167" s="1"/>
  <c r="H166" i="167"/>
  <c r="G166" i="167"/>
  <c r="G81" i="167" s="1"/>
  <c r="H165" i="167"/>
  <c r="G165" i="167"/>
  <c r="G80" i="167" s="1"/>
  <c r="H164" i="167"/>
  <c r="G164" i="167"/>
  <c r="H163" i="167"/>
  <c r="G163" i="167"/>
  <c r="G78" i="167" s="1"/>
  <c r="H162" i="167"/>
  <c r="G162" i="167"/>
  <c r="G77" i="167" s="1"/>
  <c r="E77" i="167" s="1"/>
  <c r="H161" i="167"/>
  <c r="G161" i="167"/>
  <c r="G76" i="167" s="1"/>
  <c r="H160" i="167"/>
  <c r="G160" i="167"/>
  <c r="H159" i="167"/>
  <c r="G159" i="167"/>
  <c r="G74" i="167" s="1"/>
  <c r="H158" i="167"/>
  <c r="G158" i="167"/>
  <c r="H157" i="167"/>
  <c r="G157" i="167"/>
  <c r="H149" i="167"/>
  <c r="G149" i="167"/>
  <c r="H148" i="167"/>
  <c r="G148" i="167"/>
  <c r="H83" i="167" s="1"/>
  <c r="H147" i="167"/>
  <c r="E104" i="167" s="1"/>
  <c r="G104" i="167" s="1"/>
  <c r="G147" i="167"/>
  <c r="H146" i="167"/>
  <c r="G146" i="167"/>
  <c r="H81" i="167" s="1"/>
  <c r="H145" i="167"/>
  <c r="G145" i="167"/>
  <c r="H144" i="167"/>
  <c r="G144" i="167"/>
  <c r="H79" i="167" s="1"/>
  <c r="E79" i="167" s="1"/>
  <c r="H143" i="167"/>
  <c r="G143" i="167"/>
  <c r="H78" i="167" s="1"/>
  <c r="H142" i="167"/>
  <c r="G142" i="167"/>
  <c r="H77" i="167" s="1"/>
  <c r="H141" i="167"/>
  <c r="G141" i="167"/>
  <c r="H140" i="167"/>
  <c r="G140" i="167"/>
  <c r="H139" i="167"/>
  <c r="G139" i="167"/>
  <c r="H138" i="167"/>
  <c r="G138" i="167"/>
  <c r="H73" i="167" s="1"/>
  <c r="H137" i="167"/>
  <c r="G137" i="167"/>
  <c r="H129" i="167"/>
  <c r="E106" i="167" s="1"/>
  <c r="G106" i="167" s="1"/>
  <c r="G129" i="167"/>
  <c r="H128" i="167"/>
  <c r="G128" i="167"/>
  <c r="F83" i="167" s="1"/>
  <c r="H127" i="167"/>
  <c r="G127" i="167"/>
  <c r="H126" i="167"/>
  <c r="G126" i="167"/>
  <c r="H125" i="167"/>
  <c r="G125" i="167"/>
  <c r="H124" i="167"/>
  <c r="E101" i="167" s="1"/>
  <c r="G101" i="167" s="1"/>
  <c r="G124" i="167"/>
  <c r="F79" i="167" s="1"/>
  <c r="H123" i="167"/>
  <c r="G123" i="167"/>
  <c r="F78" i="167" s="1"/>
  <c r="E78" i="167" s="1"/>
  <c r="H122" i="167"/>
  <c r="G122" i="167"/>
  <c r="H121" i="167"/>
  <c r="G121" i="167"/>
  <c r="H120" i="167"/>
  <c r="E97" i="167" s="1"/>
  <c r="G97" i="167" s="1"/>
  <c r="G120" i="167"/>
  <c r="F75" i="167" s="1"/>
  <c r="E75" i="167" s="1"/>
  <c r="H119" i="167"/>
  <c r="G119" i="167"/>
  <c r="F74" i="167" s="1"/>
  <c r="H118" i="167"/>
  <c r="G118" i="167"/>
  <c r="H117" i="167"/>
  <c r="G117" i="167"/>
  <c r="F107" i="167"/>
  <c r="E105" i="167"/>
  <c r="G105" i="167" s="1"/>
  <c r="E98" i="167"/>
  <c r="G98" i="167" s="1"/>
  <c r="E95" i="167"/>
  <c r="G95" i="167" s="1"/>
  <c r="H84" i="167"/>
  <c r="F84" i="167"/>
  <c r="G83" i="167"/>
  <c r="E83" i="167"/>
  <c r="H82" i="167"/>
  <c r="F82" i="167"/>
  <c r="E82" i="167"/>
  <c r="F81" i="167"/>
  <c r="E81" i="167"/>
  <c r="H80" i="167"/>
  <c r="F80" i="167"/>
  <c r="G79" i="167"/>
  <c r="F77" i="167"/>
  <c r="H76" i="167"/>
  <c r="F76" i="167"/>
  <c r="H75" i="167"/>
  <c r="G75" i="167"/>
  <c r="H74" i="167"/>
  <c r="G73" i="167"/>
  <c r="E73" i="167" s="1"/>
  <c r="F73" i="167"/>
  <c r="H72" i="167"/>
  <c r="G72" i="167"/>
  <c r="F72" i="167"/>
  <c r="G46" i="167"/>
  <c r="E46" i="167"/>
  <c r="F62" i="167"/>
  <c r="F48" i="167"/>
  <c r="E48" i="167" s="1"/>
  <c r="A27" i="167"/>
  <c r="A28" i="167" s="1"/>
  <c r="A29" i="167" s="1"/>
  <c r="A30" i="167" s="1"/>
  <c r="A31" i="167" s="1"/>
  <c r="A32" i="167" s="1"/>
  <c r="A33" i="167" s="1"/>
  <c r="A34" i="167" s="1"/>
  <c r="A35" i="167" s="1"/>
  <c r="A36" i="167" s="1"/>
  <c r="A37" i="167" s="1"/>
  <c r="A46" i="167" s="1"/>
  <c r="A47" i="167" s="1"/>
  <c r="A48" i="167" s="1"/>
  <c r="A49" i="167" s="1"/>
  <c r="A50" i="167" s="1"/>
  <c r="A51" i="167" s="1"/>
  <c r="A60" i="167" s="1"/>
  <c r="A61" i="167" s="1"/>
  <c r="A62" i="167" s="1"/>
  <c r="A63" i="167" s="1"/>
  <c r="A64" i="167" s="1"/>
  <c r="A65" i="167" s="1"/>
  <c r="A72" i="167" s="1"/>
  <c r="A73" i="167" s="1"/>
  <c r="A74" i="167" s="1"/>
  <c r="A75" i="167" s="1"/>
  <c r="A76" i="167" s="1"/>
  <c r="A77" i="167" s="1"/>
  <c r="A78" i="167" s="1"/>
  <c r="A79" i="167" s="1"/>
  <c r="A80" i="167" s="1"/>
  <c r="A81" i="167" s="1"/>
  <c r="A82" i="167" s="1"/>
  <c r="A83" i="167" s="1"/>
  <c r="A84" i="167" s="1"/>
  <c r="F61" i="167"/>
  <c r="F47" i="167"/>
  <c r="B170" i="166"/>
  <c r="D156" i="166"/>
  <c r="M129" i="166"/>
  <c r="L129" i="166"/>
  <c r="K129" i="166"/>
  <c r="J129" i="166"/>
  <c r="I129" i="166"/>
  <c r="H129" i="166"/>
  <c r="G129" i="166"/>
  <c r="F129" i="166"/>
  <c r="E129" i="166"/>
  <c r="D129" i="166"/>
  <c r="G122" i="166"/>
  <c r="E114" i="166"/>
  <c r="M112" i="166"/>
  <c r="M122" i="166"/>
  <c r="L122" i="166"/>
  <c r="K122" i="166"/>
  <c r="J122" i="166"/>
  <c r="I122" i="166"/>
  <c r="H122" i="166"/>
  <c r="F122" i="166"/>
  <c r="E122" i="166"/>
  <c r="D122" i="166"/>
  <c r="M121" i="166"/>
  <c r="L121" i="166"/>
  <c r="K121" i="166"/>
  <c r="J121" i="166"/>
  <c r="I121" i="166"/>
  <c r="H121" i="166"/>
  <c r="G121" i="166"/>
  <c r="F121" i="166"/>
  <c r="D121" i="166"/>
  <c r="M120" i="166"/>
  <c r="L120" i="166"/>
  <c r="K120" i="166"/>
  <c r="J120" i="166"/>
  <c r="I120" i="166"/>
  <c r="H120" i="166"/>
  <c r="G120" i="166"/>
  <c r="F120" i="166"/>
  <c r="D120" i="166"/>
  <c r="M119" i="166"/>
  <c r="L119" i="166"/>
  <c r="K119" i="166"/>
  <c r="J119" i="166"/>
  <c r="I119" i="166"/>
  <c r="H119" i="166"/>
  <c r="G119" i="166"/>
  <c r="F119" i="166"/>
  <c r="D119" i="166"/>
  <c r="M118" i="166"/>
  <c r="L118" i="166"/>
  <c r="K118" i="166"/>
  <c r="J118" i="166"/>
  <c r="I118" i="166"/>
  <c r="H118" i="166"/>
  <c r="G118" i="166"/>
  <c r="F118" i="166"/>
  <c r="D118" i="166"/>
  <c r="M117" i="166"/>
  <c r="L117" i="166"/>
  <c r="K117" i="166"/>
  <c r="J117" i="166"/>
  <c r="I117" i="166"/>
  <c r="H117" i="166"/>
  <c r="G117" i="166"/>
  <c r="F117" i="166"/>
  <c r="D117" i="166"/>
  <c r="M116" i="166"/>
  <c r="L116" i="166"/>
  <c r="K116" i="166"/>
  <c r="J116" i="166"/>
  <c r="I116" i="166"/>
  <c r="H116" i="166"/>
  <c r="G116" i="166"/>
  <c r="F116" i="166"/>
  <c r="D116" i="166"/>
  <c r="M115" i="166"/>
  <c r="L115" i="166"/>
  <c r="K115" i="166"/>
  <c r="J115" i="166"/>
  <c r="I115" i="166"/>
  <c r="H115" i="166"/>
  <c r="G115" i="166"/>
  <c r="F115" i="166"/>
  <c r="D115" i="166"/>
  <c r="M114" i="166"/>
  <c r="L114" i="166"/>
  <c r="K114" i="166"/>
  <c r="J114" i="166"/>
  <c r="I114" i="166"/>
  <c r="H114" i="166"/>
  <c r="G114" i="166"/>
  <c r="F114" i="166"/>
  <c r="D114" i="166"/>
  <c r="M113" i="166"/>
  <c r="L113" i="166"/>
  <c r="K113" i="166"/>
  <c r="J113" i="166"/>
  <c r="I113" i="166"/>
  <c r="H113" i="166"/>
  <c r="G113" i="166"/>
  <c r="F113" i="166"/>
  <c r="D113" i="166"/>
  <c r="L112" i="166"/>
  <c r="K112" i="166"/>
  <c r="J112" i="166"/>
  <c r="I112" i="166"/>
  <c r="H112" i="166"/>
  <c r="G112" i="166"/>
  <c r="F112" i="166"/>
  <c r="D112" i="166"/>
  <c r="M111" i="166"/>
  <c r="L103" i="166"/>
  <c r="L133" i="166" s="1"/>
  <c r="K111" i="166"/>
  <c r="J111" i="166"/>
  <c r="I103" i="166"/>
  <c r="I133" i="166" s="1"/>
  <c r="I136" i="166" s="1"/>
  <c r="H111" i="166"/>
  <c r="G111" i="166"/>
  <c r="F111" i="166"/>
  <c r="D103" i="166"/>
  <c r="D133" i="166" s="1"/>
  <c r="M83" i="166"/>
  <c r="L83" i="166"/>
  <c r="K83" i="166"/>
  <c r="J83" i="166"/>
  <c r="I83" i="166"/>
  <c r="H83" i="166"/>
  <c r="G83" i="166"/>
  <c r="F83" i="166"/>
  <c r="E83" i="166"/>
  <c r="D83" i="166"/>
  <c r="N82" i="166"/>
  <c r="N81" i="166"/>
  <c r="N80" i="166"/>
  <c r="N79" i="166"/>
  <c r="N78" i="166"/>
  <c r="N77" i="166"/>
  <c r="N76" i="166"/>
  <c r="N75" i="166"/>
  <c r="N74" i="166"/>
  <c r="N73" i="166"/>
  <c r="N72" i="166"/>
  <c r="N83" i="166" s="1"/>
  <c r="N71" i="166"/>
  <c r="E45" i="166"/>
  <c r="E46" i="166" s="1"/>
  <c r="F51" i="166" s="1"/>
  <c r="F53" i="166" s="1"/>
  <c r="E44" i="166"/>
  <c r="A44" i="166"/>
  <c r="F35" i="166"/>
  <c r="E35" i="166"/>
  <c r="D35" i="166"/>
  <c r="A35" i="166"/>
  <c r="G34" i="166"/>
  <c r="G33" i="166"/>
  <c r="D25" i="166"/>
  <c r="N24" i="166"/>
  <c r="A13" i="166"/>
  <c r="A14" i="166" s="1"/>
  <c r="A15" i="166" s="1"/>
  <c r="A16" i="166" s="1"/>
  <c r="A17" i="166" s="1"/>
  <c r="A18" i="166" s="1"/>
  <c r="A19" i="166" s="1"/>
  <c r="A20" i="166" s="1"/>
  <c r="A21" i="166" s="1"/>
  <c r="A22" i="166" s="1"/>
  <c r="A23" i="166" s="1"/>
  <c r="A24" i="166" s="1"/>
  <c r="N12" i="166"/>
  <c r="E40" i="165"/>
  <c r="E42" i="165" s="1"/>
  <c r="C40" i="165"/>
  <c r="C42" i="165" s="1"/>
  <c r="F39" i="165"/>
  <c r="F38" i="165"/>
  <c r="F36" i="165"/>
  <c r="E26" i="165"/>
  <c r="F26" i="165" s="1"/>
  <c r="C26" i="165"/>
  <c r="F25" i="165"/>
  <c r="F24" i="165"/>
  <c r="F23" i="165"/>
  <c r="F22" i="165"/>
  <c r="F21" i="165"/>
  <c r="F20" i="165"/>
  <c r="F15" i="165"/>
  <c r="F12" i="165"/>
  <c r="E12" i="165"/>
  <c r="E17" i="165" s="1"/>
  <c r="C12" i="165"/>
  <c r="C17" i="165" s="1"/>
  <c r="C28" i="165" s="1"/>
  <c r="F11" i="165"/>
  <c r="F10" i="165"/>
  <c r="A10" i="165"/>
  <c r="A9" i="165"/>
  <c r="J135" i="164"/>
  <c r="F131" i="164"/>
  <c r="F139" i="164" s="1"/>
  <c r="D131" i="164"/>
  <c r="C131" i="164"/>
  <c r="C139" i="164" s="1"/>
  <c r="F126" i="164"/>
  <c r="L125" i="164"/>
  <c r="K125" i="164"/>
  <c r="J125" i="164"/>
  <c r="I125" i="164"/>
  <c r="H125" i="164"/>
  <c r="G125" i="164"/>
  <c r="F125" i="164"/>
  <c r="E125" i="164"/>
  <c r="D125" i="164"/>
  <c r="C125" i="164"/>
  <c r="L124" i="164"/>
  <c r="K124" i="164"/>
  <c r="J124" i="164"/>
  <c r="I124" i="164"/>
  <c r="H124" i="164"/>
  <c r="G124" i="164"/>
  <c r="F124" i="164"/>
  <c r="E124" i="164"/>
  <c r="M124" i="164" s="1"/>
  <c r="D124" i="164"/>
  <c r="C124" i="164"/>
  <c r="L123" i="164"/>
  <c r="K123" i="164"/>
  <c r="J123" i="164"/>
  <c r="I123" i="164"/>
  <c r="H123" i="164"/>
  <c r="G123" i="164"/>
  <c r="F123" i="164"/>
  <c r="E123" i="164"/>
  <c r="D123" i="164"/>
  <c r="C123" i="164"/>
  <c r="L122" i="164"/>
  <c r="K122" i="164"/>
  <c r="J122" i="164"/>
  <c r="I122" i="164"/>
  <c r="H122" i="164"/>
  <c r="G122" i="164"/>
  <c r="F122" i="164"/>
  <c r="E122" i="164"/>
  <c r="D122" i="164"/>
  <c r="C122" i="164"/>
  <c r="L121" i="164"/>
  <c r="K121" i="164"/>
  <c r="J121" i="164"/>
  <c r="I121" i="164"/>
  <c r="H121" i="164"/>
  <c r="G121" i="164"/>
  <c r="F121" i="164"/>
  <c r="E121" i="164"/>
  <c r="D121" i="164"/>
  <c r="C121" i="164"/>
  <c r="L120" i="164"/>
  <c r="K120" i="164"/>
  <c r="J120" i="164"/>
  <c r="I120" i="164"/>
  <c r="H120" i="164"/>
  <c r="G120" i="164"/>
  <c r="F120" i="164"/>
  <c r="E120" i="164"/>
  <c r="M120" i="164" s="1"/>
  <c r="D120" i="164"/>
  <c r="C120" i="164"/>
  <c r="L119" i="164"/>
  <c r="K119" i="164"/>
  <c r="J119" i="164"/>
  <c r="I119" i="164"/>
  <c r="H119" i="164"/>
  <c r="G119" i="164"/>
  <c r="F119" i="164"/>
  <c r="E119" i="164"/>
  <c r="D119" i="164"/>
  <c r="C119" i="164"/>
  <c r="L118" i="164"/>
  <c r="K118" i="164"/>
  <c r="J118" i="164"/>
  <c r="I118" i="164"/>
  <c r="H118" i="164"/>
  <c r="G118" i="164"/>
  <c r="F118" i="164"/>
  <c r="E118" i="164"/>
  <c r="M118" i="164" s="1"/>
  <c r="D118" i="164"/>
  <c r="C118" i="164"/>
  <c r="L117" i="164"/>
  <c r="K117" i="164"/>
  <c r="J117" i="164"/>
  <c r="I117" i="164"/>
  <c r="H117" i="164"/>
  <c r="G117" i="164"/>
  <c r="F117" i="164"/>
  <c r="E117" i="164"/>
  <c r="D117" i="164"/>
  <c r="C117" i="164"/>
  <c r="L116" i="164"/>
  <c r="K116" i="164"/>
  <c r="J116" i="164"/>
  <c r="I116" i="164"/>
  <c r="H116" i="164"/>
  <c r="G116" i="164"/>
  <c r="F116" i="164"/>
  <c r="E116" i="164"/>
  <c r="M116" i="164" s="1"/>
  <c r="D116" i="164"/>
  <c r="C116" i="164"/>
  <c r="L115" i="164"/>
  <c r="K115" i="164"/>
  <c r="J115" i="164"/>
  <c r="I115" i="164"/>
  <c r="H115" i="164"/>
  <c r="G115" i="164"/>
  <c r="F115" i="164"/>
  <c r="E115" i="164"/>
  <c r="D115" i="164"/>
  <c r="C115" i="164"/>
  <c r="L114" i="164"/>
  <c r="K114" i="164"/>
  <c r="J114" i="164"/>
  <c r="J126" i="164" s="1"/>
  <c r="I114" i="164"/>
  <c r="H114" i="164"/>
  <c r="G114" i="164"/>
  <c r="F114" i="164"/>
  <c r="E114" i="164"/>
  <c r="E126" i="164" s="1"/>
  <c r="D114" i="164"/>
  <c r="C114" i="164"/>
  <c r="L106" i="164"/>
  <c r="L135" i="164" s="1"/>
  <c r="K106" i="164"/>
  <c r="K135" i="164" s="1"/>
  <c r="J106" i="164"/>
  <c r="I106" i="164"/>
  <c r="I135" i="164" s="1"/>
  <c r="H106" i="164"/>
  <c r="H135" i="164" s="1"/>
  <c r="G106" i="164"/>
  <c r="G135" i="164" s="1"/>
  <c r="F106" i="164"/>
  <c r="F135" i="164" s="1"/>
  <c r="E106" i="164"/>
  <c r="E135" i="164" s="1"/>
  <c r="D106" i="164"/>
  <c r="D135" i="164" s="1"/>
  <c r="C106" i="164"/>
  <c r="C135" i="164" s="1"/>
  <c r="M105" i="164"/>
  <c r="M104" i="164"/>
  <c r="M103" i="164"/>
  <c r="M102" i="164"/>
  <c r="M101" i="164"/>
  <c r="M100" i="164"/>
  <c r="M99" i="164"/>
  <c r="M98" i="164"/>
  <c r="M97" i="164"/>
  <c r="M106" i="164" s="1"/>
  <c r="M135" i="164" s="1"/>
  <c r="M96" i="164"/>
  <c r="M95" i="164"/>
  <c r="M94" i="164"/>
  <c r="L86" i="164"/>
  <c r="K86" i="164"/>
  <c r="J86" i="164"/>
  <c r="I86" i="164"/>
  <c r="H86" i="164"/>
  <c r="G86" i="164"/>
  <c r="F86" i="164"/>
  <c r="E86" i="164"/>
  <c r="D86" i="164"/>
  <c r="C86" i="164"/>
  <c r="M85" i="164"/>
  <c r="M84" i="164"/>
  <c r="M83" i="164"/>
  <c r="M82" i="164"/>
  <c r="M81" i="164"/>
  <c r="M80" i="164"/>
  <c r="M79" i="164"/>
  <c r="M78" i="164"/>
  <c r="M77" i="164"/>
  <c r="M76" i="164"/>
  <c r="M75" i="164"/>
  <c r="M74" i="164"/>
  <c r="F61" i="164"/>
  <c r="F56" i="164"/>
  <c r="H53" i="164"/>
  <c r="H52" i="164"/>
  <c r="F36" i="164"/>
  <c r="E36" i="164"/>
  <c r="D36" i="164"/>
  <c r="C36" i="164"/>
  <c r="F35" i="164"/>
  <c r="F34" i="164"/>
  <c r="L131" i="164"/>
  <c r="K131" i="164"/>
  <c r="K139" i="164" s="1"/>
  <c r="J131" i="164"/>
  <c r="I131" i="164"/>
  <c r="I139" i="164" s="1"/>
  <c r="H131" i="164"/>
  <c r="G131" i="164"/>
  <c r="G139" i="164" s="1"/>
  <c r="E131" i="164"/>
  <c r="A12" i="164"/>
  <c r="A13" i="164" s="1"/>
  <c r="A14" i="164" s="1"/>
  <c r="A15" i="164" s="1"/>
  <c r="A16" i="164" s="1"/>
  <c r="A17" i="164" s="1"/>
  <c r="A18" i="164" s="1"/>
  <c r="A19" i="164" s="1"/>
  <c r="A20" i="164" s="1"/>
  <c r="A21" i="164" s="1"/>
  <c r="A22" i="164" s="1"/>
  <c r="A23" i="164" s="1"/>
  <c r="M11" i="164"/>
  <c r="G74" i="163"/>
  <c r="H74" i="163" s="1"/>
  <c r="H73" i="163"/>
  <c r="H76" i="163" s="1"/>
  <c r="G73" i="163"/>
  <c r="I64" i="163"/>
  <c r="C34" i="163"/>
  <c r="A34" i="163"/>
  <c r="C32" i="163"/>
  <c r="C30" i="163"/>
  <c r="C28" i="163"/>
  <c r="A28" i="163"/>
  <c r="C26" i="163"/>
  <c r="A26" i="163"/>
  <c r="C24" i="163"/>
  <c r="A22" i="163"/>
  <c r="C14" i="163"/>
  <c r="A14" i="163"/>
  <c r="A16" i="163" s="1"/>
  <c r="A18" i="163" s="1"/>
  <c r="C12" i="163"/>
  <c r="C10" i="163"/>
  <c r="A10" i="163"/>
  <c r="C8" i="163"/>
  <c r="L41" i="162"/>
  <c r="L48" i="162"/>
  <c r="L27" i="162"/>
  <c r="A11" i="162"/>
  <c r="J16" i="162" s="1"/>
  <c r="A9" i="162"/>
  <c r="D6" i="130"/>
  <c r="D6" i="106"/>
  <c r="F103" i="161"/>
  <c r="F98" i="161"/>
  <c r="J86" i="161"/>
  <c r="E87" i="161"/>
  <c r="H42" i="161"/>
  <c r="H41" i="161"/>
  <c r="A34" i="161"/>
  <c r="A38" i="161" s="1"/>
  <c r="H33" i="161"/>
  <c r="A33" i="161"/>
  <c r="H34" i="161" s="1"/>
  <c r="J21" i="161"/>
  <c r="J15" i="161"/>
  <c r="A7" i="161"/>
  <c r="A8" i="161" s="1"/>
  <c r="A9" i="161" s="1"/>
  <c r="A12" i="161" s="1"/>
  <c r="E103" i="161" l="1"/>
  <c r="J42" i="161" s="1"/>
  <c r="N92" i="166"/>
  <c r="N96" i="166"/>
  <c r="F29" i="168"/>
  <c r="L16" i="162"/>
  <c r="L29" i="162" s="1"/>
  <c r="I111" i="166"/>
  <c r="N111" i="166" s="1"/>
  <c r="G37" i="167"/>
  <c r="D111" i="166"/>
  <c r="J29" i="161"/>
  <c r="L35" i="162"/>
  <c r="L43" i="162" s="1"/>
  <c r="F58" i="164"/>
  <c r="F123" i="166"/>
  <c r="J123" i="166"/>
  <c r="L111" i="166"/>
  <c r="L123" i="166" s="1"/>
  <c r="A11" i="169"/>
  <c r="G13" i="169"/>
  <c r="G14" i="169" s="1"/>
  <c r="G15" i="169" s="1"/>
  <c r="H20" i="168"/>
  <c r="F23" i="168" s="1"/>
  <c r="F25" i="168" s="1"/>
  <c r="F27" i="168" s="1"/>
  <c r="F30" i="168" s="1"/>
  <c r="A11" i="168"/>
  <c r="A12" i="168" s="1"/>
  <c r="A13" i="168" s="1"/>
  <c r="A14" i="168" s="1"/>
  <c r="A15" i="168" s="1"/>
  <c r="A16" i="168" s="1"/>
  <c r="A17" i="168" s="1"/>
  <c r="A18" i="168" s="1"/>
  <c r="A19" i="168" s="1"/>
  <c r="G24" i="168"/>
  <c r="A85" i="167"/>
  <c r="H47" i="167"/>
  <c r="H46" i="167"/>
  <c r="E84" i="167"/>
  <c r="G47" i="167"/>
  <c r="E47" i="167" s="1"/>
  <c r="E51" i="167" s="1"/>
  <c r="E37" i="167"/>
  <c r="G85" i="167"/>
  <c r="G62" i="167" s="1"/>
  <c r="E62" i="167" s="1"/>
  <c r="F85" i="167"/>
  <c r="G61" i="167" s="1"/>
  <c r="E61" i="167" s="1"/>
  <c r="E94" i="167"/>
  <c r="E74" i="167"/>
  <c r="E103" i="167"/>
  <c r="G103" i="167" s="1"/>
  <c r="E99" i="167"/>
  <c r="G99" i="167" s="1"/>
  <c r="H85" i="167"/>
  <c r="G60" i="167" s="1"/>
  <c r="E60" i="167" s="1"/>
  <c r="E80" i="167"/>
  <c r="E100" i="167"/>
  <c r="G100" i="167" s="1"/>
  <c r="H48" i="167"/>
  <c r="E76" i="167"/>
  <c r="E96" i="167"/>
  <c r="G96" i="167" s="1"/>
  <c r="F37" i="167"/>
  <c r="E72" i="167"/>
  <c r="B174" i="166"/>
  <c r="A25" i="166"/>
  <c r="A33" i="166" s="1"/>
  <c r="G123" i="166"/>
  <c r="K123" i="166"/>
  <c r="F58" i="166"/>
  <c r="F60" i="166" s="1"/>
  <c r="E117" i="166"/>
  <c r="N97" i="166"/>
  <c r="N91" i="166"/>
  <c r="E111" i="166"/>
  <c r="M123" i="166"/>
  <c r="N114" i="166"/>
  <c r="N95" i="166"/>
  <c r="E115" i="166"/>
  <c r="N115" i="166" s="1"/>
  <c r="N99" i="166"/>
  <c r="E119" i="166"/>
  <c r="N119" i="166" s="1"/>
  <c r="G103" i="166"/>
  <c r="G133" i="166" s="1"/>
  <c r="D123" i="166"/>
  <c r="G35" i="166"/>
  <c r="N94" i="166"/>
  <c r="E118" i="166"/>
  <c r="N98" i="166"/>
  <c r="E112" i="166"/>
  <c r="N112" i="166" s="1"/>
  <c r="G136" i="166"/>
  <c r="G149" i="166" s="1"/>
  <c r="E113" i="166"/>
  <c r="N113" i="166" s="1"/>
  <c r="N93" i="166"/>
  <c r="N101" i="166"/>
  <c r="E121" i="166"/>
  <c r="K103" i="166"/>
  <c r="K133" i="166" s="1"/>
  <c r="K136" i="166" s="1"/>
  <c r="I123" i="166"/>
  <c r="I151" i="166" s="1"/>
  <c r="H123" i="166"/>
  <c r="G147" i="166"/>
  <c r="E120" i="166"/>
  <c r="N120" i="166" s="1"/>
  <c r="N100" i="166"/>
  <c r="E103" i="166"/>
  <c r="E133" i="166" s="1"/>
  <c r="E136" i="166" s="1"/>
  <c r="M103" i="166"/>
  <c r="M133" i="166" s="1"/>
  <c r="M136" i="166" s="1"/>
  <c r="E116" i="166"/>
  <c r="N117" i="166"/>
  <c r="A45" i="166"/>
  <c r="N121" i="166"/>
  <c r="N122" i="166"/>
  <c r="H103" i="166"/>
  <c r="H133" i="166" s="1"/>
  <c r="H136" i="166" s="1"/>
  <c r="N102" i="166"/>
  <c r="F103" i="166"/>
  <c r="F133" i="166" s="1"/>
  <c r="F136" i="166" s="1"/>
  <c r="J103" i="166"/>
  <c r="J133" i="166" s="1"/>
  <c r="J136" i="166" s="1"/>
  <c r="D136" i="166"/>
  <c r="L136" i="166"/>
  <c r="N129" i="166"/>
  <c r="E28" i="165"/>
  <c r="F28" i="165" s="1"/>
  <c r="F17" i="165"/>
  <c r="F42" i="165"/>
  <c r="F40" i="165"/>
  <c r="A11" i="165"/>
  <c r="A12" i="165" s="1"/>
  <c r="B176" i="164"/>
  <c r="A24" i="164"/>
  <c r="I157" i="164"/>
  <c r="F157" i="164"/>
  <c r="F153" i="164"/>
  <c r="F149" i="164"/>
  <c r="F155" i="164"/>
  <c r="F147" i="164"/>
  <c r="F151" i="164"/>
  <c r="I155" i="164"/>
  <c r="I147" i="164"/>
  <c r="I150" i="164"/>
  <c r="M122" i="164"/>
  <c r="F146" i="164"/>
  <c r="F150" i="164"/>
  <c r="F154" i="164"/>
  <c r="J139" i="164"/>
  <c r="J147" i="164" s="1"/>
  <c r="M86" i="164"/>
  <c r="M115" i="164"/>
  <c r="F148" i="164"/>
  <c r="M119" i="164"/>
  <c r="F152" i="164"/>
  <c r="H154" i="164"/>
  <c r="M123" i="164"/>
  <c r="F156" i="164"/>
  <c r="I126" i="164"/>
  <c r="I149" i="164" s="1"/>
  <c r="E139" i="164"/>
  <c r="E154" i="164" s="1"/>
  <c r="M114" i="164"/>
  <c r="I154" i="164"/>
  <c r="E149" i="164"/>
  <c r="M117" i="164"/>
  <c r="M121" i="164"/>
  <c r="E157" i="164"/>
  <c r="M125" i="164"/>
  <c r="M23" i="164"/>
  <c r="I148" i="164"/>
  <c r="I152" i="164"/>
  <c r="I156" i="164"/>
  <c r="J157" i="164"/>
  <c r="F63" i="164"/>
  <c r="D139" i="164"/>
  <c r="D150" i="164" s="1"/>
  <c r="H139" i="164"/>
  <c r="H156" i="164" s="1"/>
  <c r="L139" i="164"/>
  <c r="L157" i="164" s="1"/>
  <c r="C146" i="164"/>
  <c r="K148" i="164"/>
  <c r="K149" i="164"/>
  <c r="C150" i="164"/>
  <c r="K152" i="164"/>
  <c r="K153" i="164"/>
  <c r="C154" i="164"/>
  <c r="K156" i="164"/>
  <c r="K157" i="164"/>
  <c r="D126" i="164"/>
  <c r="D154" i="164" s="1"/>
  <c r="H126" i="164"/>
  <c r="L126" i="164"/>
  <c r="C126" i="164"/>
  <c r="C149" i="164" s="1"/>
  <c r="G126" i="164"/>
  <c r="G146" i="164" s="1"/>
  <c r="K126" i="164"/>
  <c r="K147" i="164" s="1"/>
  <c r="L51" i="162"/>
  <c r="A12" i="162"/>
  <c r="A13" i="162" s="1"/>
  <c r="A14" i="162" s="1"/>
  <c r="A15" i="162" s="1"/>
  <c r="A16" i="162" s="1"/>
  <c r="A19" i="162" s="1"/>
  <c r="E98" i="161"/>
  <c r="J33" i="161" s="1"/>
  <c r="J34" i="161" s="1"/>
  <c r="J56" i="161" s="1"/>
  <c r="J60" i="161" s="1"/>
  <c r="J64" i="161" s="1"/>
  <c r="E68" i="161" s="1"/>
  <c r="J41" i="161"/>
  <c r="J38" i="161"/>
  <c r="J57" i="161" s="1"/>
  <c r="A13" i="161"/>
  <c r="A14" i="161" s="1"/>
  <c r="A15" i="161" s="1"/>
  <c r="A18" i="161" s="1"/>
  <c r="A41" i="161"/>
  <c r="A42" i="161" s="1"/>
  <c r="A43" i="161" s="1"/>
  <c r="A44" i="161" s="1"/>
  <c r="A45" i="161" s="1"/>
  <c r="A48" i="161" s="1"/>
  <c r="H57" i="161"/>
  <c r="H56" i="161"/>
  <c r="J154" i="166" l="1"/>
  <c r="J145" i="166"/>
  <c r="J153" i="166"/>
  <c r="J149" i="166"/>
  <c r="J155" i="166"/>
  <c r="J151" i="166"/>
  <c r="J150" i="166"/>
  <c r="J147" i="166"/>
  <c r="H155" i="164"/>
  <c r="H151" i="164"/>
  <c r="E146" i="164"/>
  <c r="E153" i="164"/>
  <c r="E152" i="164"/>
  <c r="H146" i="164"/>
  <c r="J153" i="164"/>
  <c r="J149" i="164"/>
  <c r="L149" i="164"/>
  <c r="E148" i="164"/>
  <c r="E151" i="164"/>
  <c r="L154" i="166"/>
  <c r="G153" i="166"/>
  <c r="L148" i="164"/>
  <c r="L151" i="164"/>
  <c r="J155" i="164"/>
  <c r="E156" i="164"/>
  <c r="E150" i="164"/>
  <c r="H148" i="164"/>
  <c r="H149" i="164"/>
  <c r="G23" i="169"/>
  <c r="G25" i="169"/>
  <c r="A12" i="169"/>
  <c r="A13" i="169" s="1"/>
  <c r="C76" i="168"/>
  <c r="A20" i="168"/>
  <c r="E85" i="167"/>
  <c r="E65" i="167"/>
  <c r="E107" i="167"/>
  <c r="G94" i="167"/>
  <c r="G107" i="167" s="1"/>
  <c r="A94" i="167"/>
  <c r="A95" i="167" s="1"/>
  <c r="A96" i="167" s="1"/>
  <c r="A97" i="167" s="1"/>
  <c r="A98" i="167" s="1"/>
  <c r="A99" i="167" s="1"/>
  <c r="A100" i="167" s="1"/>
  <c r="A101" i="167" s="1"/>
  <c r="A102" i="167" s="1"/>
  <c r="A103" i="167" s="1"/>
  <c r="A104" i="167" s="1"/>
  <c r="A105" i="167" s="1"/>
  <c r="A106" i="167" s="1"/>
  <c r="A107" i="167" s="1"/>
  <c r="A117" i="167" s="1"/>
  <c r="H60" i="167"/>
  <c r="H62" i="167"/>
  <c r="H61" i="167"/>
  <c r="M149" i="166"/>
  <c r="M146" i="166"/>
  <c r="M151" i="166"/>
  <c r="M155" i="166"/>
  <c r="M148" i="166"/>
  <c r="M154" i="166"/>
  <c r="M147" i="166"/>
  <c r="M144" i="166"/>
  <c r="M152" i="166"/>
  <c r="M145" i="166"/>
  <c r="M150" i="166"/>
  <c r="M153" i="166"/>
  <c r="K152" i="166"/>
  <c r="K153" i="166"/>
  <c r="K147" i="166"/>
  <c r="K149" i="166"/>
  <c r="K155" i="166"/>
  <c r="K146" i="166"/>
  <c r="K145" i="166"/>
  <c r="K148" i="166"/>
  <c r="K154" i="166"/>
  <c r="K151" i="166"/>
  <c r="K150" i="166"/>
  <c r="K144" i="166"/>
  <c r="F144" i="166"/>
  <c r="F148" i="166"/>
  <c r="F152" i="166"/>
  <c r="F150" i="166"/>
  <c r="F154" i="166"/>
  <c r="F145" i="166"/>
  <c r="F149" i="166"/>
  <c r="F153" i="166"/>
  <c r="F147" i="166"/>
  <c r="F151" i="166"/>
  <c r="F155" i="166"/>
  <c r="F146" i="166"/>
  <c r="H154" i="166"/>
  <c r="H146" i="166"/>
  <c r="H150" i="166"/>
  <c r="H149" i="166"/>
  <c r="H144" i="166"/>
  <c r="H148" i="166"/>
  <c r="H152" i="166"/>
  <c r="H147" i="166"/>
  <c r="H145" i="166"/>
  <c r="H151" i="166"/>
  <c r="H153" i="166"/>
  <c r="H155" i="166"/>
  <c r="A46" i="166"/>
  <c r="G58" i="166"/>
  <c r="N136" i="166"/>
  <c r="J152" i="166"/>
  <c r="J144" i="166"/>
  <c r="J148" i="166"/>
  <c r="E149" i="166"/>
  <c r="L152" i="166"/>
  <c r="I149" i="166"/>
  <c r="N133" i="166"/>
  <c r="E151" i="166"/>
  <c r="G155" i="166"/>
  <c r="L147" i="166"/>
  <c r="L149" i="166"/>
  <c r="I146" i="166"/>
  <c r="L146" i="166"/>
  <c r="G152" i="166"/>
  <c r="G144" i="166"/>
  <c r="N118" i="166"/>
  <c r="N123" i="166" s="1"/>
  <c r="I153" i="166"/>
  <c r="I145" i="166"/>
  <c r="G146" i="166"/>
  <c r="E145" i="166"/>
  <c r="G151" i="166"/>
  <c r="I152" i="166"/>
  <c r="E144" i="166"/>
  <c r="E123" i="166"/>
  <c r="E155" i="166" s="1"/>
  <c r="I154" i="166"/>
  <c r="N116" i="166"/>
  <c r="I150" i="166"/>
  <c r="I147" i="166"/>
  <c r="L150" i="166"/>
  <c r="L144" i="166"/>
  <c r="E154" i="166"/>
  <c r="I155" i="166"/>
  <c r="E152" i="166"/>
  <c r="N103" i="166"/>
  <c r="G145" i="166"/>
  <c r="G154" i="166"/>
  <c r="G150" i="166"/>
  <c r="E147" i="166"/>
  <c r="L155" i="166"/>
  <c r="L153" i="166"/>
  <c r="L151" i="166"/>
  <c r="E153" i="166"/>
  <c r="J146" i="166"/>
  <c r="I144" i="166"/>
  <c r="L148" i="166"/>
  <c r="H46" i="166"/>
  <c r="E150" i="166"/>
  <c r="L145" i="166"/>
  <c r="I148" i="166"/>
  <c r="G148" i="166"/>
  <c r="H35" i="166"/>
  <c r="B169" i="166"/>
  <c r="A13" i="165"/>
  <c r="A14" i="165" s="1"/>
  <c r="A15" i="165" s="1"/>
  <c r="A16" i="165" s="1"/>
  <c r="A17" i="165" s="1"/>
  <c r="D17" i="165"/>
  <c r="D12" i="165"/>
  <c r="G12" i="164"/>
  <c r="G155" i="164"/>
  <c r="G151" i="164"/>
  <c r="G147" i="164"/>
  <c r="M131" i="164"/>
  <c r="M139" i="164" s="1"/>
  <c r="D43" i="164"/>
  <c r="D157" i="164"/>
  <c r="C147" i="164"/>
  <c r="D155" i="164"/>
  <c r="L147" i="164"/>
  <c r="E12" i="164"/>
  <c r="D149" i="164"/>
  <c r="M149" i="164" s="1"/>
  <c r="L150" i="164"/>
  <c r="D146" i="164"/>
  <c r="G157" i="164"/>
  <c r="C156" i="164"/>
  <c r="K154" i="164"/>
  <c r="G153" i="164"/>
  <c r="C152" i="164"/>
  <c r="K150" i="164"/>
  <c r="G149" i="164"/>
  <c r="C148" i="164"/>
  <c r="K146" i="164"/>
  <c r="D151" i="164"/>
  <c r="H147" i="164"/>
  <c r="H13" i="164" s="1"/>
  <c r="H14" i="164" s="1"/>
  <c r="H15" i="164" s="1"/>
  <c r="D148" i="164"/>
  <c r="L153" i="164"/>
  <c r="M126" i="164"/>
  <c r="E155" i="164"/>
  <c r="H150" i="164"/>
  <c r="E147" i="164"/>
  <c r="E13" i="164" s="1"/>
  <c r="E14" i="164" s="1"/>
  <c r="E15" i="164" s="1"/>
  <c r="E16" i="164" s="1"/>
  <c r="E17" i="164" s="1"/>
  <c r="E18" i="164" s="1"/>
  <c r="E19" i="164" s="1"/>
  <c r="E20" i="164" s="1"/>
  <c r="L156" i="164"/>
  <c r="H152" i="164"/>
  <c r="F158" i="164"/>
  <c r="F12" i="164"/>
  <c r="H153" i="164"/>
  <c r="I151" i="164"/>
  <c r="I153" i="164"/>
  <c r="C12" i="164"/>
  <c r="D156" i="164"/>
  <c r="H12" i="164"/>
  <c r="A34" i="164"/>
  <c r="G156" i="164"/>
  <c r="C155" i="164"/>
  <c r="G152" i="164"/>
  <c r="C151" i="164"/>
  <c r="C158" i="164" s="1"/>
  <c r="G148" i="164"/>
  <c r="L152" i="164"/>
  <c r="C157" i="164"/>
  <c r="K155" i="164"/>
  <c r="G154" i="164"/>
  <c r="C153" i="164"/>
  <c r="K151" i="164"/>
  <c r="G150" i="164"/>
  <c r="M150" i="164" s="1"/>
  <c r="L155" i="164"/>
  <c r="D147" i="164"/>
  <c r="D152" i="164"/>
  <c r="H157" i="164"/>
  <c r="D153" i="164"/>
  <c r="L154" i="164"/>
  <c r="L146" i="164"/>
  <c r="J154" i="164"/>
  <c r="J150" i="164"/>
  <c r="J146" i="164"/>
  <c r="J152" i="164"/>
  <c r="J156" i="164"/>
  <c r="J148" i="164"/>
  <c r="J151" i="164"/>
  <c r="I146" i="164"/>
  <c r="A20" i="162"/>
  <c r="A21" i="162" s="1"/>
  <c r="A22" i="162" s="1"/>
  <c r="A23" i="162" s="1"/>
  <c r="A25" i="162" s="1"/>
  <c r="A26" i="162" s="1"/>
  <c r="A27" i="162" s="1"/>
  <c r="J27" i="162"/>
  <c r="E73" i="161"/>
  <c r="J70" i="161" s="1"/>
  <c r="A49" i="161"/>
  <c r="A51" i="161" s="1"/>
  <c r="A52" i="161" s="1"/>
  <c r="A53" i="161" s="1"/>
  <c r="A54" i="161" s="1"/>
  <c r="A55" i="161" s="1"/>
  <c r="A56" i="161" s="1"/>
  <c r="A57" i="161" s="1"/>
  <c r="A58" i="161" s="1"/>
  <c r="A59" i="161" s="1"/>
  <c r="A60" i="161" s="1"/>
  <c r="A19" i="161"/>
  <c r="A20" i="161" s="1"/>
  <c r="A21" i="161" s="1"/>
  <c r="A23" i="161" s="1"/>
  <c r="H15" i="161"/>
  <c r="H29" i="161"/>
  <c r="J72" i="161" l="1"/>
  <c r="D7" i="106"/>
  <c r="M154" i="164"/>
  <c r="G14" i="164"/>
  <c r="G15" i="164" s="1"/>
  <c r="G16" i="164" s="1"/>
  <c r="G13" i="164"/>
  <c r="E148" i="166"/>
  <c r="N155" i="166"/>
  <c r="A14" i="169"/>
  <c r="E14" i="169"/>
  <c r="E13" i="169"/>
  <c r="G28" i="169"/>
  <c r="G23" i="168"/>
  <c r="A23" i="168"/>
  <c r="A118" i="167"/>
  <c r="A119" i="167" s="1"/>
  <c r="A120" i="167" s="1"/>
  <c r="A121" i="167" s="1"/>
  <c r="A122" i="167" s="1"/>
  <c r="A123" i="167" s="1"/>
  <c r="A124" i="167" s="1"/>
  <c r="A125" i="167" s="1"/>
  <c r="A126" i="167" s="1"/>
  <c r="A127" i="167" s="1"/>
  <c r="A128" i="167" s="1"/>
  <c r="A129" i="167" s="1"/>
  <c r="A137" i="167" s="1"/>
  <c r="N150" i="166"/>
  <c r="I156" i="166"/>
  <c r="I13" i="166"/>
  <c r="N148" i="166"/>
  <c r="N154" i="166"/>
  <c r="N153" i="166"/>
  <c r="N147" i="166"/>
  <c r="L156" i="166"/>
  <c r="L13" i="166"/>
  <c r="E156" i="166"/>
  <c r="E13" i="166"/>
  <c r="N144" i="166"/>
  <c r="N145" i="166"/>
  <c r="E14" i="166"/>
  <c r="N151" i="166"/>
  <c r="N149" i="166"/>
  <c r="K156" i="166"/>
  <c r="K13" i="166"/>
  <c r="M156" i="166"/>
  <c r="M13" i="166"/>
  <c r="L14" i="166"/>
  <c r="L15" i="166" s="1"/>
  <c r="L16" i="166" s="1"/>
  <c r="L17" i="166" s="1"/>
  <c r="L18" i="166" s="1"/>
  <c r="L19" i="166" s="1"/>
  <c r="L20" i="166" s="1"/>
  <c r="L21" i="166" s="1"/>
  <c r="L22" i="166" s="1"/>
  <c r="L23" i="166" s="1"/>
  <c r="E146" i="166"/>
  <c r="G156" i="166"/>
  <c r="G13" i="166"/>
  <c r="I14" i="166"/>
  <c r="I15" i="166" s="1"/>
  <c r="I16" i="166" s="1"/>
  <c r="I17" i="166" s="1"/>
  <c r="I18" i="166" s="1"/>
  <c r="I19" i="166" s="1"/>
  <c r="I20" i="166" s="1"/>
  <c r="I21" i="166" s="1"/>
  <c r="I22" i="166" s="1"/>
  <c r="I23" i="166" s="1"/>
  <c r="J156" i="166"/>
  <c r="J13" i="166"/>
  <c r="F14" i="166"/>
  <c r="F15" i="166" s="1"/>
  <c r="F16" i="166" s="1"/>
  <c r="F17" i="166" s="1"/>
  <c r="F18" i="166" s="1"/>
  <c r="F19" i="166" s="1"/>
  <c r="F20" i="166" s="1"/>
  <c r="F21" i="166" s="1"/>
  <c r="F22" i="166" s="1"/>
  <c r="F23" i="166" s="1"/>
  <c r="M14" i="166"/>
  <c r="M15" i="166" s="1"/>
  <c r="M16" i="166" s="1"/>
  <c r="M17" i="166" s="1"/>
  <c r="M18" i="166" s="1"/>
  <c r="M19" i="166" s="1"/>
  <c r="M20" i="166" s="1"/>
  <c r="M21" i="166" s="1"/>
  <c r="M22" i="166" s="1"/>
  <c r="M23" i="166" s="1"/>
  <c r="N152" i="166"/>
  <c r="G51" i="166"/>
  <c r="A51" i="166"/>
  <c r="H156" i="166"/>
  <c r="H13" i="166"/>
  <c r="H14" i="166" s="1"/>
  <c r="H15" i="166" s="1"/>
  <c r="H16" i="166" s="1"/>
  <c r="H17" i="166" s="1"/>
  <c r="H18" i="166" s="1"/>
  <c r="H19" i="166" s="1"/>
  <c r="H20" i="166" s="1"/>
  <c r="H21" i="166" s="1"/>
  <c r="H22" i="166" s="1"/>
  <c r="H23" i="166" s="1"/>
  <c r="F156" i="166"/>
  <c r="F13" i="166"/>
  <c r="A18" i="165"/>
  <c r="A19" i="165" s="1"/>
  <c r="A20" i="165" s="1"/>
  <c r="D158" i="164"/>
  <c r="D12" i="164"/>
  <c r="M12" i="164" s="1"/>
  <c r="M147" i="164"/>
  <c r="C13" i="164"/>
  <c r="C14" i="164" s="1"/>
  <c r="M157" i="164"/>
  <c r="M146" i="164"/>
  <c r="E158" i="164"/>
  <c r="J158" i="164"/>
  <c r="J12" i="164"/>
  <c r="K158" i="164"/>
  <c r="K12" i="164"/>
  <c r="M152" i="164"/>
  <c r="M151" i="164"/>
  <c r="A35" i="164"/>
  <c r="B171" i="164"/>
  <c r="H16" i="164"/>
  <c r="H17" i="164" s="1"/>
  <c r="H18" i="164" s="1"/>
  <c r="H19" i="164" s="1"/>
  <c r="H20" i="164" s="1"/>
  <c r="H21" i="164" s="1"/>
  <c r="H22" i="164" s="1"/>
  <c r="M148" i="164"/>
  <c r="I158" i="164"/>
  <c r="I12" i="164"/>
  <c r="L158" i="164"/>
  <c r="L12" i="164"/>
  <c r="M153" i="164"/>
  <c r="M155" i="164"/>
  <c r="F13" i="164"/>
  <c r="F14" i="164" s="1"/>
  <c r="F15" i="164" s="1"/>
  <c r="F16" i="164" s="1"/>
  <c r="F17" i="164" s="1"/>
  <c r="F18" i="164" s="1"/>
  <c r="F19" i="164" s="1"/>
  <c r="F20" i="164" s="1"/>
  <c r="F21" i="164" s="1"/>
  <c r="F22" i="164" s="1"/>
  <c r="H158" i="164"/>
  <c r="E21" i="164"/>
  <c r="E22" i="164" s="1"/>
  <c r="M156" i="164"/>
  <c r="L13" i="164"/>
  <c r="L14" i="164" s="1"/>
  <c r="L15" i="164" s="1"/>
  <c r="L16" i="164" s="1"/>
  <c r="L17" i="164" s="1"/>
  <c r="L18" i="164" s="1"/>
  <c r="L19" i="164" s="1"/>
  <c r="L20" i="164" s="1"/>
  <c r="L21" i="164" s="1"/>
  <c r="L22" i="164" s="1"/>
  <c r="G158" i="164"/>
  <c r="J29" i="162"/>
  <c r="A29" i="162"/>
  <c r="A32" i="162" s="1"/>
  <c r="H60" i="161"/>
  <c r="A24" i="161"/>
  <c r="A25" i="161" s="1"/>
  <c r="H21" i="161"/>
  <c r="H64" i="161"/>
  <c r="A62" i="161"/>
  <c r="A64" i="161" s="1"/>
  <c r="A15" i="169" l="1"/>
  <c r="A16" i="169" s="1"/>
  <c r="A17" i="169" s="1"/>
  <c r="A18" i="169" s="1"/>
  <c r="A19" i="169" s="1"/>
  <c r="A20" i="169" s="1"/>
  <c r="E15" i="169"/>
  <c r="A24" i="168"/>
  <c r="A25" i="168" s="1"/>
  <c r="A138" i="167"/>
  <c r="A139" i="167" s="1"/>
  <c r="A140" i="167" s="1"/>
  <c r="A141" i="167" s="1"/>
  <c r="A142" i="167" s="1"/>
  <c r="A143" i="167" s="1"/>
  <c r="A144" i="167" s="1"/>
  <c r="A145" i="167" s="1"/>
  <c r="A146" i="167" s="1"/>
  <c r="A147" i="167" s="1"/>
  <c r="A148" i="167" s="1"/>
  <c r="A149" i="167" s="1"/>
  <c r="A157" i="167" s="1"/>
  <c r="H69" i="167"/>
  <c r="F69" i="167"/>
  <c r="N14" i="166"/>
  <c r="G14" i="166"/>
  <c r="G15" i="166" s="1"/>
  <c r="G16" i="166" s="1"/>
  <c r="G17" i="166" s="1"/>
  <c r="G18" i="166" s="1"/>
  <c r="G19" i="166" s="1"/>
  <c r="G20" i="166" s="1"/>
  <c r="G21" i="166" s="1"/>
  <c r="G22" i="166" s="1"/>
  <c r="G23" i="166" s="1"/>
  <c r="I25" i="166"/>
  <c r="F25" i="166"/>
  <c r="A52" i="166"/>
  <c r="A53" i="166" s="1"/>
  <c r="A58" i="166" s="1"/>
  <c r="J14" i="166"/>
  <c r="J15" i="166" s="1"/>
  <c r="J16" i="166" s="1"/>
  <c r="J17" i="166" s="1"/>
  <c r="J18" i="166" s="1"/>
  <c r="J19" i="166" s="1"/>
  <c r="J20" i="166" s="1"/>
  <c r="J21" i="166" s="1"/>
  <c r="J22" i="166" s="1"/>
  <c r="J23" i="166" s="1"/>
  <c r="N146" i="166"/>
  <c r="N156" i="166" s="1"/>
  <c r="E15" i="166"/>
  <c r="H25" i="166"/>
  <c r="L25" i="166"/>
  <c r="K14" i="166"/>
  <c r="K15" i="166" s="1"/>
  <c r="K16" i="166" s="1"/>
  <c r="K17" i="166" s="1"/>
  <c r="K18" i="166" s="1"/>
  <c r="K19" i="166" s="1"/>
  <c r="K20" i="166" s="1"/>
  <c r="K21" i="166" s="1"/>
  <c r="K22" i="166" s="1"/>
  <c r="K23" i="166" s="1"/>
  <c r="M25" i="166"/>
  <c r="N13" i="166"/>
  <c r="A21" i="165"/>
  <c r="A22" i="165" s="1"/>
  <c r="A23" i="165" s="1"/>
  <c r="A24" i="165" s="1"/>
  <c r="A25" i="165" s="1"/>
  <c r="A26" i="165" s="1"/>
  <c r="G17" i="164"/>
  <c r="G18" i="164" s="1"/>
  <c r="G19" i="164" s="1"/>
  <c r="G20" i="164" s="1"/>
  <c r="G21" i="164" s="1"/>
  <c r="G22" i="164" s="1"/>
  <c r="C15" i="164"/>
  <c r="F24" i="164"/>
  <c r="M158" i="164"/>
  <c r="L24" i="164"/>
  <c r="E24" i="164"/>
  <c r="B172" i="164"/>
  <c r="A36" i="164"/>
  <c r="E43" i="164"/>
  <c r="K13" i="164"/>
  <c r="K14" i="164" s="1"/>
  <c r="K15" i="164" s="1"/>
  <c r="K16" i="164" s="1"/>
  <c r="K17" i="164" s="1"/>
  <c r="K18" i="164" s="1"/>
  <c r="K19" i="164" s="1"/>
  <c r="K20" i="164" s="1"/>
  <c r="K21" i="164" s="1"/>
  <c r="K22" i="164" s="1"/>
  <c r="H24" i="164"/>
  <c r="I13" i="164"/>
  <c r="I14" i="164" s="1"/>
  <c r="I15" i="164" s="1"/>
  <c r="I16" i="164" s="1"/>
  <c r="I17" i="164" s="1"/>
  <c r="I18" i="164" s="1"/>
  <c r="I19" i="164" s="1"/>
  <c r="I20" i="164" s="1"/>
  <c r="I21" i="164" s="1"/>
  <c r="I22" i="164" s="1"/>
  <c r="D13" i="164"/>
  <c r="D14" i="164" s="1"/>
  <c r="D15" i="164" s="1"/>
  <c r="D16" i="164" s="1"/>
  <c r="D17" i="164" s="1"/>
  <c r="D18" i="164" s="1"/>
  <c r="D19" i="164" s="1"/>
  <c r="D20" i="164" s="1"/>
  <c r="D21" i="164" s="1"/>
  <c r="D22" i="164" s="1"/>
  <c r="J13" i="164"/>
  <c r="J14" i="164" s="1"/>
  <c r="J15" i="164" s="1"/>
  <c r="J16" i="164" s="1"/>
  <c r="J17" i="164" s="1"/>
  <c r="J18" i="164" s="1"/>
  <c r="J19" i="164" s="1"/>
  <c r="J20" i="164" s="1"/>
  <c r="J21" i="164" s="1"/>
  <c r="J22" i="164" s="1"/>
  <c r="I47" i="162"/>
  <c r="A33" i="162"/>
  <c r="A34" i="162" s="1"/>
  <c r="A68" i="161"/>
  <c r="G68" i="161"/>
  <c r="H30" i="161"/>
  <c r="D24" i="164" l="1"/>
  <c r="G25" i="166"/>
  <c r="A21" i="169"/>
  <c r="A22" i="169" s="1"/>
  <c r="G27" i="168"/>
  <c r="A26" i="168"/>
  <c r="A27" i="168" s="1"/>
  <c r="G25" i="168"/>
  <c r="A158" i="167"/>
  <c r="A159" i="167" s="1"/>
  <c r="A160" i="167" s="1"/>
  <c r="A161" i="167" s="1"/>
  <c r="A162" i="167" s="1"/>
  <c r="A163" i="167" s="1"/>
  <c r="A164" i="167" s="1"/>
  <c r="A165" i="167" s="1"/>
  <c r="A166" i="167" s="1"/>
  <c r="A167" i="167" s="1"/>
  <c r="A168" i="167" s="1"/>
  <c r="A169" i="167" s="1"/>
  <c r="A176" i="167" s="1"/>
  <c r="A177" i="167" s="1"/>
  <c r="A178" i="167" s="1"/>
  <c r="A179" i="167" s="1"/>
  <c r="A180" i="167" s="1"/>
  <c r="A181" i="167" s="1"/>
  <c r="A182" i="167" s="1"/>
  <c r="A183" i="167" s="1"/>
  <c r="A184" i="167" s="1"/>
  <c r="A185" i="167" s="1"/>
  <c r="A186" i="167" s="1"/>
  <c r="A187" i="167" s="1"/>
  <c r="A188" i="167" s="1"/>
  <c r="A195" i="167" s="1"/>
  <c r="A196" i="167" s="1"/>
  <c r="A197" i="167" s="1"/>
  <c r="A198" i="167" s="1"/>
  <c r="A199" i="167" s="1"/>
  <c r="A200" i="167" s="1"/>
  <c r="A201" i="167" s="1"/>
  <c r="A202" i="167" s="1"/>
  <c r="A203" i="167" s="1"/>
  <c r="A204" i="167" s="1"/>
  <c r="A205" i="167" s="1"/>
  <c r="A206" i="167" s="1"/>
  <c r="A207" i="167" s="1"/>
  <c r="A214" i="167" s="1"/>
  <c r="A215" i="167" s="1"/>
  <c r="A216" i="167" s="1"/>
  <c r="A217" i="167" s="1"/>
  <c r="A218" i="167" s="1"/>
  <c r="A219" i="167" s="1"/>
  <c r="A220" i="167" s="1"/>
  <c r="A221" i="167" s="1"/>
  <c r="A222" i="167" s="1"/>
  <c r="A223" i="167" s="1"/>
  <c r="A224" i="167" s="1"/>
  <c r="A225" i="167" s="1"/>
  <c r="A226" i="167" s="1"/>
  <c r="A233" i="167" s="1"/>
  <c r="A234" i="167" s="1"/>
  <c r="A235" i="167" s="1"/>
  <c r="A236" i="167" s="1"/>
  <c r="A237" i="167" s="1"/>
  <c r="A238" i="167" s="1"/>
  <c r="A239" i="167" s="1"/>
  <c r="A240" i="167" s="1"/>
  <c r="A241" i="167" s="1"/>
  <c r="A242" i="167" s="1"/>
  <c r="A243" i="167" s="1"/>
  <c r="A244" i="167" s="1"/>
  <c r="A245" i="167" s="1"/>
  <c r="A252" i="167" s="1"/>
  <c r="A253" i="167" s="1"/>
  <c r="A254" i="167" s="1"/>
  <c r="A255" i="167" s="1"/>
  <c r="A256" i="167" s="1"/>
  <c r="A257" i="167" s="1"/>
  <c r="A258" i="167" s="1"/>
  <c r="A259" i="167" s="1"/>
  <c r="A260" i="167" s="1"/>
  <c r="A261" i="167" s="1"/>
  <c r="A262" i="167" s="1"/>
  <c r="A263" i="167" s="1"/>
  <c r="A264" i="167" s="1"/>
  <c r="A271" i="167" s="1"/>
  <c r="A272" i="167" s="1"/>
  <c r="A273" i="167" s="1"/>
  <c r="A274" i="167" s="1"/>
  <c r="A275" i="167" s="1"/>
  <c r="A276" i="167" s="1"/>
  <c r="A277" i="167" s="1"/>
  <c r="A278" i="167" s="1"/>
  <c r="A279" i="167" s="1"/>
  <c r="A280" i="167" s="1"/>
  <c r="A281" i="167" s="1"/>
  <c r="A282" i="167" s="1"/>
  <c r="A283" i="167" s="1"/>
  <c r="A290" i="167" s="1"/>
  <c r="A291" i="167" s="1"/>
  <c r="A292" i="167" s="1"/>
  <c r="A293" i="167" s="1"/>
  <c r="A294" i="167" s="1"/>
  <c r="A295" i="167" s="1"/>
  <c r="A296" i="167" s="1"/>
  <c r="A297" i="167" s="1"/>
  <c r="A298" i="167" s="1"/>
  <c r="A299" i="167" s="1"/>
  <c r="A300" i="167" s="1"/>
  <c r="A301" i="167" s="1"/>
  <c r="A302" i="167" s="1"/>
  <c r="A307" i="167" s="1"/>
  <c r="A308" i="167" s="1"/>
  <c r="A309" i="167" s="1"/>
  <c r="A312" i="167" s="1"/>
  <c r="A313" i="167" s="1"/>
  <c r="A314" i="167" s="1"/>
  <c r="A317" i="167" s="1"/>
  <c r="A318" i="167" s="1"/>
  <c r="A319" i="167" s="1"/>
  <c r="A320" i="167" s="1"/>
  <c r="A323" i="167" s="1"/>
  <c r="A324" i="167" s="1"/>
  <c r="A325" i="167" s="1"/>
  <c r="A326" i="167" s="1"/>
  <c r="A327" i="167" s="1"/>
  <c r="A330" i="167" s="1"/>
  <c r="A331" i="167" s="1"/>
  <c r="A332" i="167" s="1"/>
  <c r="A335" i="167" s="1"/>
  <c r="A336" i="167" s="1"/>
  <c r="A337" i="167" s="1"/>
  <c r="A340" i="167" s="1"/>
  <c r="A341" i="167" s="1"/>
  <c r="A342" i="167" s="1"/>
  <c r="A345" i="167" s="1"/>
  <c r="A346" i="167" s="1"/>
  <c r="A347" i="167" s="1"/>
  <c r="A350" i="167" s="1"/>
  <c r="A351" i="167" s="1"/>
  <c r="A352" i="167" s="1"/>
  <c r="A355" i="167" s="1"/>
  <c r="A356" i="167" s="1"/>
  <c r="A357" i="167" s="1"/>
  <c r="A360" i="167" s="1"/>
  <c r="A361" i="167" s="1"/>
  <c r="A362" i="167" s="1"/>
  <c r="A365" i="167" s="1"/>
  <c r="A366" i="167" s="1"/>
  <c r="A367" i="167" s="1"/>
  <c r="G69" i="167"/>
  <c r="A59" i="166"/>
  <c r="A60" i="166" s="1"/>
  <c r="A71" i="166" s="1"/>
  <c r="N15" i="166"/>
  <c r="E16" i="166"/>
  <c r="G53" i="166"/>
  <c r="K25" i="166"/>
  <c r="J25" i="166"/>
  <c r="A27" i="165"/>
  <c r="A28" i="165" s="1"/>
  <c r="A34" i="165" s="1"/>
  <c r="A35" i="165" s="1"/>
  <c r="A36" i="165" s="1"/>
  <c r="D28" i="165"/>
  <c r="D26" i="165"/>
  <c r="M14" i="164"/>
  <c r="I24" i="164"/>
  <c r="K24" i="164"/>
  <c r="M13" i="164"/>
  <c r="J24" i="164"/>
  <c r="A42" i="164"/>
  <c r="A43" i="164" s="1"/>
  <c r="A52" i="164" s="1"/>
  <c r="E42" i="164"/>
  <c r="M15" i="164"/>
  <c r="C16" i="164"/>
  <c r="G24" i="164"/>
  <c r="B57" i="162"/>
  <c r="A35" i="162"/>
  <c r="A38" i="162" s="1"/>
  <c r="I48" i="162"/>
  <c r="J35" i="162"/>
  <c r="A69" i="161"/>
  <c r="A70" i="161" s="1"/>
  <c r="A23" i="169" l="1"/>
  <c r="A24" i="169" s="1"/>
  <c r="E23" i="169"/>
  <c r="A28" i="168"/>
  <c r="B173" i="166"/>
  <c r="A72" i="166"/>
  <c r="A73" i="166" s="1"/>
  <c r="A74" i="166" s="1"/>
  <c r="A75" i="166" s="1"/>
  <c r="A76" i="166" s="1"/>
  <c r="A77" i="166" s="1"/>
  <c r="A78" i="166" s="1"/>
  <c r="A79" i="166" s="1"/>
  <c r="A80" i="166" s="1"/>
  <c r="A81" i="166" s="1"/>
  <c r="A82" i="166" s="1"/>
  <c r="A83" i="166" s="1"/>
  <c r="A91" i="166" s="1"/>
  <c r="A92" i="166" s="1"/>
  <c r="A93" i="166" s="1"/>
  <c r="A94" i="166" s="1"/>
  <c r="A95" i="166" s="1"/>
  <c r="A96" i="166" s="1"/>
  <c r="A97" i="166" s="1"/>
  <c r="A98" i="166" s="1"/>
  <c r="A99" i="166" s="1"/>
  <c r="A100" i="166" s="1"/>
  <c r="A101" i="166" s="1"/>
  <c r="A102" i="166" s="1"/>
  <c r="A103" i="166" s="1"/>
  <c r="N16" i="166"/>
  <c r="E17" i="166"/>
  <c r="G60" i="166"/>
  <c r="A37" i="165"/>
  <c r="A38" i="165" s="1"/>
  <c r="A53" i="164"/>
  <c r="G56" i="164"/>
  <c r="M16" i="164"/>
  <c r="C17" i="164"/>
  <c r="A39" i="162"/>
  <c r="A40" i="162" s="1"/>
  <c r="A41" i="162" s="1"/>
  <c r="G73" i="161"/>
  <c r="G70" i="161"/>
  <c r="A71" i="161"/>
  <c r="A72" i="161" s="1"/>
  <c r="A73" i="161" s="1"/>
  <c r="E25" i="169" l="1"/>
  <c r="A25" i="169"/>
  <c r="A29" i="168"/>
  <c r="G29" i="168"/>
  <c r="B175" i="166"/>
  <c r="A111" i="166"/>
  <c r="N17" i="166"/>
  <c r="E18" i="166"/>
  <c r="A39" i="165"/>
  <c r="A40" i="165" s="1"/>
  <c r="G61" i="164"/>
  <c r="A56" i="164"/>
  <c r="M17" i="164"/>
  <c r="C18" i="164"/>
  <c r="J43" i="162"/>
  <c r="A43" i="162"/>
  <c r="A46" i="162" s="1"/>
  <c r="J41" i="162"/>
  <c r="G72" i="161"/>
  <c r="A26" i="169" l="1"/>
  <c r="A27" i="169" s="1"/>
  <c r="A28" i="169" s="1"/>
  <c r="A29" i="169" s="1"/>
  <c r="A30" i="169" s="1"/>
  <c r="A31" i="169" s="1"/>
  <c r="A32" i="169" s="1"/>
  <c r="A33" i="169" s="1"/>
  <c r="E28" i="169"/>
  <c r="A30" i="168"/>
  <c r="A37" i="168" s="1"/>
  <c r="G30" i="168"/>
  <c r="N18" i="166"/>
  <c r="E19" i="166"/>
  <c r="A112" i="166"/>
  <c r="A113" i="166" s="1"/>
  <c r="A114" i="166" s="1"/>
  <c r="A115" i="166" s="1"/>
  <c r="A116" i="166" s="1"/>
  <c r="A117" i="166" s="1"/>
  <c r="A118" i="166" s="1"/>
  <c r="A119" i="166" s="1"/>
  <c r="A120" i="166" s="1"/>
  <c r="A121" i="166" s="1"/>
  <c r="A122" i="166" s="1"/>
  <c r="A123" i="166" s="1"/>
  <c r="A129" i="166" s="1"/>
  <c r="A41" i="165"/>
  <c r="A42" i="165" s="1"/>
  <c r="D42" i="165"/>
  <c r="D40" i="165"/>
  <c r="M18" i="164"/>
  <c r="C19" i="164"/>
  <c r="A57" i="164"/>
  <c r="A58" i="164" s="1"/>
  <c r="A61" i="164" s="1"/>
  <c r="A47" i="162"/>
  <c r="A48" i="162" s="1"/>
  <c r="A49" i="162" s="1"/>
  <c r="A50" i="162" s="1"/>
  <c r="A51" i="162" s="1"/>
  <c r="J51" i="162"/>
  <c r="A34" i="169" l="1"/>
  <c r="A35" i="169" s="1"/>
  <c r="A36" i="169" s="1"/>
  <c r="A37" i="169" s="1"/>
  <c r="A38" i="169" s="1"/>
  <c r="A39" i="169" s="1"/>
  <c r="E35" i="169"/>
  <c r="E36" i="169"/>
  <c r="G77" i="168"/>
  <c r="A38" i="168"/>
  <c r="A39" i="168" s="1"/>
  <c r="A40" i="168" s="1"/>
  <c r="A41" i="168" s="1"/>
  <c r="A42" i="168" s="1"/>
  <c r="A43" i="168" s="1"/>
  <c r="N19" i="166"/>
  <c r="E20" i="166"/>
  <c r="B178" i="166"/>
  <c r="A133" i="166"/>
  <c r="A136" i="166" s="1"/>
  <c r="B176" i="166"/>
  <c r="A62" i="164"/>
  <c r="A63" i="164" s="1"/>
  <c r="A74" i="164" s="1"/>
  <c r="G63" i="164"/>
  <c r="M19" i="164"/>
  <c r="C20" i="164"/>
  <c r="G58" i="164"/>
  <c r="E41" i="169" l="1"/>
  <c r="A40" i="169"/>
  <c r="A41" i="169" s="1"/>
  <c r="A42" i="169" s="1"/>
  <c r="A43" i="169" s="1"/>
  <c r="A44" i="169" s="1"/>
  <c r="A45" i="169" s="1"/>
  <c r="C78" i="168"/>
  <c r="A44" i="168"/>
  <c r="N20" i="166"/>
  <c r="E21" i="166"/>
  <c r="B177" i="166"/>
  <c r="A144" i="166"/>
  <c r="M20" i="164"/>
  <c r="C21" i="164"/>
  <c r="A75" i="164"/>
  <c r="A76" i="164" s="1"/>
  <c r="A77" i="164" s="1"/>
  <c r="A78" i="164" s="1"/>
  <c r="A79" i="164" s="1"/>
  <c r="A80" i="164" s="1"/>
  <c r="A81" i="164" s="1"/>
  <c r="A82" i="164" s="1"/>
  <c r="A83" i="164" s="1"/>
  <c r="A84" i="164" s="1"/>
  <c r="A85" i="164" s="1"/>
  <c r="A86" i="164" s="1"/>
  <c r="A94" i="164" s="1"/>
  <c r="A95" i="164" s="1"/>
  <c r="A96" i="164" s="1"/>
  <c r="A97" i="164" s="1"/>
  <c r="A98" i="164" s="1"/>
  <c r="A99" i="164" s="1"/>
  <c r="A100" i="164" s="1"/>
  <c r="A101" i="164" s="1"/>
  <c r="A102" i="164" s="1"/>
  <c r="A103" i="164" s="1"/>
  <c r="A104" i="164" s="1"/>
  <c r="A105" i="164" s="1"/>
  <c r="A106" i="164" s="1"/>
  <c r="A46" i="169" l="1"/>
  <c r="A47" i="169" s="1"/>
  <c r="A48" i="169" s="1"/>
  <c r="A49" i="169" s="1"/>
  <c r="A50" i="169" s="1"/>
  <c r="A51" i="169" s="1"/>
  <c r="E47" i="169"/>
  <c r="E48" i="169"/>
  <c r="E42" i="169"/>
  <c r="C72" i="168"/>
  <c r="A45" i="168"/>
  <c r="A46" i="168" s="1"/>
  <c r="A47" i="168" s="1"/>
  <c r="A48" i="168" s="1"/>
  <c r="A49" i="168" s="1"/>
  <c r="A50" i="168" s="1"/>
  <c r="A145" i="166"/>
  <c r="A146" i="166" s="1"/>
  <c r="A147" i="166" s="1"/>
  <c r="A148" i="166" s="1"/>
  <c r="A149" i="166" s="1"/>
  <c r="A150" i="166" s="1"/>
  <c r="A151" i="166" s="1"/>
  <c r="A152" i="166" s="1"/>
  <c r="A153" i="166" s="1"/>
  <c r="A154" i="166" s="1"/>
  <c r="A155" i="166" s="1"/>
  <c r="A156" i="166" s="1"/>
  <c r="N21" i="166"/>
  <c r="E22" i="166"/>
  <c r="B177" i="164"/>
  <c r="A114" i="164"/>
  <c r="M21" i="164"/>
  <c r="C22" i="164"/>
  <c r="B175" i="164"/>
  <c r="A52" i="169" l="1"/>
  <c r="A53" i="169" s="1"/>
  <c r="A54" i="169" s="1"/>
  <c r="A55" i="169" s="1"/>
  <c r="A56" i="169" s="1"/>
  <c r="A57" i="169" s="1"/>
  <c r="N22" i="166"/>
  <c r="E23" i="166"/>
  <c r="B179" i="166"/>
  <c r="M22" i="164"/>
  <c r="M24" i="164" s="1"/>
  <c r="D42" i="164" s="1"/>
  <c r="C24" i="164"/>
  <c r="A115" i="164"/>
  <c r="A116" i="164" s="1"/>
  <c r="A117" i="164" s="1"/>
  <c r="A118" i="164" s="1"/>
  <c r="A119" i="164" s="1"/>
  <c r="A120" i="164" s="1"/>
  <c r="A121" i="164" s="1"/>
  <c r="A122" i="164" s="1"/>
  <c r="A123" i="164" s="1"/>
  <c r="A124" i="164" s="1"/>
  <c r="A125" i="164" s="1"/>
  <c r="A126" i="164" s="1"/>
  <c r="A131" i="164" s="1"/>
  <c r="E53" i="169" l="1"/>
  <c r="A58" i="169"/>
  <c r="A59" i="169" s="1"/>
  <c r="A60" i="169" s="1"/>
  <c r="A61" i="169" s="1"/>
  <c r="A62" i="169" s="1"/>
  <c r="A63" i="169" s="1"/>
  <c r="E54" i="169"/>
  <c r="N23" i="166"/>
  <c r="N25" i="166" s="1"/>
  <c r="E25" i="166"/>
  <c r="A135" i="164"/>
  <c r="A139" i="164" s="1"/>
  <c r="B180" i="164"/>
  <c r="E60" i="169" l="1"/>
  <c r="E59" i="169"/>
  <c r="A64" i="169"/>
  <c r="A65" i="169" s="1"/>
  <c r="A66" i="169" s="1"/>
  <c r="A67" i="169" s="1"/>
  <c r="A68" i="169" s="1"/>
  <c r="A69" i="169" s="1"/>
  <c r="B179" i="164"/>
  <c r="A146" i="164"/>
  <c r="B178" i="164"/>
  <c r="A70" i="169" l="1"/>
  <c r="A71" i="169" s="1"/>
  <c r="A72" i="169" s="1"/>
  <c r="A73" i="169" s="1"/>
  <c r="A74" i="169" s="1"/>
  <c r="A75" i="169" s="1"/>
  <c r="E72" i="169"/>
  <c r="E71" i="169"/>
  <c r="E65" i="169"/>
  <c r="E66" i="169"/>
  <c r="A147" i="164"/>
  <c r="A148" i="164" s="1"/>
  <c r="A149" i="164" s="1"/>
  <c r="A150" i="164" s="1"/>
  <c r="A151" i="164" s="1"/>
  <c r="A152" i="164" s="1"/>
  <c r="A153" i="164" s="1"/>
  <c r="A154" i="164" s="1"/>
  <c r="A155" i="164" s="1"/>
  <c r="A156" i="164" s="1"/>
  <c r="A157" i="164" s="1"/>
  <c r="A158" i="164" s="1"/>
  <c r="E77" i="169" l="1"/>
  <c r="A76" i="169"/>
  <c r="A77" i="169" s="1"/>
  <c r="A78" i="169" s="1"/>
  <c r="A79" i="169" s="1"/>
  <c r="A80" i="169" s="1"/>
  <c r="A81" i="169" s="1"/>
  <c r="B181" i="164"/>
  <c r="A82" i="169" l="1"/>
  <c r="A83" i="169" s="1"/>
  <c r="A84" i="169" s="1"/>
  <c r="A85" i="169" s="1"/>
  <c r="A86" i="169" s="1"/>
  <c r="A87" i="169" s="1"/>
  <c r="E83" i="169"/>
  <c r="E84" i="169"/>
  <c r="E78" i="169"/>
  <c r="A88" i="169" l="1"/>
  <c r="A89" i="169" s="1"/>
  <c r="A90" i="169" s="1"/>
  <c r="A91" i="169" s="1"/>
  <c r="A92" i="169" s="1"/>
  <c r="A93" i="169" s="1"/>
  <c r="E89" i="169"/>
  <c r="A94" i="169" l="1"/>
  <c r="A95" i="169" s="1"/>
  <c r="A96" i="169" s="1"/>
  <c r="A97" i="169" s="1"/>
  <c r="A98" i="169" s="1"/>
  <c r="A99" i="169" s="1"/>
  <c r="E95" i="169"/>
  <c r="E96" i="169"/>
  <c r="E90" i="169"/>
  <c r="A100" i="169" l="1"/>
  <c r="A101" i="169" s="1"/>
  <c r="A102" i="169" s="1"/>
  <c r="A103" i="169" s="1"/>
  <c r="A104" i="169" s="1"/>
  <c r="A105" i="169" s="1"/>
  <c r="A106" i="169" l="1"/>
  <c r="A107" i="169" s="1"/>
  <c r="A108" i="169" s="1"/>
  <c r="A109" i="169" s="1"/>
  <c r="A110" i="169" s="1"/>
  <c r="A111" i="169" s="1"/>
  <c r="E108" i="169"/>
  <c r="E107" i="169"/>
  <c r="E101" i="169"/>
  <c r="E102" i="169"/>
  <c r="A112" i="169" l="1"/>
  <c r="A113" i="169" s="1"/>
  <c r="A114" i="169" s="1"/>
  <c r="A115" i="169" s="1"/>
  <c r="A116" i="169" s="1"/>
  <c r="A117" i="169" s="1"/>
  <c r="E113" i="169" l="1"/>
  <c r="A118" i="169"/>
  <c r="A119" i="169" s="1"/>
  <c r="A120" i="169" s="1"/>
  <c r="A121" i="169" s="1"/>
  <c r="A122" i="169" s="1"/>
  <c r="A123" i="169" s="1"/>
  <c r="E114" i="169"/>
  <c r="E120" i="169" l="1"/>
  <c r="E119" i="169"/>
  <c r="A124" i="169"/>
  <c r="A125" i="169" s="1"/>
  <c r="A126" i="169" s="1"/>
  <c r="E125" i="169"/>
  <c r="E126" i="169" l="1"/>
  <c r="D126" i="159" l="1"/>
  <c r="D125" i="159"/>
  <c r="D120" i="159"/>
  <c r="D119" i="159"/>
  <c r="D114" i="159"/>
  <c r="D113" i="159"/>
  <c r="D108" i="159"/>
  <c r="D107" i="159"/>
  <c r="D102" i="159"/>
  <c r="D101" i="159"/>
  <c r="D96" i="159"/>
  <c r="D95" i="159"/>
  <c r="D90" i="159"/>
  <c r="D89" i="159"/>
  <c r="D84" i="159"/>
  <c r="D83" i="159"/>
  <c r="D78" i="159"/>
  <c r="D77" i="159"/>
  <c r="D72" i="159"/>
  <c r="D71" i="159"/>
  <c r="D66" i="159"/>
  <c r="D65" i="159"/>
  <c r="D60" i="159"/>
  <c r="D59" i="159"/>
  <c r="D54" i="159"/>
  <c r="D53" i="159"/>
  <c r="D48" i="159"/>
  <c r="D47" i="159"/>
  <c r="D42" i="159"/>
  <c r="D41" i="159"/>
  <c r="D36" i="159"/>
  <c r="D35" i="159"/>
  <c r="E12" i="159"/>
  <c r="G13" i="159"/>
  <c r="E11" i="159"/>
  <c r="G10" i="159"/>
  <c r="E10" i="159"/>
  <c r="A9" i="159"/>
  <c r="A10" i="159" s="1"/>
  <c r="A8" i="159"/>
  <c r="C108" i="158"/>
  <c r="F70" i="158"/>
  <c r="E70" i="158"/>
  <c r="H43" i="158" s="1"/>
  <c r="D43" i="158" s="1"/>
  <c r="G12" i="158" s="1"/>
  <c r="H12" i="158" s="1"/>
  <c r="F64" i="158"/>
  <c r="E64" i="158"/>
  <c r="G58" i="158"/>
  <c r="G37" i="158" s="1"/>
  <c r="D37" i="158" s="1"/>
  <c r="G6" i="158" s="1"/>
  <c r="H6" i="158" s="1"/>
  <c r="H57" i="158"/>
  <c r="G57" i="158"/>
  <c r="D50" i="158"/>
  <c r="D49" i="158"/>
  <c r="D48" i="158"/>
  <c r="D47" i="158"/>
  <c r="G16" i="158" s="1"/>
  <c r="H16" i="158" s="1"/>
  <c r="D46" i="158"/>
  <c r="D45" i="158"/>
  <c r="F44" i="158"/>
  <c r="D44" i="158"/>
  <c r="D42" i="158"/>
  <c r="G11" i="158" s="1"/>
  <c r="H11" i="158" s="1"/>
  <c r="D41" i="158"/>
  <c r="D40" i="158"/>
  <c r="G9" i="158" s="1"/>
  <c r="H9" i="158" s="1"/>
  <c r="D39" i="158"/>
  <c r="D38" i="158"/>
  <c r="G7" i="158" s="1"/>
  <c r="H7" i="158" s="1"/>
  <c r="F24" i="158"/>
  <c r="E20" i="158"/>
  <c r="H19" i="158"/>
  <c r="G19" i="158"/>
  <c r="G18" i="158"/>
  <c r="H18" i="158" s="1"/>
  <c r="G17" i="158"/>
  <c r="H17" i="158" s="1"/>
  <c r="H15" i="158"/>
  <c r="G15" i="158"/>
  <c r="G14" i="158"/>
  <c r="H14" i="158" s="1"/>
  <c r="G13" i="158"/>
  <c r="H13" i="158" s="1"/>
  <c r="G10" i="158"/>
  <c r="H10" i="158" s="1"/>
  <c r="F29" i="158" s="1"/>
  <c r="A9" i="158"/>
  <c r="A10" i="158" s="1"/>
  <c r="H8" i="158"/>
  <c r="G8" i="158"/>
  <c r="A8" i="158"/>
  <c r="A7" i="158"/>
  <c r="H302" i="157"/>
  <c r="G302" i="157"/>
  <c r="H301" i="157"/>
  <c r="G301" i="157"/>
  <c r="H300" i="157"/>
  <c r="G300" i="157"/>
  <c r="H299" i="157"/>
  <c r="G299" i="157"/>
  <c r="H298" i="157"/>
  <c r="G298" i="157"/>
  <c r="H297" i="157"/>
  <c r="G297" i="157"/>
  <c r="H296" i="157"/>
  <c r="G296" i="157"/>
  <c r="H295" i="157"/>
  <c r="G295" i="157"/>
  <c r="H294" i="157"/>
  <c r="G294" i="157"/>
  <c r="H293" i="157"/>
  <c r="G293" i="157"/>
  <c r="H292" i="157"/>
  <c r="G292" i="157"/>
  <c r="H291" i="157"/>
  <c r="G291" i="157"/>
  <c r="H290" i="157"/>
  <c r="G290" i="157"/>
  <c r="H283" i="157"/>
  <c r="G283" i="157"/>
  <c r="H282" i="157"/>
  <c r="G282" i="157"/>
  <c r="H281" i="157"/>
  <c r="G281" i="157"/>
  <c r="H280" i="157"/>
  <c r="G280" i="157"/>
  <c r="H279" i="157"/>
  <c r="G279" i="157"/>
  <c r="H278" i="157"/>
  <c r="G278" i="157"/>
  <c r="H277" i="157"/>
  <c r="G277" i="157"/>
  <c r="H276" i="157"/>
  <c r="G276" i="157"/>
  <c r="H275" i="157"/>
  <c r="G275" i="157"/>
  <c r="H274" i="157"/>
  <c r="G274" i="157"/>
  <c r="H273" i="157"/>
  <c r="G273" i="157"/>
  <c r="H272" i="157"/>
  <c r="G272" i="157"/>
  <c r="H271" i="157"/>
  <c r="G271" i="157"/>
  <c r="H264" i="157"/>
  <c r="G264" i="157"/>
  <c r="H263" i="157"/>
  <c r="G263" i="157"/>
  <c r="H262" i="157"/>
  <c r="G262" i="157"/>
  <c r="H261" i="157"/>
  <c r="G261" i="157"/>
  <c r="H260" i="157"/>
  <c r="G260" i="157"/>
  <c r="H259" i="157"/>
  <c r="G259" i="157"/>
  <c r="H258" i="157"/>
  <c r="G258" i="157"/>
  <c r="H257" i="157"/>
  <c r="G257" i="157"/>
  <c r="H256" i="157"/>
  <c r="G256" i="157"/>
  <c r="H255" i="157"/>
  <c r="G255" i="157"/>
  <c r="H254" i="157"/>
  <c r="G254" i="157"/>
  <c r="H253" i="157"/>
  <c r="G253" i="157"/>
  <c r="H252" i="157"/>
  <c r="G252" i="157"/>
  <c r="H245" i="157"/>
  <c r="G245" i="157"/>
  <c r="H244" i="157"/>
  <c r="G244" i="157"/>
  <c r="H243" i="157"/>
  <c r="G243" i="157"/>
  <c r="H242" i="157"/>
  <c r="G242" i="157"/>
  <c r="H241" i="157"/>
  <c r="G241" i="157"/>
  <c r="H240" i="157"/>
  <c r="G240" i="157"/>
  <c r="H239" i="157"/>
  <c r="G239" i="157"/>
  <c r="H238" i="157"/>
  <c r="G238" i="157"/>
  <c r="H237" i="157"/>
  <c r="G237" i="157"/>
  <c r="H236" i="157"/>
  <c r="G236" i="157"/>
  <c r="H235" i="157"/>
  <c r="G235" i="157"/>
  <c r="H234" i="157"/>
  <c r="G234" i="157"/>
  <c r="H233" i="157"/>
  <c r="G233" i="157"/>
  <c r="H226" i="157"/>
  <c r="G226" i="157"/>
  <c r="H225" i="157"/>
  <c r="G225" i="157"/>
  <c r="H224" i="157"/>
  <c r="G224" i="157"/>
  <c r="H223" i="157"/>
  <c r="G223" i="157"/>
  <c r="H222" i="157"/>
  <c r="G222" i="157"/>
  <c r="H221" i="157"/>
  <c r="G221" i="157"/>
  <c r="H220" i="157"/>
  <c r="G220" i="157"/>
  <c r="H219" i="157"/>
  <c r="G219" i="157"/>
  <c r="H218" i="157"/>
  <c r="G218" i="157"/>
  <c r="H217" i="157"/>
  <c r="G217" i="157"/>
  <c r="H216" i="157"/>
  <c r="G216" i="157"/>
  <c r="H215" i="157"/>
  <c r="G215" i="157"/>
  <c r="H214" i="157"/>
  <c r="G214" i="157"/>
  <c r="H207" i="157"/>
  <c r="G207" i="157"/>
  <c r="H206" i="157"/>
  <c r="G206" i="157"/>
  <c r="H205" i="157"/>
  <c r="G205" i="157"/>
  <c r="H204" i="157"/>
  <c r="G204" i="157"/>
  <c r="H203" i="157"/>
  <c r="G203" i="157"/>
  <c r="H202" i="157"/>
  <c r="G202" i="157"/>
  <c r="H201" i="157"/>
  <c r="G201" i="157"/>
  <c r="H200" i="157"/>
  <c r="E99" i="157" s="1"/>
  <c r="G99" i="157" s="1"/>
  <c r="G200" i="157"/>
  <c r="H199" i="157"/>
  <c r="G199" i="157"/>
  <c r="H198" i="157"/>
  <c r="G198" i="157"/>
  <c r="H197" i="157"/>
  <c r="G197" i="157"/>
  <c r="H196" i="157"/>
  <c r="G196" i="157"/>
  <c r="H195" i="157"/>
  <c r="G195" i="157"/>
  <c r="H188" i="157"/>
  <c r="G188" i="157"/>
  <c r="H187" i="157"/>
  <c r="G187" i="157"/>
  <c r="H186" i="157"/>
  <c r="G186" i="157"/>
  <c r="H185" i="157"/>
  <c r="G185" i="157"/>
  <c r="H184" i="157"/>
  <c r="G184" i="157"/>
  <c r="H183" i="157"/>
  <c r="G183" i="157"/>
  <c r="H182" i="157"/>
  <c r="G182" i="157"/>
  <c r="H181" i="157"/>
  <c r="G181" i="157"/>
  <c r="H180" i="157"/>
  <c r="G180" i="157"/>
  <c r="H179" i="157"/>
  <c r="G179" i="157"/>
  <c r="H178" i="157"/>
  <c r="G178" i="157"/>
  <c r="H177" i="157"/>
  <c r="G177" i="157"/>
  <c r="H176" i="157"/>
  <c r="G176" i="157"/>
  <c r="H169" i="157"/>
  <c r="G169" i="157"/>
  <c r="G84" i="157" s="1"/>
  <c r="G48" i="157" s="1"/>
  <c r="H168" i="157"/>
  <c r="G168" i="157"/>
  <c r="H167" i="157"/>
  <c r="G167" i="157"/>
  <c r="G82" i="157" s="1"/>
  <c r="H166" i="157"/>
  <c r="G166" i="157"/>
  <c r="H165" i="157"/>
  <c r="G165" i="157"/>
  <c r="G80" i="157" s="1"/>
  <c r="H164" i="157"/>
  <c r="G164" i="157"/>
  <c r="H163" i="157"/>
  <c r="G163" i="157"/>
  <c r="G78" i="157" s="1"/>
  <c r="H162" i="157"/>
  <c r="G162" i="157"/>
  <c r="H161" i="157"/>
  <c r="G161" i="157"/>
  <c r="G76" i="157" s="1"/>
  <c r="H160" i="157"/>
  <c r="G160" i="157"/>
  <c r="H159" i="157"/>
  <c r="G159" i="157"/>
  <c r="G74" i="157" s="1"/>
  <c r="H158" i="157"/>
  <c r="G158" i="157"/>
  <c r="H157" i="157"/>
  <c r="G157" i="157"/>
  <c r="G72" i="157" s="1"/>
  <c r="H149" i="157"/>
  <c r="E106" i="157" s="1"/>
  <c r="G149" i="157"/>
  <c r="H148" i="157"/>
  <c r="G148" i="157"/>
  <c r="H83" i="157" s="1"/>
  <c r="E83" i="157" s="1"/>
  <c r="H147" i="157"/>
  <c r="G147" i="157"/>
  <c r="H146" i="157"/>
  <c r="G146" i="157"/>
  <c r="H81" i="157" s="1"/>
  <c r="H145" i="157"/>
  <c r="G145" i="157"/>
  <c r="H144" i="157"/>
  <c r="G144" i="157"/>
  <c r="H79" i="157" s="1"/>
  <c r="H143" i="157"/>
  <c r="G143" i="157"/>
  <c r="H142" i="157"/>
  <c r="G142" i="157"/>
  <c r="H77" i="157" s="1"/>
  <c r="H141" i="157"/>
  <c r="E98" i="157" s="1"/>
  <c r="G141" i="157"/>
  <c r="H140" i="157"/>
  <c r="G140" i="157"/>
  <c r="H75" i="157" s="1"/>
  <c r="E75" i="157" s="1"/>
  <c r="H139" i="157"/>
  <c r="G139" i="157"/>
  <c r="H138" i="157"/>
  <c r="G138" i="157"/>
  <c r="H73" i="157" s="1"/>
  <c r="H137" i="157"/>
  <c r="G137" i="157"/>
  <c r="H129" i="157"/>
  <c r="G129" i="157"/>
  <c r="H128" i="157"/>
  <c r="E105" i="157" s="1"/>
  <c r="G105" i="157" s="1"/>
  <c r="G128" i="157"/>
  <c r="H127" i="157"/>
  <c r="G127" i="157"/>
  <c r="F82" i="157" s="1"/>
  <c r="E82" i="157" s="1"/>
  <c r="H126" i="157"/>
  <c r="E103" i="157" s="1"/>
  <c r="G103" i="157" s="1"/>
  <c r="G126" i="157"/>
  <c r="H125" i="157"/>
  <c r="G125" i="157"/>
  <c r="F80" i="157" s="1"/>
  <c r="E80" i="157" s="1"/>
  <c r="H124" i="157"/>
  <c r="G124" i="157"/>
  <c r="H123" i="157"/>
  <c r="G123" i="157"/>
  <c r="H122" i="157"/>
  <c r="G122" i="157"/>
  <c r="H121" i="157"/>
  <c r="G121" i="157"/>
  <c r="H120" i="157"/>
  <c r="E97" i="157" s="1"/>
  <c r="G97" i="157" s="1"/>
  <c r="G120" i="157"/>
  <c r="H119" i="157"/>
  <c r="G119" i="157"/>
  <c r="F74" i="157" s="1"/>
  <c r="E74" i="157" s="1"/>
  <c r="H118" i="157"/>
  <c r="E95" i="157" s="1"/>
  <c r="G95" i="157" s="1"/>
  <c r="G118" i="157"/>
  <c r="H117" i="157"/>
  <c r="G117" i="157"/>
  <c r="F72" i="157" s="1"/>
  <c r="F107" i="157"/>
  <c r="G106" i="157"/>
  <c r="E101" i="157"/>
  <c r="G101" i="157" s="1"/>
  <c r="G98" i="157"/>
  <c r="G85" i="157"/>
  <c r="G62" i="157" s="1"/>
  <c r="H84" i="157"/>
  <c r="G46" i="157" s="1"/>
  <c r="F84" i="157"/>
  <c r="E84" i="157" s="1"/>
  <c r="G83" i="157"/>
  <c r="F83" i="157"/>
  <c r="H82" i="157"/>
  <c r="G81" i="157"/>
  <c r="E81" i="157" s="1"/>
  <c r="F81" i="157"/>
  <c r="H80" i="157"/>
  <c r="G79" i="157"/>
  <c r="F79" i="157"/>
  <c r="E79" i="157"/>
  <c r="H78" i="157"/>
  <c r="F78" i="157"/>
  <c r="G77" i="157"/>
  <c r="E77" i="157" s="1"/>
  <c r="F77" i="157"/>
  <c r="H76" i="157"/>
  <c r="F76" i="157"/>
  <c r="E76" i="157" s="1"/>
  <c r="G75" i="157"/>
  <c r="F75" i="157"/>
  <c r="H74" i="157"/>
  <c r="G73" i="157"/>
  <c r="E73" i="157" s="1"/>
  <c r="F73" i="157"/>
  <c r="H72" i="157"/>
  <c r="G47" i="157"/>
  <c r="E46" i="157"/>
  <c r="A32" i="157"/>
  <c r="A33" i="157" s="1"/>
  <c r="A34" i="157" s="1"/>
  <c r="A35" i="157" s="1"/>
  <c r="A36" i="157" s="1"/>
  <c r="A37" i="157" s="1"/>
  <c r="A46" i="157" s="1"/>
  <c r="A47" i="157" s="1"/>
  <c r="A48" i="157" s="1"/>
  <c r="A49" i="157" s="1"/>
  <c r="A50" i="157" s="1"/>
  <c r="A51" i="157" s="1"/>
  <c r="A60" i="157" s="1"/>
  <c r="A61" i="157" s="1"/>
  <c r="A62" i="157" s="1"/>
  <c r="A63" i="157" s="1"/>
  <c r="A64" i="157" s="1"/>
  <c r="A65" i="157" s="1"/>
  <c r="A72" i="157" s="1"/>
  <c r="A73" i="157" s="1"/>
  <c r="A74" i="157" s="1"/>
  <c r="A75" i="157" s="1"/>
  <c r="A76" i="157" s="1"/>
  <c r="A77" i="157" s="1"/>
  <c r="A78" i="157" s="1"/>
  <c r="A79" i="157" s="1"/>
  <c r="A80" i="157" s="1"/>
  <c r="A81" i="157" s="1"/>
  <c r="A82" i="157" s="1"/>
  <c r="A83" i="157" s="1"/>
  <c r="A84" i="157" s="1"/>
  <c r="A30" i="157"/>
  <c r="A31" i="157" s="1"/>
  <c r="A28" i="157"/>
  <c r="A29" i="157" s="1"/>
  <c r="G37" i="157"/>
  <c r="F62" i="157"/>
  <c r="F48" i="157"/>
  <c r="E48" i="157" s="1"/>
  <c r="A27" i="157"/>
  <c r="F47" i="157"/>
  <c r="E47" i="157" s="1"/>
  <c r="F401" i="156"/>
  <c r="F400" i="156"/>
  <c r="F399" i="156"/>
  <c r="F398" i="156"/>
  <c r="F397" i="156"/>
  <c r="F396" i="156"/>
  <c r="F395" i="156"/>
  <c r="F394" i="156"/>
  <c r="F393" i="156"/>
  <c r="F392" i="156"/>
  <c r="F391" i="156"/>
  <c r="F390" i="156"/>
  <c r="F389" i="156"/>
  <c r="F388" i="156"/>
  <c r="F387" i="156"/>
  <c r="F386" i="156"/>
  <c r="F385" i="156"/>
  <c r="F384" i="156"/>
  <c r="F383" i="156"/>
  <c r="F382" i="156"/>
  <c r="F381" i="156"/>
  <c r="F380" i="156"/>
  <c r="F379" i="156"/>
  <c r="F378" i="156"/>
  <c r="K376" i="156"/>
  <c r="J376" i="156"/>
  <c r="I376" i="156"/>
  <c r="H376" i="156"/>
  <c r="G376" i="156"/>
  <c r="F376" i="156"/>
  <c r="E376" i="156"/>
  <c r="D376" i="156"/>
  <c r="K375" i="156"/>
  <c r="J375" i="156"/>
  <c r="I375" i="156"/>
  <c r="H375" i="156"/>
  <c r="G375" i="156"/>
  <c r="F375" i="156"/>
  <c r="E375" i="156"/>
  <c r="D375" i="156"/>
  <c r="G374" i="156"/>
  <c r="F368" i="156"/>
  <c r="F367" i="156"/>
  <c r="F366" i="156"/>
  <c r="F365" i="156"/>
  <c r="F364" i="156"/>
  <c r="F363" i="156"/>
  <c r="F362" i="156"/>
  <c r="F361" i="156"/>
  <c r="F360" i="156"/>
  <c r="F359" i="156"/>
  <c r="F358" i="156"/>
  <c r="F357" i="156"/>
  <c r="F356" i="156"/>
  <c r="F355" i="156"/>
  <c r="F354" i="156"/>
  <c r="F353" i="156"/>
  <c r="F352" i="156"/>
  <c r="F351" i="156"/>
  <c r="F350" i="156"/>
  <c r="F349" i="156"/>
  <c r="F348" i="156"/>
  <c r="F347" i="156"/>
  <c r="F346" i="156"/>
  <c r="F345" i="156"/>
  <c r="J345" i="156" s="1"/>
  <c r="J344" i="156"/>
  <c r="K343" i="156"/>
  <c r="J343" i="156"/>
  <c r="I343" i="156"/>
  <c r="H343" i="156"/>
  <c r="G343" i="156"/>
  <c r="F343" i="156"/>
  <c r="E343" i="156"/>
  <c r="D343" i="156"/>
  <c r="K342" i="156"/>
  <c r="J342" i="156"/>
  <c r="I342" i="156"/>
  <c r="H342" i="156"/>
  <c r="G342" i="156"/>
  <c r="F342" i="156"/>
  <c r="E342" i="156"/>
  <c r="D342" i="156"/>
  <c r="G341" i="156"/>
  <c r="F337" i="156"/>
  <c r="F336" i="156"/>
  <c r="F335" i="156"/>
  <c r="F334" i="156"/>
  <c r="F333" i="156"/>
  <c r="F332" i="156"/>
  <c r="F331" i="156"/>
  <c r="F330" i="156"/>
  <c r="F329" i="156"/>
  <c r="F328" i="156"/>
  <c r="F327" i="156"/>
  <c r="F326" i="156"/>
  <c r="F325" i="156"/>
  <c r="F324" i="156"/>
  <c r="F323" i="156"/>
  <c r="F322" i="156"/>
  <c r="F321" i="156"/>
  <c r="F320" i="156"/>
  <c r="F319" i="156"/>
  <c r="F318" i="156"/>
  <c r="F317" i="156"/>
  <c r="F316" i="156"/>
  <c r="F315" i="156"/>
  <c r="F314" i="156"/>
  <c r="J313" i="156"/>
  <c r="K312" i="156"/>
  <c r="J312" i="156"/>
  <c r="I312" i="156"/>
  <c r="H312" i="156"/>
  <c r="G312" i="156"/>
  <c r="F312" i="156"/>
  <c r="E312" i="156"/>
  <c r="D312" i="156"/>
  <c r="K311" i="156"/>
  <c r="J311" i="156"/>
  <c r="I311" i="156"/>
  <c r="H311" i="156"/>
  <c r="G311" i="156"/>
  <c r="F311" i="156"/>
  <c r="E311" i="156"/>
  <c r="D311" i="156"/>
  <c r="G310" i="156"/>
  <c r="F304" i="156"/>
  <c r="F303" i="156"/>
  <c r="F302" i="156"/>
  <c r="F301" i="156"/>
  <c r="F300" i="156"/>
  <c r="F74" i="156" s="1"/>
  <c r="F299" i="156"/>
  <c r="F298" i="156"/>
  <c r="F297" i="156"/>
  <c r="F296" i="156"/>
  <c r="F295" i="156"/>
  <c r="F294" i="156"/>
  <c r="F293" i="156"/>
  <c r="F292" i="156"/>
  <c r="F291" i="156"/>
  <c r="F290" i="156"/>
  <c r="F289" i="156"/>
  <c r="F288" i="156"/>
  <c r="F287" i="156"/>
  <c r="F286" i="156"/>
  <c r="F285" i="156"/>
  <c r="F284" i="156"/>
  <c r="F283" i="156"/>
  <c r="F282" i="156"/>
  <c r="F281" i="156"/>
  <c r="J281" i="156" s="1"/>
  <c r="J280" i="156"/>
  <c r="K279" i="156"/>
  <c r="J279" i="156"/>
  <c r="I279" i="156"/>
  <c r="H279" i="156"/>
  <c r="G279" i="156"/>
  <c r="F279" i="156"/>
  <c r="E279" i="156"/>
  <c r="D279" i="156"/>
  <c r="K278" i="156"/>
  <c r="J278" i="156"/>
  <c r="I278" i="156"/>
  <c r="H278" i="156"/>
  <c r="G278" i="156"/>
  <c r="F278" i="156"/>
  <c r="E278" i="156"/>
  <c r="D278" i="156"/>
  <c r="G277" i="156"/>
  <c r="F273" i="156"/>
  <c r="F272" i="156"/>
  <c r="F271" i="156"/>
  <c r="F270" i="156"/>
  <c r="F269" i="156"/>
  <c r="F268" i="156"/>
  <c r="F267" i="156"/>
  <c r="F266" i="156"/>
  <c r="F265" i="156"/>
  <c r="F70" i="156" s="1"/>
  <c r="F264" i="156"/>
  <c r="F263" i="156"/>
  <c r="F262" i="156"/>
  <c r="F261" i="156"/>
  <c r="F66" i="156" s="1"/>
  <c r="F260" i="156"/>
  <c r="F259" i="156"/>
  <c r="F258" i="156"/>
  <c r="F257" i="156"/>
  <c r="F62" i="156" s="1"/>
  <c r="F256" i="156"/>
  <c r="F255" i="156"/>
  <c r="F254" i="156"/>
  <c r="F253" i="156"/>
  <c r="F252" i="156"/>
  <c r="F251" i="156"/>
  <c r="F250" i="156"/>
  <c r="J250" i="156" s="1"/>
  <c r="J249" i="156"/>
  <c r="K248" i="156"/>
  <c r="J248" i="156"/>
  <c r="I248" i="156"/>
  <c r="H248" i="156"/>
  <c r="F248" i="156"/>
  <c r="E248" i="156"/>
  <c r="D248" i="156"/>
  <c r="K247" i="156"/>
  <c r="J247" i="156"/>
  <c r="I247" i="156"/>
  <c r="H247" i="156"/>
  <c r="F247" i="156"/>
  <c r="E247" i="156"/>
  <c r="D247" i="156"/>
  <c r="F240" i="156"/>
  <c r="F239" i="156"/>
  <c r="F238" i="156"/>
  <c r="F237" i="156"/>
  <c r="F236" i="156"/>
  <c r="F235" i="156"/>
  <c r="F234" i="156"/>
  <c r="F233" i="156"/>
  <c r="F232" i="156"/>
  <c r="F231" i="156"/>
  <c r="F230" i="156"/>
  <c r="F229" i="156"/>
  <c r="F228" i="156"/>
  <c r="F227" i="156"/>
  <c r="F226" i="156"/>
  <c r="F225" i="156"/>
  <c r="F224" i="156"/>
  <c r="F223" i="156"/>
  <c r="F222" i="156"/>
  <c r="F221" i="156"/>
  <c r="F220" i="156"/>
  <c r="F58" i="156" s="1"/>
  <c r="F219" i="156"/>
  <c r="F218" i="156"/>
  <c r="F217" i="156"/>
  <c r="J217" i="156" s="1"/>
  <c r="J216" i="156"/>
  <c r="K215" i="156"/>
  <c r="J215" i="156"/>
  <c r="I215" i="156"/>
  <c r="H215" i="156"/>
  <c r="G215" i="156"/>
  <c r="F215" i="156"/>
  <c r="E215" i="156"/>
  <c r="D215" i="156"/>
  <c r="K214" i="156"/>
  <c r="J214" i="156"/>
  <c r="I214" i="156"/>
  <c r="H214" i="156"/>
  <c r="G214" i="156"/>
  <c r="F214" i="156"/>
  <c r="E214" i="156"/>
  <c r="D214" i="156"/>
  <c r="G213" i="156"/>
  <c r="F209" i="156"/>
  <c r="F208" i="156"/>
  <c r="F207" i="156"/>
  <c r="F206" i="156"/>
  <c r="F205" i="156"/>
  <c r="F204" i="156"/>
  <c r="F203" i="156"/>
  <c r="F202" i="156"/>
  <c r="F201" i="156"/>
  <c r="F200" i="156"/>
  <c r="F199" i="156"/>
  <c r="F198" i="156"/>
  <c r="F197" i="156"/>
  <c r="F196" i="156"/>
  <c r="F195" i="156"/>
  <c r="F194" i="156"/>
  <c r="F193" i="156"/>
  <c r="F192" i="156"/>
  <c r="F191" i="156"/>
  <c r="F190" i="156"/>
  <c r="F189" i="156"/>
  <c r="F188" i="156"/>
  <c r="F187" i="156"/>
  <c r="F186" i="156"/>
  <c r="J185" i="156"/>
  <c r="K184" i="156"/>
  <c r="J184" i="156"/>
  <c r="I184" i="156"/>
  <c r="H184" i="156"/>
  <c r="G184" i="156"/>
  <c r="F184" i="156"/>
  <c r="E184" i="156"/>
  <c r="D184" i="156"/>
  <c r="K183" i="156"/>
  <c r="J183" i="156"/>
  <c r="I183" i="156"/>
  <c r="H183" i="156"/>
  <c r="G183" i="156"/>
  <c r="F183" i="156"/>
  <c r="E183" i="156"/>
  <c r="D183" i="156"/>
  <c r="G182" i="156"/>
  <c r="F176" i="156"/>
  <c r="F175" i="156"/>
  <c r="F174" i="156"/>
  <c r="F173" i="156"/>
  <c r="F172" i="156"/>
  <c r="F171" i="156"/>
  <c r="F170" i="156"/>
  <c r="F169" i="156"/>
  <c r="F168" i="156"/>
  <c r="F167" i="156"/>
  <c r="F166" i="156"/>
  <c r="F165" i="156"/>
  <c r="F164" i="156"/>
  <c r="F163" i="156"/>
  <c r="F162" i="156"/>
  <c r="F161" i="156"/>
  <c r="F160" i="156"/>
  <c r="F159" i="156"/>
  <c r="F158" i="156"/>
  <c r="F157" i="156"/>
  <c r="F156" i="156"/>
  <c r="F155" i="156"/>
  <c r="F154" i="156"/>
  <c r="J153" i="156"/>
  <c r="K153" i="156" s="1"/>
  <c r="F153" i="156"/>
  <c r="J152" i="156"/>
  <c r="K151" i="156"/>
  <c r="J151" i="156"/>
  <c r="I151" i="156"/>
  <c r="H151" i="156"/>
  <c r="G151" i="156"/>
  <c r="F151" i="156"/>
  <c r="E151" i="156"/>
  <c r="D151" i="156"/>
  <c r="K150" i="156"/>
  <c r="J150" i="156"/>
  <c r="I150" i="156"/>
  <c r="H150" i="156"/>
  <c r="G150" i="156"/>
  <c r="F150" i="156"/>
  <c r="E150" i="156"/>
  <c r="D150" i="156"/>
  <c r="G149" i="156"/>
  <c r="F145" i="156"/>
  <c r="F143" i="156"/>
  <c r="F141" i="156"/>
  <c r="F140" i="156"/>
  <c r="F139" i="156"/>
  <c r="F138" i="156"/>
  <c r="F137" i="156"/>
  <c r="F136" i="156"/>
  <c r="F135" i="156"/>
  <c r="F134" i="156"/>
  <c r="F133" i="156"/>
  <c r="F132" i="156"/>
  <c r="F131" i="156"/>
  <c r="F130" i="156"/>
  <c r="F129" i="156"/>
  <c r="F128" i="156"/>
  <c r="F127" i="156"/>
  <c r="F126" i="156"/>
  <c r="F125" i="156"/>
  <c r="F124" i="156"/>
  <c r="F123" i="156"/>
  <c r="F122" i="156"/>
  <c r="J121" i="156"/>
  <c r="K120" i="156"/>
  <c r="J120" i="156"/>
  <c r="I120" i="156"/>
  <c r="H120" i="156"/>
  <c r="G120" i="156"/>
  <c r="F120" i="156"/>
  <c r="E120" i="156"/>
  <c r="D120" i="156"/>
  <c r="K119" i="156"/>
  <c r="J119" i="156"/>
  <c r="I119" i="156"/>
  <c r="H119" i="156"/>
  <c r="G119" i="156"/>
  <c r="F119" i="156"/>
  <c r="E119" i="156"/>
  <c r="D119" i="156"/>
  <c r="G118" i="156"/>
  <c r="F112" i="156"/>
  <c r="F78" i="156" s="1"/>
  <c r="F111" i="156"/>
  <c r="F110" i="156"/>
  <c r="F76" i="156" s="1"/>
  <c r="F109" i="156"/>
  <c r="F108" i="156"/>
  <c r="F107" i="156"/>
  <c r="F106" i="156"/>
  <c r="F72" i="156" s="1"/>
  <c r="F105" i="156"/>
  <c r="F104" i="156"/>
  <c r="F103" i="156"/>
  <c r="F102" i="156"/>
  <c r="F68" i="156" s="1"/>
  <c r="F101" i="156"/>
  <c r="F100" i="156"/>
  <c r="F99" i="156"/>
  <c r="F98" i="156"/>
  <c r="F64" i="156" s="1"/>
  <c r="F97" i="156"/>
  <c r="F96" i="156"/>
  <c r="F95" i="156"/>
  <c r="F94" i="156"/>
  <c r="F60" i="156" s="1"/>
  <c r="F93" i="156"/>
  <c r="F92" i="156"/>
  <c r="F91" i="156"/>
  <c r="F90" i="156"/>
  <c r="F56" i="156" s="1"/>
  <c r="F89" i="156"/>
  <c r="J88" i="156"/>
  <c r="K87" i="156"/>
  <c r="J87" i="156"/>
  <c r="I87" i="156"/>
  <c r="H87" i="156"/>
  <c r="G87" i="156"/>
  <c r="F87" i="156"/>
  <c r="E87" i="156"/>
  <c r="D87" i="156"/>
  <c r="K86" i="156"/>
  <c r="J86" i="156"/>
  <c r="I86" i="156"/>
  <c r="H86" i="156"/>
  <c r="G86" i="156"/>
  <c r="F86" i="156"/>
  <c r="E86" i="156"/>
  <c r="D86" i="156"/>
  <c r="G85" i="156"/>
  <c r="H78" i="156"/>
  <c r="G78" i="156"/>
  <c r="E78" i="156"/>
  <c r="D78" i="156"/>
  <c r="H77" i="156"/>
  <c r="G77" i="156"/>
  <c r="D77" i="156"/>
  <c r="H76" i="156"/>
  <c r="G76" i="156"/>
  <c r="E76" i="156"/>
  <c r="D76" i="156"/>
  <c r="H75" i="156"/>
  <c r="G75" i="156"/>
  <c r="D75" i="156"/>
  <c r="H74" i="156"/>
  <c r="G74" i="156"/>
  <c r="D74" i="156"/>
  <c r="I73" i="156"/>
  <c r="H73" i="156"/>
  <c r="G73" i="156"/>
  <c r="E73" i="156"/>
  <c r="D73" i="156"/>
  <c r="H72" i="156"/>
  <c r="G72" i="156"/>
  <c r="D72" i="156"/>
  <c r="I71" i="156"/>
  <c r="H71" i="156"/>
  <c r="G71" i="156"/>
  <c r="E71" i="156"/>
  <c r="D71" i="156"/>
  <c r="H70" i="156"/>
  <c r="G70" i="156"/>
  <c r="D70" i="156"/>
  <c r="I69" i="156"/>
  <c r="H69" i="156"/>
  <c r="G69" i="156"/>
  <c r="E69" i="156"/>
  <c r="D69" i="156"/>
  <c r="H68" i="156"/>
  <c r="G68" i="156"/>
  <c r="D68" i="156"/>
  <c r="I67" i="156"/>
  <c r="H67" i="156"/>
  <c r="G67" i="156"/>
  <c r="E67" i="156"/>
  <c r="D67" i="156"/>
  <c r="H66" i="156"/>
  <c r="G66" i="156"/>
  <c r="D66" i="156"/>
  <c r="I65" i="156"/>
  <c r="H65" i="156"/>
  <c r="G65" i="156"/>
  <c r="E65" i="156"/>
  <c r="D65" i="156"/>
  <c r="H64" i="156"/>
  <c r="G64" i="156"/>
  <c r="D64" i="156"/>
  <c r="I63" i="156"/>
  <c r="H63" i="156"/>
  <c r="G63" i="156"/>
  <c r="E63" i="156"/>
  <c r="D63" i="156"/>
  <c r="H62" i="156"/>
  <c r="G62" i="156"/>
  <c r="D62" i="156"/>
  <c r="I61" i="156"/>
  <c r="H61" i="156"/>
  <c r="G61" i="156"/>
  <c r="E61" i="156"/>
  <c r="D61" i="156"/>
  <c r="H60" i="156"/>
  <c r="G60" i="156"/>
  <c r="D60" i="156"/>
  <c r="I59" i="156"/>
  <c r="H59" i="156"/>
  <c r="G59" i="156"/>
  <c r="E59" i="156"/>
  <c r="D59" i="156"/>
  <c r="H58" i="156"/>
  <c r="G58" i="156"/>
  <c r="D58" i="156"/>
  <c r="I57" i="156"/>
  <c r="H57" i="156"/>
  <c r="G57" i="156"/>
  <c r="E57" i="156"/>
  <c r="D57" i="156"/>
  <c r="H56" i="156"/>
  <c r="G56" i="156"/>
  <c r="D56" i="156"/>
  <c r="I55" i="156"/>
  <c r="H55" i="156"/>
  <c r="G55" i="156"/>
  <c r="D55" i="156"/>
  <c r="G46" i="156"/>
  <c r="F46" i="156"/>
  <c r="E46" i="156"/>
  <c r="D46" i="156"/>
  <c r="I26" i="156"/>
  <c r="H26" i="156"/>
  <c r="G26" i="156"/>
  <c r="F26" i="156"/>
  <c r="E26" i="156"/>
  <c r="D25" i="156"/>
  <c r="J54" i="156" s="1"/>
  <c r="D24" i="156"/>
  <c r="D23" i="156"/>
  <c r="D22" i="156"/>
  <c r="D21" i="156"/>
  <c r="D20" i="156"/>
  <c r="D19" i="156"/>
  <c r="D18" i="156"/>
  <c r="D17" i="156"/>
  <c r="D16" i="156"/>
  <c r="D15" i="156"/>
  <c r="A15" i="156"/>
  <c r="A16" i="156" s="1"/>
  <c r="A17" i="156" s="1"/>
  <c r="A18" i="156" s="1"/>
  <c r="A19" i="156" s="1"/>
  <c r="A20" i="156" s="1"/>
  <c r="A21" i="156" s="1"/>
  <c r="A22" i="156" s="1"/>
  <c r="A23" i="156" s="1"/>
  <c r="A24" i="156" s="1"/>
  <c r="A25" i="156" s="1"/>
  <c r="A26" i="156" s="1"/>
  <c r="A33" i="156" s="1"/>
  <c r="A34" i="156" s="1"/>
  <c r="A35" i="156" s="1"/>
  <c r="A36" i="156" s="1"/>
  <c r="A37" i="156" s="1"/>
  <c r="A38" i="156" s="1"/>
  <c r="A39" i="156" s="1"/>
  <c r="A40" i="156" s="1"/>
  <c r="A41" i="156" s="1"/>
  <c r="A42" i="156" s="1"/>
  <c r="A43" i="156" s="1"/>
  <c r="A44" i="156" s="1"/>
  <c r="A45" i="156" s="1"/>
  <c r="A46" i="156" s="1"/>
  <c r="A54" i="156" s="1"/>
  <c r="A55" i="156" s="1"/>
  <c r="A56" i="156" s="1"/>
  <c r="A57" i="156" s="1"/>
  <c r="A58" i="156" s="1"/>
  <c r="A59" i="156" s="1"/>
  <c r="A60" i="156" s="1"/>
  <c r="A61" i="156" s="1"/>
  <c r="A62" i="156" s="1"/>
  <c r="A63" i="156" s="1"/>
  <c r="A64" i="156" s="1"/>
  <c r="A65" i="156" s="1"/>
  <c r="A66" i="156" s="1"/>
  <c r="A67" i="156" s="1"/>
  <c r="A68" i="156" s="1"/>
  <c r="A69" i="156" s="1"/>
  <c r="A70" i="156" s="1"/>
  <c r="A71" i="156" s="1"/>
  <c r="A72" i="156" s="1"/>
  <c r="A73" i="156" s="1"/>
  <c r="A74" i="156" s="1"/>
  <c r="A75" i="156" s="1"/>
  <c r="A76" i="156" s="1"/>
  <c r="A77" i="156" s="1"/>
  <c r="A78" i="156" s="1"/>
  <c r="A79" i="156" s="1"/>
  <c r="A88" i="156" s="1"/>
  <c r="A89" i="156" s="1"/>
  <c r="A90" i="156" s="1"/>
  <c r="A91" i="156" s="1"/>
  <c r="A92" i="156" s="1"/>
  <c r="A93" i="156" s="1"/>
  <c r="A94" i="156" s="1"/>
  <c r="A95" i="156" s="1"/>
  <c r="A96" i="156" s="1"/>
  <c r="A97" i="156" s="1"/>
  <c r="A98" i="156" s="1"/>
  <c r="A99" i="156" s="1"/>
  <c r="A100" i="156" s="1"/>
  <c r="A101" i="156" s="1"/>
  <c r="A102" i="156" s="1"/>
  <c r="A103" i="156" s="1"/>
  <c r="A104" i="156" s="1"/>
  <c r="A105" i="156" s="1"/>
  <c r="A106" i="156" s="1"/>
  <c r="A107" i="156" s="1"/>
  <c r="A108" i="156" s="1"/>
  <c r="A109" i="156" s="1"/>
  <c r="A110" i="156" s="1"/>
  <c r="A111" i="156" s="1"/>
  <c r="A112" i="156" s="1"/>
  <c r="A113" i="156" s="1"/>
  <c r="A121" i="156" s="1"/>
  <c r="A122" i="156" s="1"/>
  <c r="A123" i="156" s="1"/>
  <c r="A124" i="156" s="1"/>
  <c r="A125" i="156" s="1"/>
  <c r="A126" i="156" s="1"/>
  <c r="A127" i="156" s="1"/>
  <c r="A128" i="156" s="1"/>
  <c r="A129" i="156" s="1"/>
  <c r="A130" i="156" s="1"/>
  <c r="A131" i="156" s="1"/>
  <c r="A132" i="156" s="1"/>
  <c r="A133" i="156" s="1"/>
  <c r="A134" i="156" s="1"/>
  <c r="A135" i="156" s="1"/>
  <c r="A136" i="156" s="1"/>
  <c r="A137" i="156" s="1"/>
  <c r="A138" i="156" s="1"/>
  <c r="A139" i="156" s="1"/>
  <c r="A140" i="156" s="1"/>
  <c r="A141" i="156" s="1"/>
  <c r="A142" i="156" s="1"/>
  <c r="A143" i="156" s="1"/>
  <c r="A144" i="156" s="1"/>
  <c r="A145" i="156" s="1"/>
  <c r="A146" i="156" s="1"/>
  <c r="A152" i="156" s="1"/>
  <c r="A153" i="156" s="1"/>
  <c r="A154" i="156" s="1"/>
  <c r="A155" i="156" s="1"/>
  <c r="A156" i="156" s="1"/>
  <c r="A157" i="156" s="1"/>
  <c r="A158" i="156" s="1"/>
  <c r="A159" i="156" s="1"/>
  <c r="A160" i="156" s="1"/>
  <c r="A161" i="156" s="1"/>
  <c r="A162" i="156" s="1"/>
  <c r="A163" i="156" s="1"/>
  <c r="A164" i="156" s="1"/>
  <c r="A165" i="156" s="1"/>
  <c r="A166" i="156" s="1"/>
  <c r="A167" i="156" s="1"/>
  <c r="A168" i="156" s="1"/>
  <c r="A169" i="156" s="1"/>
  <c r="A170" i="156" s="1"/>
  <c r="A171" i="156" s="1"/>
  <c r="A172" i="156" s="1"/>
  <c r="A173" i="156" s="1"/>
  <c r="A174" i="156" s="1"/>
  <c r="A175" i="156" s="1"/>
  <c r="A176" i="156" s="1"/>
  <c r="A177" i="156" s="1"/>
  <c r="A185" i="156" s="1"/>
  <c r="A186" i="156" s="1"/>
  <c r="A187" i="156" s="1"/>
  <c r="A188" i="156" s="1"/>
  <c r="A189" i="156" s="1"/>
  <c r="A190" i="156" s="1"/>
  <c r="A191" i="156" s="1"/>
  <c r="A192" i="156" s="1"/>
  <c r="A193" i="156" s="1"/>
  <c r="A194" i="156" s="1"/>
  <c r="A195" i="156" s="1"/>
  <c r="A196" i="156" s="1"/>
  <c r="A197" i="156" s="1"/>
  <c r="A198" i="156" s="1"/>
  <c r="A199" i="156" s="1"/>
  <c r="A200" i="156" s="1"/>
  <c r="A201" i="156" s="1"/>
  <c r="A202" i="156" s="1"/>
  <c r="A203" i="156" s="1"/>
  <c r="A204" i="156" s="1"/>
  <c r="A205" i="156" s="1"/>
  <c r="A206" i="156" s="1"/>
  <c r="A207" i="156" s="1"/>
  <c r="A208" i="156" s="1"/>
  <c r="A209" i="156" s="1"/>
  <c r="A210" i="156" s="1"/>
  <c r="A216" i="156" s="1"/>
  <c r="A217" i="156" s="1"/>
  <c r="A218" i="156" s="1"/>
  <c r="A219" i="156" s="1"/>
  <c r="A220" i="156" s="1"/>
  <c r="A221" i="156" s="1"/>
  <c r="A222" i="156" s="1"/>
  <c r="A223" i="156" s="1"/>
  <c r="A224" i="156" s="1"/>
  <c r="A225" i="156" s="1"/>
  <c r="A226" i="156" s="1"/>
  <c r="A227" i="156" s="1"/>
  <c r="A228" i="156" s="1"/>
  <c r="A229" i="156" s="1"/>
  <c r="A230" i="156" s="1"/>
  <c r="A231" i="156" s="1"/>
  <c r="A232" i="156" s="1"/>
  <c r="A233" i="156" s="1"/>
  <c r="A234" i="156" s="1"/>
  <c r="A235" i="156" s="1"/>
  <c r="A236" i="156" s="1"/>
  <c r="A237" i="156" s="1"/>
  <c r="A238" i="156" s="1"/>
  <c r="A239" i="156" s="1"/>
  <c r="A240" i="156" s="1"/>
  <c r="A241" i="156" s="1"/>
  <c r="A249" i="156" s="1"/>
  <c r="A250" i="156" s="1"/>
  <c r="A251" i="156" s="1"/>
  <c r="A252" i="156" s="1"/>
  <c r="A253" i="156" s="1"/>
  <c r="A254" i="156" s="1"/>
  <c r="A255" i="156" s="1"/>
  <c r="A256" i="156" s="1"/>
  <c r="A257" i="156" s="1"/>
  <c r="A258" i="156" s="1"/>
  <c r="A259" i="156" s="1"/>
  <c r="A260" i="156" s="1"/>
  <c r="A261" i="156" s="1"/>
  <c r="A262" i="156" s="1"/>
  <c r="A263" i="156" s="1"/>
  <c r="A264" i="156" s="1"/>
  <c r="A265" i="156" s="1"/>
  <c r="A266" i="156" s="1"/>
  <c r="A267" i="156" s="1"/>
  <c r="A268" i="156" s="1"/>
  <c r="A269" i="156" s="1"/>
  <c r="A270" i="156" s="1"/>
  <c r="A271" i="156" s="1"/>
  <c r="A272" i="156" s="1"/>
  <c r="A273" i="156" s="1"/>
  <c r="A274" i="156" s="1"/>
  <c r="A280" i="156" s="1"/>
  <c r="A281" i="156" s="1"/>
  <c r="A282" i="156" s="1"/>
  <c r="A283" i="156" s="1"/>
  <c r="A284" i="156" s="1"/>
  <c r="A285" i="156" s="1"/>
  <c r="A286" i="156" s="1"/>
  <c r="A287" i="156" s="1"/>
  <c r="A288" i="156" s="1"/>
  <c r="A289" i="156" s="1"/>
  <c r="A290" i="156" s="1"/>
  <c r="A291" i="156" s="1"/>
  <c r="A292" i="156" s="1"/>
  <c r="A293" i="156" s="1"/>
  <c r="A294" i="156" s="1"/>
  <c r="A295" i="156" s="1"/>
  <c r="A296" i="156" s="1"/>
  <c r="A297" i="156" s="1"/>
  <c r="A298" i="156" s="1"/>
  <c r="A299" i="156" s="1"/>
  <c r="A300" i="156" s="1"/>
  <c r="A301" i="156" s="1"/>
  <c r="A302" i="156" s="1"/>
  <c r="A303" i="156" s="1"/>
  <c r="A304" i="156" s="1"/>
  <c r="A305" i="156" s="1"/>
  <c r="A313" i="156" s="1"/>
  <c r="A314" i="156" s="1"/>
  <c r="A315" i="156" s="1"/>
  <c r="A316" i="156" s="1"/>
  <c r="A317" i="156" s="1"/>
  <c r="A318" i="156" s="1"/>
  <c r="A319" i="156" s="1"/>
  <c r="A320" i="156" s="1"/>
  <c r="A321" i="156" s="1"/>
  <c r="A322" i="156" s="1"/>
  <c r="A323" i="156" s="1"/>
  <c r="A324" i="156" s="1"/>
  <c r="A325" i="156" s="1"/>
  <c r="A326" i="156" s="1"/>
  <c r="A327" i="156" s="1"/>
  <c r="A328" i="156" s="1"/>
  <c r="A329" i="156" s="1"/>
  <c r="A330" i="156" s="1"/>
  <c r="A331" i="156" s="1"/>
  <c r="A332" i="156" s="1"/>
  <c r="A333" i="156" s="1"/>
  <c r="A334" i="156" s="1"/>
  <c r="A335" i="156" s="1"/>
  <c r="A336" i="156" s="1"/>
  <c r="A337" i="156" s="1"/>
  <c r="A338" i="156" s="1"/>
  <c r="A344" i="156" s="1"/>
  <c r="A345" i="156" s="1"/>
  <c r="A346" i="156" s="1"/>
  <c r="A347" i="156" s="1"/>
  <c r="A348" i="156" s="1"/>
  <c r="A349" i="156" s="1"/>
  <c r="A350" i="156" s="1"/>
  <c r="A351" i="156" s="1"/>
  <c r="A352" i="156" s="1"/>
  <c r="A353" i="156" s="1"/>
  <c r="A354" i="156" s="1"/>
  <c r="A355" i="156" s="1"/>
  <c r="A356" i="156" s="1"/>
  <c r="A357" i="156" s="1"/>
  <c r="A358" i="156" s="1"/>
  <c r="A359" i="156" s="1"/>
  <c r="A360" i="156" s="1"/>
  <c r="A361" i="156" s="1"/>
  <c r="A362" i="156" s="1"/>
  <c r="A363" i="156" s="1"/>
  <c r="A364" i="156" s="1"/>
  <c r="A365" i="156" s="1"/>
  <c r="A366" i="156" s="1"/>
  <c r="A367" i="156" s="1"/>
  <c r="A368" i="156" s="1"/>
  <c r="A369" i="156" s="1"/>
  <c r="A377" i="156" s="1"/>
  <c r="A378" i="156" s="1"/>
  <c r="A379" i="156" s="1"/>
  <c r="A380" i="156" s="1"/>
  <c r="A381" i="156" s="1"/>
  <c r="A382" i="156" s="1"/>
  <c r="A383" i="156" s="1"/>
  <c r="A384" i="156" s="1"/>
  <c r="A385" i="156" s="1"/>
  <c r="A386" i="156" s="1"/>
  <c r="A387" i="156" s="1"/>
  <c r="A388" i="156" s="1"/>
  <c r="A389" i="156" s="1"/>
  <c r="A390" i="156" s="1"/>
  <c r="A391" i="156" s="1"/>
  <c r="A392" i="156" s="1"/>
  <c r="A393" i="156" s="1"/>
  <c r="A394" i="156" s="1"/>
  <c r="A395" i="156" s="1"/>
  <c r="A396" i="156" s="1"/>
  <c r="A397" i="156" s="1"/>
  <c r="A398" i="156" s="1"/>
  <c r="A399" i="156" s="1"/>
  <c r="A400" i="156" s="1"/>
  <c r="A401" i="156" s="1"/>
  <c r="A402" i="156" s="1"/>
  <c r="D14" i="156"/>
  <c r="A14" i="156"/>
  <c r="D13" i="156"/>
  <c r="D26" i="156" s="1"/>
  <c r="B170" i="155"/>
  <c r="D156" i="155"/>
  <c r="M129" i="155"/>
  <c r="L129" i="155"/>
  <c r="K129" i="155"/>
  <c r="J129" i="155"/>
  <c r="I129" i="155"/>
  <c r="H129" i="155"/>
  <c r="G129" i="155"/>
  <c r="F129" i="155"/>
  <c r="E129" i="155"/>
  <c r="D129" i="155"/>
  <c r="L121" i="155"/>
  <c r="M122" i="155"/>
  <c r="L122" i="155"/>
  <c r="K122" i="155"/>
  <c r="J122" i="155"/>
  <c r="I122" i="155"/>
  <c r="H122" i="155"/>
  <c r="G122" i="155"/>
  <c r="F122" i="155"/>
  <c r="E122" i="155"/>
  <c r="D122" i="155"/>
  <c r="M121" i="155"/>
  <c r="K121" i="155"/>
  <c r="J121" i="155"/>
  <c r="I121" i="155"/>
  <c r="H121" i="155"/>
  <c r="G121" i="155"/>
  <c r="F121" i="155"/>
  <c r="E121" i="155"/>
  <c r="D121" i="155"/>
  <c r="M120" i="155"/>
  <c r="L120" i="155"/>
  <c r="K120" i="155"/>
  <c r="J120" i="155"/>
  <c r="I120" i="155"/>
  <c r="H120" i="155"/>
  <c r="G120" i="155"/>
  <c r="F120" i="155"/>
  <c r="E120" i="155"/>
  <c r="D120" i="155"/>
  <c r="M119" i="155"/>
  <c r="L119" i="155"/>
  <c r="K119" i="155"/>
  <c r="J119" i="155"/>
  <c r="I119" i="155"/>
  <c r="H119" i="155"/>
  <c r="G119" i="155"/>
  <c r="F119" i="155"/>
  <c r="E119" i="155"/>
  <c r="D119" i="155"/>
  <c r="M118" i="155"/>
  <c r="L118" i="155"/>
  <c r="K118" i="155"/>
  <c r="J118" i="155"/>
  <c r="I118" i="155"/>
  <c r="H118" i="155"/>
  <c r="G118" i="155"/>
  <c r="F118" i="155"/>
  <c r="E118" i="155"/>
  <c r="D118" i="155"/>
  <c r="M117" i="155"/>
  <c r="L117" i="155"/>
  <c r="K117" i="155"/>
  <c r="J117" i="155"/>
  <c r="I117" i="155"/>
  <c r="H117" i="155"/>
  <c r="G117" i="155"/>
  <c r="F117" i="155"/>
  <c r="E117" i="155"/>
  <c r="D117" i="155"/>
  <c r="M116" i="155"/>
  <c r="L116" i="155"/>
  <c r="K116" i="155"/>
  <c r="J116" i="155"/>
  <c r="I116" i="155"/>
  <c r="H116" i="155"/>
  <c r="G116" i="155"/>
  <c r="F116" i="155"/>
  <c r="E116" i="155"/>
  <c r="D116" i="155"/>
  <c r="M115" i="155"/>
  <c r="L115" i="155"/>
  <c r="K115" i="155"/>
  <c r="J115" i="155"/>
  <c r="I115" i="155"/>
  <c r="H115" i="155"/>
  <c r="G115" i="155"/>
  <c r="E115" i="155"/>
  <c r="D115" i="155"/>
  <c r="M114" i="155"/>
  <c r="L114" i="155"/>
  <c r="K114" i="155"/>
  <c r="J114" i="155"/>
  <c r="I114" i="155"/>
  <c r="H114" i="155"/>
  <c r="G114" i="155"/>
  <c r="F114" i="155"/>
  <c r="E114" i="155"/>
  <c r="D114" i="155"/>
  <c r="M113" i="155"/>
  <c r="L113" i="155"/>
  <c r="K113" i="155"/>
  <c r="J113" i="155"/>
  <c r="I113" i="155"/>
  <c r="H113" i="155"/>
  <c r="G113" i="155"/>
  <c r="F113" i="155"/>
  <c r="E113" i="155"/>
  <c r="D113" i="155"/>
  <c r="M112" i="155"/>
  <c r="L112" i="155"/>
  <c r="K112" i="155"/>
  <c r="J112" i="155"/>
  <c r="I112" i="155"/>
  <c r="H112" i="155"/>
  <c r="G112" i="155"/>
  <c r="F112" i="155"/>
  <c r="E112" i="155"/>
  <c r="D112" i="155"/>
  <c r="M103" i="155"/>
  <c r="M133" i="155" s="1"/>
  <c r="L111" i="155"/>
  <c r="K111" i="155"/>
  <c r="I103" i="155"/>
  <c r="I133" i="155" s="1"/>
  <c r="G111" i="155"/>
  <c r="E103" i="155"/>
  <c r="E133" i="155" s="1"/>
  <c r="M83" i="155"/>
  <c r="L83" i="155"/>
  <c r="K83" i="155"/>
  <c r="J83" i="155"/>
  <c r="I83" i="155"/>
  <c r="H83" i="155"/>
  <c r="G83" i="155"/>
  <c r="F83" i="155"/>
  <c r="E83" i="155"/>
  <c r="D83" i="155"/>
  <c r="N82" i="155"/>
  <c r="N81" i="155"/>
  <c r="N80" i="155"/>
  <c r="N79" i="155"/>
  <c r="N78" i="155"/>
  <c r="N77" i="155"/>
  <c r="N76" i="155"/>
  <c r="N75" i="155"/>
  <c r="N74" i="155"/>
  <c r="N83" i="155" s="1"/>
  <c r="N73" i="155"/>
  <c r="N72" i="155"/>
  <c r="N71" i="155"/>
  <c r="F58" i="155"/>
  <c r="E46" i="155"/>
  <c r="F51" i="155" s="1"/>
  <c r="F53" i="155" s="1"/>
  <c r="E45" i="155"/>
  <c r="E44" i="155"/>
  <c r="A44" i="155"/>
  <c r="F35" i="155"/>
  <c r="E35" i="155"/>
  <c r="D35" i="155"/>
  <c r="A35" i="155"/>
  <c r="G34" i="155"/>
  <c r="G33" i="155"/>
  <c r="G35" i="155" s="1"/>
  <c r="D25" i="155"/>
  <c r="N24" i="155"/>
  <c r="A16" i="155"/>
  <c r="A17" i="155" s="1"/>
  <c r="A18" i="155" s="1"/>
  <c r="A19" i="155" s="1"/>
  <c r="A20" i="155" s="1"/>
  <c r="A21" i="155" s="1"/>
  <c r="A22" i="155" s="1"/>
  <c r="A23" i="155" s="1"/>
  <c r="A24" i="155" s="1"/>
  <c r="A14" i="155"/>
  <c r="A15" i="155" s="1"/>
  <c r="A13" i="155"/>
  <c r="N12" i="155"/>
  <c r="E42" i="154"/>
  <c r="F42" i="154" s="1"/>
  <c r="E40" i="154"/>
  <c r="F40" i="154" s="1"/>
  <c r="C40" i="154"/>
  <c r="C42" i="154" s="1"/>
  <c r="F39" i="154"/>
  <c r="F38" i="154"/>
  <c r="F36" i="154"/>
  <c r="E26" i="154"/>
  <c r="F26" i="154" s="1"/>
  <c r="C26" i="154"/>
  <c r="F25" i="154"/>
  <c r="F24" i="154"/>
  <c r="F23" i="154"/>
  <c r="F22" i="154"/>
  <c r="F21" i="154"/>
  <c r="F20" i="154"/>
  <c r="C17" i="154"/>
  <c r="C28" i="154" s="1"/>
  <c r="F15" i="154"/>
  <c r="E12" i="154"/>
  <c r="E17" i="154" s="1"/>
  <c r="C12" i="154"/>
  <c r="F11" i="154"/>
  <c r="F10" i="154"/>
  <c r="A9" i="154"/>
  <c r="A10" i="154" s="1"/>
  <c r="L135" i="153"/>
  <c r="I135" i="153"/>
  <c r="H135" i="153"/>
  <c r="D135" i="153"/>
  <c r="D131" i="153"/>
  <c r="D139" i="153" s="1"/>
  <c r="C131" i="153"/>
  <c r="L125" i="153"/>
  <c r="K125" i="153"/>
  <c r="J125" i="153"/>
  <c r="I125" i="153"/>
  <c r="H125" i="153"/>
  <c r="G125" i="153"/>
  <c r="F125" i="153"/>
  <c r="E125" i="153"/>
  <c r="D125" i="153"/>
  <c r="C125" i="153"/>
  <c r="L124" i="153"/>
  <c r="K124" i="153"/>
  <c r="J124" i="153"/>
  <c r="I124" i="153"/>
  <c r="H124" i="153"/>
  <c r="G124" i="153"/>
  <c r="F124" i="153"/>
  <c r="E124" i="153"/>
  <c r="D124" i="153"/>
  <c r="C124" i="153"/>
  <c r="L123" i="153"/>
  <c r="K123" i="153"/>
  <c r="J123" i="153"/>
  <c r="I123" i="153"/>
  <c r="H123" i="153"/>
  <c r="G123" i="153"/>
  <c r="F123" i="153"/>
  <c r="E123" i="153"/>
  <c r="D123" i="153"/>
  <c r="M123" i="153" s="1"/>
  <c r="C123" i="153"/>
  <c r="L122" i="153"/>
  <c r="K122" i="153"/>
  <c r="J122" i="153"/>
  <c r="I122" i="153"/>
  <c r="H122" i="153"/>
  <c r="G122" i="153"/>
  <c r="F122" i="153"/>
  <c r="E122" i="153"/>
  <c r="D122" i="153"/>
  <c r="M122" i="153" s="1"/>
  <c r="C122" i="153"/>
  <c r="L121" i="153"/>
  <c r="K121" i="153"/>
  <c r="J121" i="153"/>
  <c r="I121" i="153"/>
  <c r="H121" i="153"/>
  <c r="G121" i="153"/>
  <c r="F121" i="153"/>
  <c r="E121" i="153"/>
  <c r="D121" i="153"/>
  <c r="C121" i="153"/>
  <c r="L120" i="153"/>
  <c r="K120" i="153"/>
  <c r="J120" i="153"/>
  <c r="I120" i="153"/>
  <c r="H120" i="153"/>
  <c r="G120" i="153"/>
  <c r="F120" i="153"/>
  <c r="E120" i="153"/>
  <c r="D120" i="153"/>
  <c r="C120" i="153"/>
  <c r="L119" i="153"/>
  <c r="K119" i="153"/>
  <c r="J119" i="153"/>
  <c r="I119" i="153"/>
  <c r="H119" i="153"/>
  <c r="G119" i="153"/>
  <c r="F119" i="153"/>
  <c r="E119" i="153"/>
  <c r="D119" i="153"/>
  <c r="M119" i="153" s="1"/>
  <c r="C119" i="153"/>
  <c r="L118" i="153"/>
  <c r="K118" i="153"/>
  <c r="J118" i="153"/>
  <c r="I118" i="153"/>
  <c r="H118" i="153"/>
  <c r="G118" i="153"/>
  <c r="F118" i="153"/>
  <c r="E118" i="153"/>
  <c r="D118" i="153"/>
  <c r="M118" i="153" s="1"/>
  <c r="C118" i="153"/>
  <c r="L117" i="153"/>
  <c r="K117" i="153"/>
  <c r="J117" i="153"/>
  <c r="I117" i="153"/>
  <c r="H117" i="153"/>
  <c r="G117" i="153"/>
  <c r="F117" i="153"/>
  <c r="E117" i="153"/>
  <c r="D117" i="153"/>
  <c r="C117" i="153"/>
  <c r="L116" i="153"/>
  <c r="K116" i="153"/>
  <c r="J116" i="153"/>
  <c r="I116" i="153"/>
  <c r="H116" i="153"/>
  <c r="G116" i="153"/>
  <c r="F116" i="153"/>
  <c r="E116" i="153"/>
  <c r="D116" i="153"/>
  <c r="C116" i="153"/>
  <c r="L115" i="153"/>
  <c r="K115" i="153"/>
  <c r="J115" i="153"/>
  <c r="I115" i="153"/>
  <c r="H115" i="153"/>
  <c r="G115" i="153"/>
  <c r="F115" i="153"/>
  <c r="E115" i="153"/>
  <c r="D115" i="153"/>
  <c r="M115" i="153" s="1"/>
  <c r="C115" i="153"/>
  <c r="L114" i="153"/>
  <c r="K114" i="153"/>
  <c r="J114" i="153"/>
  <c r="I114" i="153"/>
  <c r="H114" i="153"/>
  <c r="G114" i="153"/>
  <c r="F114" i="153"/>
  <c r="E114" i="153"/>
  <c r="D114" i="153"/>
  <c r="M114" i="153" s="1"/>
  <c r="C114" i="153"/>
  <c r="M106" i="153"/>
  <c r="M135" i="153" s="1"/>
  <c r="L106" i="153"/>
  <c r="K106" i="153"/>
  <c r="K135" i="153" s="1"/>
  <c r="J106" i="153"/>
  <c r="J135" i="153" s="1"/>
  <c r="I106" i="153"/>
  <c r="H106" i="153"/>
  <c r="G106" i="153"/>
  <c r="G135" i="153" s="1"/>
  <c r="F106" i="153"/>
  <c r="F135" i="153" s="1"/>
  <c r="E106" i="153"/>
  <c r="E135" i="153" s="1"/>
  <c r="D106" i="153"/>
  <c r="C106" i="153"/>
  <c r="C135" i="153" s="1"/>
  <c r="M105" i="153"/>
  <c r="M104" i="153"/>
  <c r="M103" i="153"/>
  <c r="M102" i="153"/>
  <c r="M101" i="153"/>
  <c r="M100" i="153"/>
  <c r="M99" i="153"/>
  <c r="M98" i="153"/>
  <c r="M97" i="153"/>
  <c r="M96" i="153"/>
  <c r="M95" i="153"/>
  <c r="M94" i="153"/>
  <c r="L86" i="153"/>
  <c r="K86" i="153"/>
  <c r="J86" i="153"/>
  <c r="I86" i="153"/>
  <c r="H86" i="153"/>
  <c r="G86" i="153"/>
  <c r="F86" i="153"/>
  <c r="E86" i="153"/>
  <c r="D86" i="153"/>
  <c r="C86" i="153"/>
  <c r="M85" i="153"/>
  <c r="M84" i="153"/>
  <c r="M83" i="153"/>
  <c r="M82" i="153"/>
  <c r="M81" i="153"/>
  <c r="M80" i="153"/>
  <c r="M79" i="153"/>
  <c r="M78" i="153"/>
  <c r="M77" i="153"/>
  <c r="M76" i="153"/>
  <c r="M75" i="153"/>
  <c r="M86" i="153" s="1"/>
  <c r="M74" i="153"/>
  <c r="F63" i="153"/>
  <c r="F61" i="153"/>
  <c r="H53" i="153"/>
  <c r="H52" i="153"/>
  <c r="F56" i="153" s="1"/>
  <c r="F36" i="153"/>
  <c r="E36" i="153"/>
  <c r="D36" i="153"/>
  <c r="C36" i="153"/>
  <c r="F35" i="153"/>
  <c r="F34" i="153"/>
  <c r="L131" i="153"/>
  <c r="L139" i="153" s="1"/>
  <c r="K131" i="153"/>
  <c r="K139" i="153" s="1"/>
  <c r="J131" i="153"/>
  <c r="J139" i="153" s="1"/>
  <c r="I131" i="153"/>
  <c r="H131" i="153"/>
  <c r="H139" i="153" s="1"/>
  <c r="G131" i="153"/>
  <c r="G139" i="153" s="1"/>
  <c r="F131" i="153"/>
  <c r="F139" i="153" s="1"/>
  <c r="E131" i="153"/>
  <c r="E139" i="153" s="1"/>
  <c r="A12" i="153"/>
  <c r="A13" i="153" s="1"/>
  <c r="A14" i="153" s="1"/>
  <c r="A15" i="153" s="1"/>
  <c r="A16" i="153" s="1"/>
  <c r="A17" i="153" s="1"/>
  <c r="A18" i="153" s="1"/>
  <c r="A19" i="153" s="1"/>
  <c r="A20" i="153" s="1"/>
  <c r="A21" i="153" s="1"/>
  <c r="A22" i="153" s="1"/>
  <c r="A23" i="153" s="1"/>
  <c r="M11" i="153"/>
  <c r="H77" i="152"/>
  <c r="I65" i="152"/>
  <c r="I59" i="152"/>
  <c r="I58" i="152"/>
  <c r="C34" i="152"/>
  <c r="A34" i="152"/>
  <c r="C32" i="152"/>
  <c r="C30" i="152"/>
  <c r="C28" i="152"/>
  <c r="A28" i="152"/>
  <c r="C26" i="152"/>
  <c r="A26" i="152"/>
  <c r="C24" i="152"/>
  <c r="A22" i="152"/>
  <c r="C14" i="152"/>
  <c r="A14" i="152"/>
  <c r="A16" i="152" s="1"/>
  <c r="A18" i="152" s="1"/>
  <c r="C12" i="152"/>
  <c r="C10" i="152"/>
  <c r="A10" i="152"/>
  <c r="C8" i="152"/>
  <c r="L41" i="151"/>
  <c r="L48" i="151"/>
  <c r="L35" i="151"/>
  <c r="L27" i="151"/>
  <c r="A9" i="151"/>
  <c r="D6" i="101"/>
  <c r="F103" i="150"/>
  <c r="F98" i="150"/>
  <c r="E87" i="150"/>
  <c r="E103" i="150" s="1"/>
  <c r="J42" i="150" s="1"/>
  <c r="J86" i="150"/>
  <c r="H42" i="150"/>
  <c r="H41" i="150"/>
  <c r="A38" i="150"/>
  <c r="A41" i="150" s="1"/>
  <c r="A42" i="150" s="1"/>
  <c r="A43" i="150" s="1"/>
  <c r="A44" i="150" s="1"/>
  <c r="A45" i="150" s="1"/>
  <c r="A48" i="150" s="1"/>
  <c r="A34" i="150"/>
  <c r="H56" i="150" s="1"/>
  <c r="H33" i="150"/>
  <c r="A33" i="150"/>
  <c r="H34" i="150" s="1"/>
  <c r="J21" i="150"/>
  <c r="J15" i="150"/>
  <c r="A8" i="150"/>
  <c r="A9" i="150" s="1"/>
  <c r="A12" i="150" s="1"/>
  <c r="A7" i="150"/>
  <c r="K217" i="156" l="1"/>
  <c r="J218" i="156"/>
  <c r="K218" i="156" s="1"/>
  <c r="K250" i="156"/>
  <c r="J251" i="156"/>
  <c r="J29" i="150"/>
  <c r="N112" i="155"/>
  <c r="N116" i="155"/>
  <c r="N120" i="155"/>
  <c r="I111" i="155"/>
  <c r="F55" i="156"/>
  <c r="F57" i="156"/>
  <c r="F59" i="156"/>
  <c r="F61" i="156"/>
  <c r="F63" i="156"/>
  <c r="F65" i="156"/>
  <c r="F67" i="156"/>
  <c r="F69" i="156"/>
  <c r="F71" i="156"/>
  <c r="F73" i="156"/>
  <c r="J314" i="156"/>
  <c r="E37" i="157"/>
  <c r="M111" i="155"/>
  <c r="M123" i="155" s="1"/>
  <c r="J282" i="156"/>
  <c r="K282" i="156" s="1"/>
  <c r="D103" i="155"/>
  <c r="D133" i="155" s="1"/>
  <c r="H103" i="155"/>
  <c r="H133" i="155" s="1"/>
  <c r="N117" i="155"/>
  <c r="N121" i="155"/>
  <c r="D111" i="155"/>
  <c r="L16" i="151"/>
  <c r="H111" i="155"/>
  <c r="J89" i="156"/>
  <c r="I56" i="156"/>
  <c r="I58" i="156"/>
  <c r="I60" i="156"/>
  <c r="I62" i="156"/>
  <c r="I64" i="156"/>
  <c r="I66" i="156"/>
  <c r="I68" i="156"/>
  <c r="I70" i="156"/>
  <c r="I72" i="156"/>
  <c r="I74" i="156"/>
  <c r="I76" i="156"/>
  <c r="I78" i="156"/>
  <c r="G14" i="159"/>
  <c r="G15" i="159" s="1"/>
  <c r="A11" i="159"/>
  <c r="H20" i="158"/>
  <c r="F23" i="158" s="1"/>
  <c r="F25" i="158" s="1"/>
  <c r="F27" i="158" s="1"/>
  <c r="F30" i="158" s="1"/>
  <c r="A11" i="158"/>
  <c r="A12" i="158" s="1"/>
  <c r="A13" i="158" s="1"/>
  <c r="A14" i="158" s="1"/>
  <c r="A15" i="158" s="1"/>
  <c r="A16" i="158" s="1"/>
  <c r="A17" i="158" s="1"/>
  <c r="A18" i="158" s="1"/>
  <c r="A19" i="158" s="1"/>
  <c r="G24" i="158"/>
  <c r="A85" i="157"/>
  <c r="H47" i="157"/>
  <c r="H48" i="157"/>
  <c r="H46" i="157"/>
  <c r="E72" i="157"/>
  <c r="F85" i="157"/>
  <c r="G61" i="157" s="1"/>
  <c r="E51" i="157"/>
  <c r="F61" i="157"/>
  <c r="E61" i="157" s="1"/>
  <c r="F37" i="157"/>
  <c r="H85" i="157"/>
  <c r="G60" i="157" s="1"/>
  <c r="E60" i="157" s="1"/>
  <c r="E94" i="157"/>
  <c r="E102" i="157"/>
  <c r="G102" i="157" s="1"/>
  <c r="E100" i="157"/>
  <c r="G100" i="157" s="1"/>
  <c r="E62" i="157"/>
  <c r="E78" i="157"/>
  <c r="E96" i="157"/>
  <c r="G96" i="157" s="1"/>
  <c r="E104" i="157"/>
  <c r="G104" i="157" s="1"/>
  <c r="K89" i="156"/>
  <c r="E55" i="156"/>
  <c r="J90" i="156"/>
  <c r="E75" i="156"/>
  <c r="F142" i="156"/>
  <c r="F75" i="156" s="1"/>
  <c r="K281" i="156"/>
  <c r="J283" i="156"/>
  <c r="J315" i="156"/>
  <c r="K314" i="156"/>
  <c r="E58" i="156"/>
  <c r="E62" i="156"/>
  <c r="E66" i="156"/>
  <c r="E70" i="156"/>
  <c r="E74" i="156"/>
  <c r="I75" i="156"/>
  <c r="J154" i="156"/>
  <c r="J219" i="156"/>
  <c r="F144" i="156"/>
  <c r="F77" i="156" s="1"/>
  <c r="E77" i="156"/>
  <c r="J186" i="156"/>
  <c r="K345" i="156"/>
  <c r="J346" i="156"/>
  <c r="E56" i="156"/>
  <c r="E60" i="156"/>
  <c r="E64" i="156"/>
  <c r="E68" i="156"/>
  <c r="E72" i="156"/>
  <c r="J122" i="156"/>
  <c r="J55" i="156" s="1"/>
  <c r="I77" i="156"/>
  <c r="K251" i="156"/>
  <c r="J252" i="156"/>
  <c r="J378" i="156"/>
  <c r="B174" i="155"/>
  <c r="A25" i="155"/>
  <c r="A33" i="155" s="1"/>
  <c r="A45" i="155"/>
  <c r="F111" i="155"/>
  <c r="F103" i="155"/>
  <c r="F133" i="155" s="1"/>
  <c r="N91" i="155"/>
  <c r="N113" i="155"/>
  <c r="F115" i="155"/>
  <c r="N95" i="155"/>
  <c r="N94" i="155"/>
  <c r="L123" i="155"/>
  <c r="N93" i="155"/>
  <c r="D123" i="155"/>
  <c r="N92" i="155"/>
  <c r="J111" i="155"/>
  <c r="J103" i="155"/>
  <c r="J133" i="155" s="1"/>
  <c r="N96" i="155"/>
  <c r="N97" i="155"/>
  <c r="N98" i="155"/>
  <c r="N99" i="155"/>
  <c r="N100" i="155"/>
  <c r="N101" i="155"/>
  <c r="N102" i="155"/>
  <c r="N114" i="155"/>
  <c r="N122" i="155"/>
  <c r="F136" i="155"/>
  <c r="J136" i="155"/>
  <c r="G123" i="155"/>
  <c r="K123" i="155"/>
  <c r="K103" i="155"/>
  <c r="K133" i="155" s="1"/>
  <c r="K136" i="155" s="1"/>
  <c r="K151" i="155" s="1"/>
  <c r="N115" i="155"/>
  <c r="N118" i="155"/>
  <c r="H123" i="155"/>
  <c r="F60" i="155"/>
  <c r="G103" i="155"/>
  <c r="G133" i="155" s="1"/>
  <c r="G136" i="155" s="1"/>
  <c r="G154" i="155" s="1"/>
  <c r="N111" i="155"/>
  <c r="N119" i="155"/>
  <c r="I123" i="155"/>
  <c r="I149" i="155" s="1"/>
  <c r="L103" i="155"/>
  <c r="L133" i="155" s="1"/>
  <c r="N133" i="155" s="1"/>
  <c r="E111" i="155"/>
  <c r="D136" i="155"/>
  <c r="H136" i="155"/>
  <c r="H146" i="155" s="1"/>
  <c r="E136" i="155"/>
  <c r="I136" i="155"/>
  <c r="M136" i="155"/>
  <c r="M155" i="155" s="1"/>
  <c r="N129" i="155"/>
  <c r="A11" i="154"/>
  <c r="A12" i="154" s="1"/>
  <c r="E28" i="154"/>
  <c r="F28" i="154" s="1"/>
  <c r="F17" i="154"/>
  <c r="F12" i="154"/>
  <c r="I126" i="153"/>
  <c r="M117" i="153"/>
  <c r="J150" i="153"/>
  <c r="L151" i="153"/>
  <c r="E151" i="153"/>
  <c r="L157" i="153"/>
  <c r="D156" i="153"/>
  <c r="M124" i="153"/>
  <c r="H156" i="153"/>
  <c r="L153" i="153"/>
  <c r="L126" i="153"/>
  <c r="L154" i="153" s="1"/>
  <c r="D157" i="153"/>
  <c r="L155" i="153"/>
  <c r="B176" i="153"/>
  <c r="A24" i="153"/>
  <c r="H126" i="153"/>
  <c r="H151" i="153" s="1"/>
  <c r="L146" i="153"/>
  <c r="M116" i="153"/>
  <c r="M126" i="153" s="1"/>
  <c r="L148" i="153"/>
  <c r="E153" i="153"/>
  <c r="M125" i="153"/>
  <c r="H147" i="153"/>
  <c r="L150" i="153"/>
  <c r="D152" i="153"/>
  <c r="M121" i="153"/>
  <c r="H155" i="153"/>
  <c r="L147" i="153"/>
  <c r="D149" i="153"/>
  <c r="E126" i="153"/>
  <c r="E149" i="153" s="1"/>
  <c r="E150" i="153"/>
  <c r="E152" i="153"/>
  <c r="M120" i="153"/>
  <c r="J153" i="153"/>
  <c r="G154" i="153"/>
  <c r="H157" i="153"/>
  <c r="H153" i="153"/>
  <c r="D155" i="153"/>
  <c r="M23" i="153"/>
  <c r="I139" i="153"/>
  <c r="I157" i="153" s="1"/>
  <c r="F58" i="153"/>
  <c r="E146" i="153"/>
  <c r="G147" i="153"/>
  <c r="E148" i="153"/>
  <c r="J149" i="153"/>
  <c r="E154" i="153"/>
  <c r="E156" i="153"/>
  <c r="J157" i="153"/>
  <c r="D126" i="153"/>
  <c r="D147" i="153" s="1"/>
  <c r="J148" i="153"/>
  <c r="J152" i="153"/>
  <c r="D146" i="153"/>
  <c r="D150" i="153"/>
  <c r="D154" i="153"/>
  <c r="J151" i="153"/>
  <c r="G152" i="153"/>
  <c r="J155" i="153"/>
  <c r="C156" i="153"/>
  <c r="C139" i="153"/>
  <c r="C154" i="153" s="1"/>
  <c r="F126" i="153"/>
  <c r="F150" i="153" s="1"/>
  <c r="J126" i="153"/>
  <c r="J146" i="153" s="1"/>
  <c r="C126" i="153"/>
  <c r="G126" i="153"/>
  <c r="G146" i="153" s="1"/>
  <c r="K126" i="153"/>
  <c r="K150" i="153" s="1"/>
  <c r="L51" i="151"/>
  <c r="L43" i="151"/>
  <c r="L29" i="151"/>
  <c r="A11" i="151"/>
  <c r="A12" i="151" s="1"/>
  <c r="A13" i="151" s="1"/>
  <c r="A14" i="151" s="1"/>
  <c r="A15" i="151" s="1"/>
  <c r="A16" i="151" s="1"/>
  <c r="A19" i="151" s="1"/>
  <c r="A13" i="150"/>
  <c r="A14" i="150" s="1"/>
  <c r="A15" i="150" s="1"/>
  <c r="A18" i="150" s="1"/>
  <c r="H15" i="150"/>
  <c r="E98" i="150"/>
  <c r="J33" i="150" s="1"/>
  <c r="J34" i="150" s="1"/>
  <c r="J56" i="150" s="1"/>
  <c r="J60" i="150" s="1"/>
  <c r="J64" i="150" s="1"/>
  <c r="E68" i="150" s="1"/>
  <c r="A49" i="150"/>
  <c r="A51" i="150" s="1"/>
  <c r="A52" i="150" s="1"/>
  <c r="A53" i="150" s="1"/>
  <c r="A54" i="150" s="1"/>
  <c r="A55" i="150" s="1"/>
  <c r="A56" i="150" s="1"/>
  <c r="A57" i="150" s="1"/>
  <c r="A58" i="150" s="1"/>
  <c r="A59" i="150" s="1"/>
  <c r="A60" i="150" s="1"/>
  <c r="J41" i="150"/>
  <c r="J38" i="150"/>
  <c r="J57" i="150" s="1"/>
  <c r="H57" i="150"/>
  <c r="G25" i="159" l="1"/>
  <c r="G23" i="159"/>
  <c r="G28" i="159" s="1"/>
  <c r="C151" i="153"/>
  <c r="M154" i="155"/>
  <c r="G152" i="155"/>
  <c r="G153" i="155"/>
  <c r="H150" i="155"/>
  <c r="I151" i="153"/>
  <c r="I155" i="155"/>
  <c r="M145" i="155"/>
  <c r="M151" i="155"/>
  <c r="H145" i="155"/>
  <c r="K148" i="155"/>
  <c r="M148" i="155"/>
  <c r="H152" i="155"/>
  <c r="M147" i="155"/>
  <c r="G149" i="155"/>
  <c r="G148" i="155"/>
  <c r="C149" i="153"/>
  <c r="H154" i="155"/>
  <c r="K152" i="155"/>
  <c r="K155" i="155"/>
  <c r="H144" i="155"/>
  <c r="G150" i="155"/>
  <c r="A12" i="159"/>
  <c r="A13" i="159" s="1"/>
  <c r="C76" i="158"/>
  <c r="A20" i="158"/>
  <c r="E107" i="157"/>
  <c r="G94" i="157"/>
  <c r="G107" i="157" s="1"/>
  <c r="E65" i="157"/>
  <c r="E85" i="157"/>
  <c r="H61" i="157"/>
  <c r="H60" i="157"/>
  <c r="A94" i="157"/>
  <c r="A95" i="157" s="1"/>
  <c r="A96" i="157" s="1"/>
  <c r="A97" i="157" s="1"/>
  <c r="A98" i="157" s="1"/>
  <c r="A99" i="157" s="1"/>
  <c r="A100" i="157" s="1"/>
  <c r="A101" i="157" s="1"/>
  <c r="A102" i="157" s="1"/>
  <c r="A103" i="157" s="1"/>
  <c r="A104" i="157" s="1"/>
  <c r="A105" i="157" s="1"/>
  <c r="A106" i="157" s="1"/>
  <c r="A107" i="157" s="1"/>
  <c r="A117" i="157" s="1"/>
  <c r="H62" i="157"/>
  <c r="K252" i="156"/>
  <c r="J253" i="156"/>
  <c r="K283" i="156"/>
  <c r="J284" i="156"/>
  <c r="K90" i="156"/>
  <c r="J91" i="156"/>
  <c r="J347" i="156"/>
  <c r="K346" i="156"/>
  <c r="K219" i="156"/>
  <c r="J220" i="156"/>
  <c r="K378" i="156"/>
  <c r="J379" i="156"/>
  <c r="J123" i="156"/>
  <c r="J56" i="156" s="1"/>
  <c r="K122" i="156"/>
  <c r="J187" i="156"/>
  <c r="K186" i="156"/>
  <c r="K154" i="156"/>
  <c r="J155" i="156"/>
  <c r="J316" i="156"/>
  <c r="K315" i="156"/>
  <c r="K55" i="156"/>
  <c r="L136" i="155"/>
  <c r="H149" i="155"/>
  <c r="I154" i="155"/>
  <c r="M146" i="155"/>
  <c r="M144" i="155"/>
  <c r="G155" i="155"/>
  <c r="K147" i="155"/>
  <c r="M153" i="155"/>
  <c r="B169" i="155"/>
  <c r="H35" i="155"/>
  <c r="H13" i="155"/>
  <c r="G58" i="155"/>
  <c r="A46" i="155"/>
  <c r="N123" i="155"/>
  <c r="M150" i="155"/>
  <c r="M152" i="155"/>
  <c r="H148" i="155"/>
  <c r="M149" i="155"/>
  <c r="I144" i="155"/>
  <c r="K144" i="155"/>
  <c r="I151" i="155"/>
  <c r="H147" i="155"/>
  <c r="N103" i="155"/>
  <c r="H46" i="155"/>
  <c r="I153" i="155"/>
  <c r="N136" i="155"/>
  <c r="I148" i="155"/>
  <c r="I150" i="155"/>
  <c r="I146" i="155"/>
  <c r="I147" i="155"/>
  <c r="H153" i="155"/>
  <c r="G151" i="155"/>
  <c r="G147" i="155"/>
  <c r="K150" i="155"/>
  <c r="G146" i="155"/>
  <c r="E123" i="155"/>
  <c r="E144" i="155" s="1"/>
  <c r="E152" i="155"/>
  <c r="I145" i="155"/>
  <c r="K154" i="155"/>
  <c r="E150" i="155"/>
  <c r="K146" i="155"/>
  <c r="H155" i="155"/>
  <c r="I152" i="155"/>
  <c r="E147" i="155"/>
  <c r="K153" i="155"/>
  <c r="K149" i="155"/>
  <c r="K145" i="155"/>
  <c r="G144" i="155"/>
  <c r="E154" i="155"/>
  <c r="G145" i="155"/>
  <c r="J123" i="155"/>
  <c r="J150" i="155" s="1"/>
  <c r="H151" i="155"/>
  <c r="F123" i="155"/>
  <c r="F150" i="155" s="1"/>
  <c r="A13" i="154"/>
  <c r="A14" i="154" s="1"/>
  <c r="A15" i="154" s="1"/>
  <c r="A16" i="154" s="1"/>
  <c r="A17" i="154" s="1"/>
  <c r="D17" i="154"/>
  <c r="D12" i="154"/>
  <c r="J12" i="153"/>
  <c r="G12" i="153"/>
  <c r="F147" i="153"/>
  <c r="K157" i="153"/>
  <c r="I148" i="153"/>
  <c r="I149" i="153"/>
  <c r="K156" i="153"/>
  <c r="F155" i="153"/>
  <c r="C148" i="153"/>
  <c r="C157" i="153"/>
  <c r="G153" i="153"/>
  <c r="K149" i="153"/>
  <c r="F148" i="153"/>
  <c r="I156" i="153"/>
  <c r="C155" i="153"/>
  <c r="G150" i="153"/>
  <c r="E12" i="153"/>
  <c r="I155" i="153"/>
  <c r="K151" i="153"/>
  <c r="I147" i="153"/>
  <c r="C146" i="153"/>
  <c r="I153" i="153"/>
  <c r="G156" i="153"/>
  <c r="K152" i="153"/>
  <c r="F151" i="153"/>
  <c r="J147" i="153"/>
  <c r="J13" i="153" s="1"/>
  <c r="D12" i="153"/>
  <c r="J156" i="153"/>
  <c r="C153" i="153"/>
  <c r="G149" i="153"/>
  <c r="D13" i="153"/>
  <c r="C150" i="153"/>
  <c r="K147" i="153"/>
  <c r="H149" i="153"/>
  <c r="K154" i="153"/>
  <c r="F153" i="153"/>
  <c r="G151" i="153"/>
  <c r="D153" i="153"/>
  <c r="J154" i="153"/>
  <c r="L152" i="153"/>
  <c r="E157" i="153"/>
  <c r="D148" i="153"/>
  <c r="A34" i="153"/>
  <c r="L149" i="153"/>
  <c r="L156" i="153"/>
  <c r="E147" i="153"/>
  <c r="E13" i="153" s="1"/>
  <c r="E14" i="153" s="1"/>
  <c r="E15" i="153" s="1"/>
  <c r="E16" i="153" s="1"/>
  <c r="E17" i="153" s="1"/>
  <c r="E18" i="153" s="1"/>
  <c r="E19" i="153" s="1"/>
  <c r="E20" i="153" s="1"/>
  <c r="K148" i="153"/>
  <c r="F156" i="153"/>
  <c r="K155" i="153"/>
  <c r="I154" i="153"/>
  <c r="I152" i="153"/>
  <c r="I150" i="153"/>
  <c r="I146" i="153"/>
  <c r="M151" i="153"/>
  <c r="K146" i="153"/>
  <c r="F154" i="153"/>
  <c r="F146" i="153"/>
  <c r="L158" i="153"/>
  <c r="L12" i="153"/>
  <c r="L13" i="153" s="1"/>
  <c r="L14" i="153" s="1"/>
  <c r="C152" i="153"/>
  <c r="G148" i="153"/>
  <c r="G157" i="153"/>
  <c r="K153" i="153"/>
  <c r="F152" i="153"/>
  <c r="J14" i="153"/>
  <c r="J15" i="153" s="1"/>
  <c r="J16" i="153" s="1"/>
  <c r="J17" i="153" s="1"/>
  <c r="J18" i="153" s="1"/>
  <c r="J19" i="153" s="1"/>
  <c r="F157" i="153"/>
  <c r="G155" i="153"/>
  <c r="F149" i="153"/>
  <c r="M149" i="153" s="1"/>
  <c r="C147" i="153"/>
  <c r="M131" i="153"/>
  <c r="M139" i="153" s="1"/>
  <c r="D43" i="153"/>
  <c r="H154" i="153"/>
  <c r="H150" i="153"/>
  <c r="H146" i="153"/>
  <c r="H152" i="153"/>
  <c r="H148" i="153"/>
  <c r="D151" i="153"/>
  <c r="E155" i="153"/>
  <c r="A20" i="151"/>
  <c r="A21" i="151" s="1"/>
  <c r="A22" i="151" s="1"/>
  <c r="A23" i="151" s="1"/>
  <c r="A25" i="151" s="1"/>
  <c r="A26" i="151" s="1"/>
  <c r="A27" i="151" s="1"/>
  <c r="J27" i="151"/>
  <c r="J16" i="151"/>
  <c r="H64" i="150"/>
  <c r="A62" i="150"/>
  <c r="A64" i="150" s="1"/>
  <c r="H60" i="150"/>
  <c r="A19" i="150"/>
  <c r="A20" i="150" s="1"/>
  <c r="A21" i="150" s="1"/>
  <c r="E148" i="155" l="1"/>
  <c r="E149" i="155"/>
  <c r="F151" i="155"/>
  <c r="H156" i="155"/>
  <c r="D158" i="153"/>
  <c r="E73" i="150"/>
  <c r="J70" i="150" s="1"/>
  <c r="G158" i="153"/>
  <c r="F144" i="155"/>
  <c r="A14" i="159"/>
  <c r="E14" i="159"/>
  <c r="E13" i="159"/>
  <c r="G23" i="158"/>
  <c r="A23" i="158"/>
  <c r="A118" i="157"/>
  <c r="A119" i="157" s="1"/>
  <c r="A120" i="157" s="1"/>
  <c r="A121" i="157" s="1"/>
  <c r="A122" i="157" s="1"/>
  <c r="A123" i="157" s="1"/>
  <c r="A124" i="157" s="1"/>
  <c r="A125" i="157" s="1"/>
  <c r="A126" i="157" s="1"/>
  <c r="A127" i="157" s="1"/>
  <c r="A128" i="157" s="1"/>
  <c r="A129" i="157" s="1"/>
  <c r="A137" i="157" s="1"/>
  <c r="J317" i="156"/>
  <c r="K316" i="156"/>
  <c r="J188" i="156"/>
  <c r="K187" i="156"/>
  <c r="K347" i="156"/>
  <c r="J348" i="156"/>
  <c r="K284" i="156"/>
  <c r="J285" i="156"/>
  <c r="K155" i="156"/>
  <c r="J156" i="156"/>
  <c r="K220" i="156"/>
  <c r="J221" i="156"/>
  <c r="J124" i="156"/>
  <c r="J57" i="156" s="1"/>
  <c r="K123" i="156"/>
  <c r="K91" i="156"/>
  <c r="J92" i="156"/>
  <c r="K253" i="156"/>
  <c r="J254" i="156"/>
  <c r="K379" i="156"/>
  <c r="J380" i="156"/>
  <c r="F13" i="155"/>
  <c r="E13" i="155"/>
  <c r="J155" i="155"/>
  <c r="J154" i="155"/>
  <c r="J152" i="155"/>
  <c r="G156" i="155"/>
  <c r="G13" i="155"/>
  <c r="N150" i="155"/>
  <c r="F145" i="155"/>
  <c r="F14" i="155" s="1"/>
  <c r="J153" i="155"/>
  <c r="F148" i="155"/>
  <c r="F154" i="155"/>
  <c r="M156" i="155"/>
  <c r="M13" i="155"/>
  <c r="J145" i="155"/>
  <c r="J144" i="155"/>
  <c r="F155" i="155"/>
  <c r="E146" i="155"/>
  <c r="E153" i="155"/>
  <c r="E155" i="155"/>
  <c r="N155" i="155" s="1"/>
  <c r="E151" i="155"/>
  <c r="E145" i="155"/>
  <c r="J151" i="155"/>
  <c r="K156" i="155"/>
  <c r="K13" i="155"/>
  <c r="A51" i="155"/>
  <c r="G51" i="155"/>
  <c r="J146" i="155"/>
  <c r="H14" i="155"/>
  <c r="H15" i="155" s="1"/>
  <c r="H16" i="155" s="1"/>
  <c r="H17" i="155" s="1"/>
  <c r="H18" i="155" s="1"/>
  <c r="H19" i="155" s="1"/>
  <c r="H20" i="155" s="1"/>
  <c r="H21" i="155" s="1"/>
  <c r="H22" i="155" s="1"/>
  <c r="H23" i="155" s="1"/>
  <c r="L144" i="155"/>
  <c r="L152" i="155"/>
  <c r="L149" i="155"/>
  <c r="L146" i="155"/>
  <c r="L155" i="155"/>
  <c r="L154" i="155"/>
  <c r="L148" i="155"/>
  <c r="L147" i="155"/>
  <c r="L150" i="155"/>
  <c r="L145" i="155"/>
  <c r="L153" i="155"/>
  <c r="L151" i="155"/>
  <c r="J148" i="155"/>
  <c r="J147" i="155"/>
  <c r="F147" i="155"/>
  <c r="F149" i="155"/>
  <c r="F152" i="155"/>
  <c r="J149" i="155"/>
  <c r="N154" i="155"/>
  <c r="N149" i="155"/>
  <c r="F146" i="155"/>
  <c r="F15" i="155" s="1"/>
  <c r="F153" i="155"/>
  <c r="I156" i="155"/>
  <c r="I13" i="155"/>
  <c r="I14" i="155" s="1"/>
  <c r="I15" i="155" s="1"/>
  <c r="I16" i="155" s="1"/>
  <c r="I17" i="155" s="1"/>
  <c r="I18" i="155" s="1"/>
  <c r="I19" i="155" s="1"/>
  <c r="I20" i="155" s="1"/>
  <c r="I21" i="155" s="1"/>
  <c r="I22" i="155" s="1"/>
  <c r="I23" i="155" s="1"/>
  <c r="A18" i="154"/>
  <c r="A19" i="154" s="1"/>
  <c r="A20" i="154" s="1"/>
  <c r="F158" i="153"/>
  <c r="F12" i="153"/>
  <c r="I12" i="153"/>
  <c r="I13" i="153" s="1"/>
  <c r="I14" i="153" s="1"/>
  <c r="I15" i="153" s="1"/>
  <c r="I16" i="153" s="1"/>
  <c r="I17" i="153" s="1"/>
  <c r="I18" i="153" s="1"/>
  <c r="I19" i="153" s="1"/>
  <c r="I20" i="153" s="1"/>
  <c r="I21" i="153" s="1"/>
  <c r="I22" i="153" s="1"/>
  <c r="I158" i="153"/>
  <c r="J20" i="153"/>
  <c r="J21" i="153" s="1"/>
  <c r="M148" i="153"/>
  <c r="E21" i="153"/>
  <c r="E22" i="153" s="1"/>
  <c r="H12" i="153"/>
  <c r="H158" i="153"/>
  <c r="M152" i="153"/>
  <c r="L15" i="153"/>
  <c r="L16" i="153" s="1"/>
  <c r="L17" i="153" s="1"/>
  <c r="L18" i="153" s="1"/>
  <c r="E158" i="153"/>
  <c r="M157" i="153"/>
  <c r="M156" i="153"/>
  <c r="A35" i="153"/>
  <c r="B171" i="153"/>
  <c r="M150" i="153"/>
  <c r="C158" i="153"/>
  <c r="M146" i="153"/>
  <c r="C12" i="153"/>
  <c r="M147" i="153"/>
  <c r="C13" i="153"/>
  <c r="C14" i="153" s="1"/>
  <c r="K158" i="153"/>
  <c r="K12" i="153"/>
  <c r="M153" i="153"/>
  <c r="J158" i="153"/>
  <c r="D14" i="153"/>
  <c r="D15" i="153" s="1"/>
  <c r="D16" i="153" s="1"/>
  <c r="D17" i="153" s="1"/>
  <c r="D18" i="153" s="1"/>
  <c r="D19" i="153" s="1"/>
  <c r="D20" i="153" s="1"/>
  <c r="D21" i="153" s="1"/>
  <c r="D22" i="153" s="1"/>
  <c r="J22" i="153"/>
  <c r="J24" i="153" s="1"/>
  <c r="E24" i="153"/>
  <c r="M155" i="153"/>
  <c r="G13" i="153"/>
  <c r="G14" i="153" s="1"/>
  <c r="G15" i="153" s="1"/>
  <c r="G16" i="153" s="1"/>
  <c r="G17" i="153" s="1"/>
  <c r="G18" i="153" s="1"/>
  <c r="G19" i="153" s="1"/>
  <c r="G20" i="153" s="1"/>
  <c r="G21" i="153" s="1"/>
  <c r="G22" i="153" s="1"/>
  <c r="F13" i="153"/>
  <c r="F14" i="153" s="1"/>
  <c r="F15" i="153" s="1"/>
  <c r="F16" i="153" s="1"/>
  <c r="F17" i="153" s="1"/>
  <c r="F18" i="153" s="1"/>
  <c r="F19" i="153" s="1"/>
  <c r="F20" i="153" s="1"/>
  <c r="F21" i="153" s="1"/>
  <c r="F22" i="153" s="1"/>
  <c r="M154" i="153"/>
  <c r="J29" i="151"/>
  <c r="A29" i="151"/>
  <c r="A32" i="151" s="1"/>
  <c r="A23" i="150"/>
  <c r="H29" i="150"/>
  <c r="H21" i="150"/>
  <c r="A68" i="150"/>
  <c r="G68" i="150"/>
  <c r="K56" i="156" l="1"/>
  <c r="J72" i="150"/>
  <c r="D7" i="101"/>
  <c r="M158" i="153"/>
  <c r="E15" i="159"/>
  <c r="A15" i="159"/>
  <c r="A16" i="159" s="1"/>
  <c r="A17" i="159" s="1"/>
  <c r="A18" i="159" s="1"/>
  <c r="A19" i="159" s="1"/>
  <c r="A20" i="159" s="1"/>
  <c r="A24" i="158"/>
  <c r="A25" i="158" s="1"/>
  <c r="G25" i="158"/>
  <c r="A138" i="157"/>
  <c r="A139" i="157" s="1"/>
  <c r="A140" i="157" s="1"/>
  <c r="A141" i="157" s="1"/>
  <c r="A142" i="157" s="1"/>
  <c r="A143" i="157" s="1"/>
  <c r="A144" i="157" s="1"/>
  <c r="A145" i="157" s="1"/>
  <c r="A146" i="157" s="1"/>
  <c r="A147" i="157" s="1"/>
  <c r="A148" i="157" s="1"/>
  <c r="A149" i="157" s="1"/>
  <c r="A157" i="157" s="1"/>
  <c r="H69" i="157"/>
  <c r="F69" i="157"/>
  <c r="K221" i="156"/>
  <c r="J222" i="156"/>
  <c r="J286" i="156"/>
  <c r="K285" i="156"/>
  <c r="K254" i="156"/>
  <c r="J255" i="156"/>
  <c r="J189" i="156"/>
  <c r="K188" i="156"/>
  <c r="K156" i="156"/>
  <c r="J157" i="156"/>
  <c r="K348" i="156"/>
  <c r="J349" i="156"/>
  <c r="K380" i="156"/>
  <c r="J381" i="156"/>
  <c r="K92" i="156"/>
  <c r="J93" i="156"/>
  <c r="J125" i="156"/>
  <c r="J58" i="156" s="1"/>
  <c r="K124" i="156"/>
  <c r="K57" i="156" s="1"/>
  <c r="K317" i="156"/>
  <c r="J318" i="156"/>
  <c r="N148" i="155"/>
  <c r="F16" i="155"/>
  <c r="F17" i="155" s="1"/>
  <c r="G53" i="155"/>
  <c r="A52" i="155"/>
  <c r="A53" i="155" s="1"/>
  <c r="A58" i="155" s="1"/>
  <c r="N145" i="155"/>
  <c r="E14" i="155"/>
  <c r="N146" i="155"/>
  <c r="E15" i="155"/>
  <c r="N152" i="155"/>
  <c r="N147" i="155"/>
  <c r="E156" i="155"/>
  <c r="L156" i="155"/>
  <c r="L13" i="155"/>
  <c r="H25" i="155"/>
  <c r="N151" i="155"/>
  <c r="J156" i="155"/>
  <c r="J13" i="155"/>
  <c r="J14" i="155" s="1"/>
  <c r="J15" i="155" s="1"/>
  <c r="J16" i="155" s="1"/>
  <c r="J17" i="155" s="1"/>
  <c r="J18" i="155" s="1"/>
  <c r="J19" i="155" s="1"/>
  <c r="J20" i="155" s="1"/>
  <c r="J21" i="155" s="1"/>
  <c r="J22" i="155" s="1"/>
  <c r="J23" i="155" s="1"/>
  <c r="F156" i="155"/>
  <c r="I25" i="155"/>
  <c r="N153" i="155"/>
  <c r="K14" i="155"/>
  <c r="K15" i="155" s="1"/>
  <c r="K16" i="155" s="1"/>
  <c r="K17" i="155" s="1"/>
  <c r="K18" i="155" s="1"/>
  <c r="K19" i="155" s="1"/>
  <c r="K20" i="155" s="1"/>
  <c r="K21" i="155" s="1"/>
  <c r="K22" i="155" s="1"/>
  <c r="K23" i="155" s="1"/>
  <c r="M14" i="155"/>
  <c r="M15" i="155" s="1"/>
  <c r="M16" i="155" s="1"/>
  <c r="M17" i="155" s="1"/>
  <c r="M18" i="155" s="1"/>
  <c r="M19" i="155" s="1"/>
  <c r="M20" i="155" s="1"/>
  <c r="M21" i="155" s="1"/>
  <c r="M22" i="155" s="1"/>
  <c r="M23" i="155" s="1"/>
  <c r="N144" i="155"/>
  <c r="G14" i="155"/>
  <c r="G15" i="155" s="1"/>
  <c r="G16" i="155" s="1"/>
  <c r="G17" i="155" s="1"/>
  <c r="G18" i="155" s="1"/>
  <c r="G19" i="155" s="1"/>
  <c r="G20" i="155" s="1"/>
  <c r="G21" i="155" s="1"/>
  <c r="G22" i="155" s="1"/>
  <c r="G23" i="155" s="1"/>
  <c r="A21" i="154"/>
  <c r="A22" i="154" s="1"/>
  <c r="A23" i="154" s="1"/>
  <c r="A24" i="154" s="1"/>
  <c r="A25" i="154" s="1"/>
  <c r="A26" i="154" s="1"/>
  <c r="C15" i="153"/>
  <c r="L19" i="153"/>
  <c r="L20" i="153" s="1"/>
  <c r="L21" i="153" s="1"/>
  <c r="L22" i="153" s="1"/>
  <c r="L24" i="153"/>
  <c r="H13" i="153"/>
  <c r="H14" i="153" s="1"/>
  <c r="H15" i="153" s="1"/>
  <c r="H16" i="153" s="1"/>
  <c r="H17" i="153" s="1"/>
  <c r="H18" i="153" s="1"/>
  <c r="H19" i="153" s="1"/>
  <c r="H20" i="153" s="1"/>
  <c r="H21" i="153" s="1"/>
  <c r="H22" i="153" s="1"/>
  <c r="G24" i="153"/>
  <c r="K13" i="153"/>
  <c r="K14" i="153" s="1"/>
  <c r="K15" i="153" s="1"/>
  <c r="K16" i="153" s="1"/>
  <c r="K17" i="153" s="1"/>
  <c r="K18" i="153" s="1"/>
  <c r="K19" i="153" s="1"/>
  <c r="K20" i="153" s="1"/>
  <c r="K21" i="153" s="1"/>
  <c r="K22" i="153" s="1"/>
  <c r="I24" i="153"/>
  <c r="M12" i="153"/>
  <c r="F24" i="153"/>
  <c r="B172" i="153"/>
  <c r="A36" i="153"/>
  <c r="E43" i="153"/>
  <c r="D24" i="153"/>
  <c r="I47" i="151"/>
  <c r="A33" i="151"/>
  <c r="A34" i="151" s="1"/>
  <c r="A69" i="150"/>
  <c r="A70" i="150" s="1"/>
  <c r="G70" i="150"/>
  <c r="A24" i="150"/>
  <c r="A25" i="150" s="1"/>
  <c r="N13" i="155" l="1"/>
  <c r="M13" i="153"/>
  <c r="A21" i="159"/>
  <c r="A22" i="159" s="1"/>
  <c r="A26" i="158"/>
  <c r="A27" i="158" s="1"/>
  <c r="A158" i="157"/>
  <c r="A159" i="157" s="1"/>
  <c r="A160" i="157" s="1"/>
  <c r="A161" i="157" s="1"/>
  <c r="A162" i="157" s="1"/>
  <c r="A163" i="157" s="1"/>
  <c r="A164" i="157" s="1"/>
  <c r="A165" i="157" s="1"/>
  <c r="A166" i="157" s="1"/>
  <c r="A167" i="157" s="1"/>
  <c r="A168" i="157" s="1"/>
  <c r="A169" i="157" s="1"/>
  <c r="A176" i="157" s="1"/>
  <c r="A177" i="157" s="1"/>
  <c r="A178" i="157" s="1"/>
  <c r="A179" i="157" s="1"/>
  <c r="A180" i="157" s="1"/>
  <c r="A181" i="157" s="1"/>
  <c r="A182" i="157" s="1"/>
  <c r="A183" i="157" s="1"/>
  <c r="A184" i="157" s="1"/>
  <c r="A185" i="157" s="1"/>
  <c r="A186" i="157" s="1"/>
  <c r="A187" i="157" s="1"/>
  <c r="A188" i="157" s="1"/>
  <c r="A195" i="157" s="1"/>
  <c r="A196" i="157" s="1"/>
  <c r="A197" i="157" s="1"/>
  <c r="A198" i="157" s="1"/>
  <c r="A199" i="157" s="1"/>
  <c r="A200" i="157" s="1"/>
  <c r="A201" i="157" s="1"/>
  <c r="A202" i="157" s="1"/>
  <c r="A203" i="157" s="1"/>
  <c r="A204" i="157" s="1"/>
  <c r="A205" i="157" s="1"/>
  <c r="A206" i="157" s="1"/>
  <c r="A207" i="157" s="1"/>
  <c r="A214" i="157" s="1"/>
  <c r="A215" i="157" s="1"/>
  <c r="A216" i="157" s="1"/>
  <c r="A217" i="157" s="1"/>
  <c r="A218" i="157" s="1"/>
  <c r="A219" i="157" s="1"/>
  <c r="A220" i="157" s="1"/>
  <c r="A221" i="157" s="1"/>
  <c r="A222" i="157" s="1"/>
  <c r="A223" i="157" s="1"/>
  <c r="A224" i="157" s="1"/>
  <c r="A225" i="157" s="1"/>
  <c r="A226" i="157" s="1"/>
  <c r="A233" i="157" s="1"/>
  <c r="A234" i="157" s="1"/>
  <c r="A235" i="157" s="1"/>
  <c r="A236" i="157" s="1"/>
  <c r="A237" i="157" s="1"/>
  <c r="A238" i="157" s="1"/>
  <c r="A239" i="157" s="1"/>
  <c r="A240" i="157" s="1"/>
  <c r="A241" i="157" s="1"/>
  <c r="A242" i="157" s="1"/>
  <c r="A243" i="157" s="1"/>
  <c r="A244" i="157" s="1"/>
  <c r="A245" i="157" s="1"/>
  <c r="A252" i="157" s="1"/>
  <c r="A253" i="157" s="1"/>
  <c r="A254" i="157" s="1"/>
  <c r="A255" i="157" s="1"/>
  <c r="A256" i="157" s="1"/>
  <c r="A257" i="157" s="1"/>
  <c r="A258" i="157" s="1"/>
  <c r="A259" i="157" s="1"/>
  <c r="A260" i="157" s="1"/>
  <c r="A261" i="157" s="1"/>
  <c r="A262" i="157" s="1"/>
  <c r="A263" i="157" s="1"/>
  <c r="A264" i="157" s="1"/>
  <c r="A271" i="157" s="1"/>
  <c r="A272" i="157" s="1"/>
  <c r="A273" i="157" s="1"/>
  <c r="A274" i="157" s="1"/>
  <c r="A275" i="157" s="1"/>
  <c r="A276" i="157" s="1"/>
  <c r="A277" i="157" s="1"/>
  <c r="A278" i="157" s="1"/>
  <c r="A279" i="157" s="1"/>
  <c r="A280" i="157" s="1"/>
  <c r="A281" i="157" s="1"/>
  <c r="A282" i="157" s="1"/>
  <c r="A283" i="157" s="1"/>
  <c r="A290" i="157" s="1"/>
  <c r="A291" i="157" s="1"/>
  <c r="A292" i="157" s="1"/>
  <c r="A293" i="157" s="1"/>
  <c r="A294" i="157" s="1"/>
  <c r="A295" i="157" s="1"/>
  <c r="A296" i="157" s="1"/>
  <c r="A297" i="157" s="1"/>
  <c r="A298" i="157" s="1"/>
  <c r="A299" i="157" s="1"/>
  <c r="A300" i="157" s="1"/>
  <c r="A301" i="157" s="1"/>
  <c r="A302" i="157" s="1"/>
  <c r="A307" i="157" s="1"/>
  <c r="A308" i="157" s="1"/>
  <c r="A309" i="157" s="1"/>
  <c r="A312" i="157" s="1"/>
  <c r="A313" i="157" s="1"/>
  <c r="A314" i="157" s="1"/>
  <c r="A317" i="157" s="1"/>
  <c r="A318" i="157" s="1"/>
  <c r="A319" i="157" s="1"/>
  <c r="A320" i="157" s="1"/>
  <c r="A323" i="157" s="1"/>
  <c r="A324" i="157" s="1"/>
  <c r="A325" i="157" s="1"/>
  <c r="A326" i="157" s="1"/>
  <c r="A327" i="157" s="1"/>
  <c r="A330" i="157" s="1"/>
  <c r="A331" i="157" s="1"/>
  <c r="A332" i="157" s="1"/>
  <c r="A335" i="157" s="1"/>
  <c r="A336" i="157" s="1"/>
  <c r="A337" i="157" s="1"/>
  <c r="A340" i="157" s="1"/>
  <c r="A341" i="157" s="1"/>
  <c r="A342" i="157" s="1"/>
  <c r="A345" i="157" s="1"/>
  <c r="A346" i="157" s="1"/>
  <c r="A347" i="157" s="1"/>
  <c r="A350" i="157" s="1"/>
  <c r="A351" i="157" s="1"/>
  <c r="A352" i="157" s="1"/>
  <c r="A355" i="157" s="1"/>
  <c r="A356" i="157" s="1"/>
  <c r="A357" i="157" s="1"/>
  <c r="A360" i="157" s="1"/>
  <c r="A361" i="157" s="1"/>
  <c r="A362" i="157" s="1"/>
  <c r="A365" i="157" s="1"/>
  <c r="A366" i="157" s="1"/>
  <c r="A367" i="157" s="1"/>
  <c r="G69" i="157"/>
  <c r="J190" i="156"/>
  <c r="K189" i="156"/>
  <c r="J126" i="156"/>
  <c r="K125" i="156"/>
  <c r="K58" i="156" s="1"/>
  <c r="J382" i="156"/>
  <c r="K381" i="156"/>
  <c r="K157" i="156"/>
  <c r="J158" i="156"/>
  <c r="K286" i="156"/>
  <c r="J287" i="156"/>
  <c r="J319" i="156"/>
  <c r="K318" i="156"/>
  <c r="K255" i="156"/>
  <c r="J256" i="156"/>
  <c r="K222" i="156"/>
  <c r="J223" i="156"/>
  <c r="K93" i="156"/>
  <c r="J94" i="156"/>
  <c r="K349" i="156"/>
  <c r="J350" i="156"/>
  <c r="F18" i="155"/>
  <c r="F19" i="155" s="1"/>
  <c r="F20" i="155" s="1"/>
  <c r="F21" i="155" s="1"/>
  <c r="F22" i="155" s="1"/>
  <c r="F23" i="155" s="1"/>
  <c r="N156" i="155"/>
  <c r="M25" i="155"/>
  <c r="J25" i="155"/>
  <c r="G25" i="155"/>
  <c r="E16" i="155"/>
  <c r="A59" i="155"/>
  <c r="A60" i="155" s="1"/>
  <c r="A71" i="155" s="1"/>
  <c r="L14" i="155"/>
  <c r="L15" i="155" s="1"/>
  <c r="L16" i="155" s="1"/>
  <c r="L17" i="155" s="1"/>
  <c r="L18" i="155" s="1"/>
  <c r="L19" i="155" s="1"/>
  <c r="L20" i="155" s="1"/>
  <c r="L21" i="155" s="1"/>
  <c r="L22" i="155" s="1"/>
  <c r="L23" i="155" s="1"/>
  <c r="K25" i="155"/>
  <c r="A27" i="154"/>
  <c r="A28" i="154" s="1"/>
  <c r="A34" i="154" s="1"/>
  <c r="A35" i="154" s="1"/>
  <c r="A36" i="154" s="1"/>
  <c r="D28" i="154"/>
  <c r="D26" i="154"/>
  <c r="M15" i="153"/>
  <c r="C16" i="153"/>
  <c r="A42" i="153"/>
  <c r="A43" i="153" s="1"/>
  <c r="A52" i="153" s="1"/>
  <c r="E42" i="153"/>
  <c r="K24" i="153"/>
  <c r="H24" i="153"/>
  <c r="M14" i="153"/>
  <c r="B57" i="151"/>
  <c r="I48" i="151"/>
  <c r="A35" i="151"/>
  <c r="A38" i="151" s="1"/>
  <c r="J35" i="151"/>
  <c r="H30" i="150"/>
  <c r="A71" i="150"/>
  <c r="A72" i="150" s="1"/>
  <c r="A73" i="150" s="1"/>
  <c r="G73" i="150"/>
  <c r="E23" i="159" l="1"/>
  <c r="A23" i="159"/>
  <c r="A28" i="158"/>
  <c r="G27" i="158"/>
  <c r="K94" i="156"/>
  <c r="J95" i="156"/>
  <c r="J320" i="156"/>
  <c r="K319" i="156"/>
  <c r="J127" i="156"/>
  <c r="J60" i="156" s="1"/>
  <c r="K126" i="156"/>
  <c r="J59" i="156"/>
  <c r="K256" i="156"/>
  <c r="J257" i="156"/>
  <c r="K287" i="156"/>
  <c r="J288" i="156"/>
  <c r="J351" i="156"/>
  <c r="K350" i="156"/>
  <c r="K382" i="156"/>
  <c r="J383" i="156"/>
  <c r="J191" i="156"/>
  <c r="K190" i="156"/>
  <c r="K59" i="156" s="1"/>
  <c r="K223" i="156"/>
  <c r="J224" i="156"/>
  <c r="K158" i="156"/>
  <c r="J159" i="156"/>
  <c r="N15" i="155"/>
  <c r="B173" i="155"/>
  <c r="A72" i="155"/>
  <c r="A73" i="155" s="1"/>
  <c r="A74" i="155" s="1"/>
  <c r="A75" i="155" s="1"/>
  <c r="A76" i="155" s="1"/>
  <c r="A77" i="155" s="1"/>
  <c r="A78" i="155" s="1"/>
  <c r="A79" i="155" s="1"/>
  <c r="A80" i="155" s="1"/>
  <c r="A81" i="155" s="1"/>
  <c r="A82" i="155" s="1"/>
  <c r="A83" i="155" s="1"/>
  <c r="A91" i="155" s="1"/>
  <c r="A92" i="155" s="1"/>
  <c r="A93" i="155" s="1"/>
  <c r="A94" i="155" s="1"/>
  <c r="A95" i="155" s="1"/>
  <c r="A96" i="155" s="1"/>
  <c r="A97" i="155" s="1"/>
  <c r="A98" i="155" s="1"/>
  <c r="A99" i="155" s="1"/>
  <c r="A100" i="155" s="1"/>
  <c r="A101" i="155" s="1"/>
  <c r="A102" i="155" s="1"/>
  <c r="A103" i="155" s="1"/>
  <c r="L25" i="155"/>
  <c r="N16" i="155"/>
  <c r="E17" i="155"/>
  <c r="N14" i="155"/>
  <c r="G60" i="155"/>
  <c r="F25" i="155"/>
  <c r="A37" i="154"/>
  <c r="A38" i="154" s="1"/>
  <c r="A53" i="153"/>
  <c r="M16" i="153"/>
  <c r="C17" i="153"/>
  <c r="A39" i="151"/>
  <c r="A40" i="151" s="1"/>
  <c r="A41" i="151" s="1"/>
  <c r="G72" i="150"/>
  <c r="A24" i="159" l="1"/>
  <c r="A29" i="158"/>
  <c r="G29" i="158"/>
  <c r="K288" i="156"/>
  <c r="J289" i="156"/>
  <c r="J321" i="156"/>
  <c r="K320" i="156"/>
  <c r="K159" i="156"/>
  <c r="J160" i="156"/>
  <c r="J192" i="156"/>
  <c r="K191" i="156"/>
  <c r="K257" i="156"/>
  <c r="J258" i="156"/>
  <c r="J128" i="156"/>
  <c r="J61" i="156" s="1"/>
  <c r="K127" i="156"/>
  <c r="K95" i="156"/>
  <c r="J96" i="156"/>
  <c r="J225" i="156"/>
  <c r="K224" i="156"/>
  <c r="K383" i="156"/>
  <c r="J384" i="156"/>
  <c r="K351" i="156"/>
  <c r="J352" i="156"/>
  <c r="K60" i="156"/>
  <c r="N17" i="155"/>
  <c r="E18" i="155"/>
  <c r="B175" i="155"/>
  <c r="A111" i="155"/>
  <c r="A39" i="154"/>
  <c r="A40" i="154" s="1"/>
  <c r="M17" i="153"/>
  <c r="C18" i="153"/>
  <c r="G61" i="153"/>
  <c r="A56" i="153"/>
  <c r="G56" i="153"/>
  <c r="J43" i="151"/>
  <c r="A43" i="151"/>
  <c r="A46" i="151" s="1"/>
  <c r="J41" i="151"/>
  <c r="E25" i="159" l="1"/>
  <c r="A25" i="159"/>
  <c r="A30" i="158"/>
  <c r="A37" i="158" s="1"/>
  <c r="G30" i="158"/>
  <c r="K225" i="156"/>
  <c r="J226" i="156"/>
  <c r="K384" i="156"/>
  <c r="J385" i="156"/>
  <c r="K96" i="156"/>
  <c r="J97" i="156"/>
  <c r="J129" i="156"/>
  <c r="K128" i="156"/>
  <c r="K61" i="156" s="1"/>
  <c r="J193" i="156"/>
  <c r="K192" i="156"/>
  <c r="J322" i="156"/>
  <c r="K321" i="156"/>
  <c r="K258" i="156"/>
  <c r="J259" i="156"/>
  <c r="K160" i="156"/>
  <c r="J161" i="156"/>
  <c r="J290" i="156"/>
  <c r="K289" i="156"/>
  <c r="K352" i="156"/>
  <c r="J353" i="156"/>
  <c r="A112" i="155"/>
  <c r="A113" i="155" s="1"/>
  <c r="A114" i="155" s="1"/>
  <c r="A115" i="155" s="1"/>
  <c r="A116" i="155" s="1"/>
  <c r="A117" i="155" s="1"/>
  <c r="A118" i="155" s="1"/>
  <c r="A119" i="155" s="1"/>
  <c r="A120" i="155" s="1"/>
  <c r="A121" i="155" s="1"/>
  <c r="A122" i="155" s="1"/>
  <c r="A123" i="155" s="1"/>
  <c r="A129" i="155" s="1"/>
  <c r="N18" i="155"/>
  <c r="E19" i="155"/>
  <c r="A41" i="154"/>
  <c r="A42" i="154" s="1"/>
  <c r="D42" i="154"/>
  <c r="D40" i="154"/>
  <c r="M18" i="153"/>
  <c r="C19" i="153"/>
  <c r="A57" i="153"/>
  <c r="A58" i="153" s="1"/>
  <c r="A61" i="153" s="1"/>
  <c r="G58" i="153"/>
  <c r="A47" i="151"/>
  <c r="A48" i="151" s="1"/>
  <c r="A49" i="151" s="1"/>
  <c r="A50" i="151" s="1"/>
  <c r="A51" i="151" s="1"/>
  <c r="J51" i="151"/>
  <c r="A26" i="159" l="1"/>
  <c r="A27" i="159" s="1"/>
  <c r="A28" i="159" s="1"/>
  <c r="A29" i="159" s="1"/>
  <c r="A30" i="159" s="1"/>
  <c r="A31" i="159" s="1"/>
  <c r="A32" i="159" s="1"/>
  <c r="A33" i="159" s="1"/>
  <c r="E28" i="159"/>
  <c r="G77" i="158"/>
  <c r="A38" i="158"/>
  <c r="A39" i="158" s="1"/>
  <c r="A40" i="158" s="1"/>
  <c r="A41" i="158" s="1"/>
  <c r="A42" i="158" s="1"/>
  <c r="A43" i="158" s="1"/>
  <c r="K290" i="156"/>
  <c r="J291" i="156"/>
  <c r="J323" i="156"/>
  <c r="K322" i="156"/>
  <c r="J130" i="156"/>
  <c r="K129" i="156"/>
  <c r="J386" i="156"/>
  <c r="K385" i="156"/>
  <c r="K259" i="156"/>
  <c r="J260" i="156"/>
  <c r="J62" i="156"/>
  <c r="J194" i="156"/>
  <c r="K193" i="156"/>
  <c r="K97" i="156"/>
  <c r="J98" i="156"/>
  <c r="K226" i="156"/>
  <c r="J227" i="156"/>
  <c r="K353" i="156"/>
  <c r="J354" i="156"/>
  <c r="K161" i="156"/>
  <c r="J162" i="156"/>
  <c r="B176" i="155"/>
  <c r="A133" i="155"/>
  <c r="A136" i="155" s="1"/>
  <c r="B178" i="155"/>
  <c r="N19" i="155"/>
  <c r="E20" i="155"/>
  <c r="A62" i="153"/>
  <c r="A63" i="153" s="1"/>
  <c r="A74" i="153" s="1"/>
  <c r="M19" i="153"/>
  <c r="C20" i="153"/>
  <c r="K62" i="156" l="1"/>
  <c r="A34" i="159"/>
  <c r="A35" i="159" s="1"/>
  <c r="A36" i="159" s="1"/>
  <c r="A37" i="159" s="1"/>
  <c r="A38" i="159" s="1"/>
  <c r="A39" i="159" s="1"/>
  <c r="E35" i="159"/>
  <c r="C78" i="158"/>
  <c r="A44" i="158"/>
  <c r="J355" i="156"/>
  <c r="K354" i="156"/>
  <c r="K98" i="156"/>
  <c r="J99" i="156"/>
  <c r="J195" i="156"/>
  <c r="K194" i="156"/>
  <c r="J63" i="156"/>
  <c r="K386" i="156"/>
  <c r="J387" i="156"/>
  <c r="J324" i="156"/>
  <c r="K323" i="156"/>
  <c r="K162" i="156"/>
  <c r="J163" i="156"/>
  <c r="K227" i="156"/>
  <c r="J228" i="156"/>
  <c r="K260" i="156"/>
  <c r="J261" i="156"/>
  <c r="K291" i="156"/>
  <c r="J292" i="156"/>
  <c r="J131" i="156"/>
  <c r="K130" i="156"/>
  <c r="K63" i="156" s="1"/>
  <c r="B177" i="155"/>
  <c r="A144" i="155"/>
  <c r="N20" i="155"/>
  <c r="E21" i="155"/>
  <c r="A75" i="153"/>
  <c r="A76" i="153" s="1"/>
  <c r="A77" i="153" s="1"/>
  <c r="A78" i="153" s="1"/>
  <c r="A79" i="153" s="1"/>
  <c r="A80" i="153" s="1"/>
  <c r="A81" i="153" s="1"/>
  <c r="A82" i="153" s="1"/>
  <c r="A83" i="153" s="1"/>
  <c r="A84" i="153" s="1"/>
  <c r="A85" i="153" s="1"/>
  <c r="A86" i="153" s="1"/>
  <c r="A94" i="153" s="1"/>
  <c r="A95" i="153" s="1"/>
  <c r="A96" i="153" s="1"/>
  <c r="A97" i="153" s="1"/>
  <c r="A98" i="153" s="1"/>
  <c r="A99" i="153" s="1"/>
  <c r="A100" i="153" s="1"/>
  <c r="A101" i="153" s="1"/>
  <c r="A102" i="153" s="1"/>
  <c r="A103" i="153" s="1"/>
  <c r="A104" i="153" s="1"/>
  <c r="A105" i="153" s="1"/>
  <c r="A106" i="153" s="1"/>
  <c r="M20" i="153"/>
  <c r="C21" i="153"/>
  <c r="G63" i="153"/>
  <c r="E36" i="159" l="1"/>
  <c r="E42" i="159"/>
  <c r="A40" i="159"/>
  <c r="A41" i="159" s="1"/>
  <c r="A42" i="159" s="1"/>
  <c r="A43" i="159" s="1"/>
  <c r="A44" i="159" s="1"/>
  <c r="A45" i="159" s="1"/>
  <c r="E41" i="159"/>
  <c r="C72" i="158"/>
  <c r="A45" i="158"/>
  <c r="A46" i="158" s="1"/>
  <c r="A47" i="158" s="1"/>
  <c r="A48" i="158" s="1"/>
  <c r="A49" i="158" s="1"/>
  <c r="A50" i="158" s="1"/>
  <c r="J229" i="156"/>
  <c r="K228" i="156"/>
  <c r="K99" i="156"/>
  <c r="J100" i="156"/>
  <c r="K261" i="156"/>
  <c r="J262" i="156"/>
  <c r="J325" i="156"/>
  <c r="K324" i="156"/>
  <c r="J132" i="156"/>
  <c r="K131" i="156"/>
  <c r="K64" i="156" s="1"/>
  <c r="K163" i="156"/>
  <c r="J164" i="156"/>
  <c r="K387" i="156"/>
  <c r="J388" i="156"/>
  <c r="J196" i="156"/>
  <c r="K195" i="156"/>
  <c r="K292" i="156"/>
  <c r="J293" i="156"/>
  <c r="J64" i="156"/>
  <c r="K355" i="156"/>
  <c r="J356" i="156"/>
  <c r="N21" i="155"/>
  <c r="E22" i="155"/>
  <c r="A145" i="155"/>
  <c r="A146" i="155" s="1"/>
  <c r="A147" i="155" s="1"/>
  <c r="A148" i="155" s="1"/>
  <c r="A149" i="155" s="1"/>
  <c r="A150" i="155" s="1"/>
  <c r="A151" i="155" s="1"/>
  <c r="A152" i="155" s="1"/>
  <c r="A153" i="155" s="1"/>
  <c r="A154" i="155" s="1"/>
  <c r="A155" i="155" s="1"/>
  <c r="A156" i="155" s="1"/>
  <c r="B177" i="153"/>
  <c r="A114" i="153"/>
  <c r="M21" i="153"/>
  <c r="C22" i="153"/>
  <c r="B175" i="153"/>
  <c r="A46" i="159" l="1"/>
  <c r="A47" i="159" s="1"/>
  <c r="A48" i="159" s="1"/>
  <c r="A49" i="159" s="1"/>
  <c r="A50" i="159" s="1"/>
  <c r="A51" i="159" s="1"/>
  <c r="E47" i="159"/>
  <c r="J294" i="156"/>
  <c r="K293" i="156"/>
  <c r="K388" i="156"/>
  <c r="J389" i="156"/>
  <c r="K325" i="156"/>
  <c r="J326" i="156"/>
  <c r="J65" i="156"/>
  <c r="K356" i="156"/>
  <c r="J357" i="156"/>
  <c r="J133" i="156"/>
  <c r="K132" i="156"/>
  <c r="K262" i="156"/>
  <c r="J263" i="156"/>
  <c r="K164" i="156"/>
  <c r="J165" i="156"/>
  <c r="J197" i="156"/>
  <c r="K196" i="156"/>
  <c r="K100" i="156"/>
  <c r="J101" i="156"/>
  <c r="J66" i="156"/>
  <c r="K229" i="156"/>
  <c r="J230" i="156"/>
  <c r="B179" i="155"/>
  <c r="N22" i="155"/>
  <c r="E23" i="155"/>
  <c r="M22" i="153"/>
  <c r="M24" i="153" s="1"/>
  <c r="D42" i="153" s="1"/>
  <c r="C24" i="153"/>
  <c r="A115" i="153"/>
  <c r="A116" i="153" s="1"/>
  <c r="A117" i="153" s="1"/>
  <c r="A118" i="153" s="1"/>
  <c r="A119" i="153" s="1"/>
  <c r="A120" i="153" s="1"/>
  <c r="A121" i="153" s="1"/>
  <c r="A122" i="153" s="1"/>
  <c r="A123" i="153" s="1"/>
  <c r="A124" i="153" s="1"/>
  <c r="A125" i="153" s="1"/>
  <c r="A126" i="153" s="1"/>
  <c r="A131" i="153" s="1"/>
  <c r="K65" i="156" l="1"/>
  <c r="E48" i="159"/>
  <c r="A52" i="159"/>
  <c r="A53" i="159" s="1"/>
  <c r="A54" i="159" s="1"/>
  <c r="A55" i="159" s="1"/>
  <c r="A56" i="159" s="1"/>
  <c r="A57" i="159" s="1"/>
  <c r="J198" i="156"/>
  <c r="K197" i="156"/>
  <c r="J390" i="156"/>
  <c r="K389" i="156"/>
  <c r="K101" i="156"/>
  <c r="J102" i="156"/>
  <c r="J134" i="156"/>
  <c r="K133" i="156"/>
  <c r="K66" i="156" s="1"/>
  <c r="K230" i="156"/>
  <c r="J231" i="156"/>
  <c r="K263" i="156"/>
  <c r="J264" i="156"/>
  <c r="J327" i="156"/>
  <c r="K326" i="156"/>
  <c r="K165" i="156"/>
  <c r="J166" i="156"/>
  <c r="K357" i="156"/>
  <c r="J358" i="156"/>
  <c r="K294" i="156"/>
  <c r="J295" i="156"/>
  <c r="N23" i="155"/>
  <c r="N25" i="155" s="1"/>
  <c r="E25" i="155"/>
  <c r="A135" i="153"/>
  <c r="A139" i="153" s="1"/>
  <c r="B178" i="153"/>
  <c r="B180" i="153"/>
  <c r="A58" i="159" l="1"/>
  <c r="A59" i="159" s="1"/>
  <c r="A60" i="159" s="1"/>
  <c r="A61" i="159" s="1"/>
  <c r="A62" i="159" s="1"/>
  <c r="A63" i="159" s="1"/>
  <c r="E59" i="159"/>
  <c r="E54" i="159"/>
  <c r="E53" i="159"/>
  <c r="J359" i="156"/>
  <c r="K358" i="156"/>
  <c r="K295" i="156"/>
  <c r="J296" i="156"/>
  <c r="J328" i="156"/>
  <c r="K327" i="156"/>
  <c r="J135" i="156"/>
  <c r="K134" i="156"/>
  <c r="K166" i="156"/>
  <c r="J167" i="156"/>
  <c r="K264" i="156"/>
  <c r="J265" i="156"/>
  <c r="K231" i="156"/>
  <c r="J232" i="156"/>
  <c r="K102" i="156"/>
  <c r="J103" i="156"/>
  <c r="K390" i="156"/>
  <c r="J391" i="156"/>
  <c r="J199" i="156"/>
  <c r="K198" i="156"/>
  <c r="J67" i="156"/>
  <c r="A146" i="153"/>
  <c r="B179" i="153"/>
  <c r="J68" i="156" l="1"/>
  <c r="E60" i="159"/>
  <c r="A64" i="159"/>
  <c r="A65" i="159" s="1"/>
  <c r="A66" i="159" s="1"/>
  <c r="A67" i="159" s="1"/>
  <c r="A68" i="159" s="1"/>
  <c r="A69" i="159" s="1"/>
  <c r="K167" i="156"/>
  <c r="J168" i="156"/>
  <c r="K67" i="156"/>
  <c r="K359" i="156"/>
  <c r="J360" i="156"/>
  <c r="J329" i="156"/>
  <c r="K328" i="156"/>
  <c r="J233" i="156"/>
  <c r="K232" i="156"/>
  <c r="J200" i="156"/>
  <c r="K199" i="156"/>
  <c r="K103" i="156"/>
  <c r="J104" i="156"/>
  <c r="K265" i="156"/>
  <c r="J266" i="156"/>
  <c r="J136" i="156"/>
  <c r="K135" i="156"/>
  <c r="K68" i="156" s="1"/>
  <c r="K296" i="156"/>
  <c r="J297" i="156"/>
  <c r="K391" i="156"/>
  <c r="J392" i="156"/>
  <c r="A147" i="153"/>
  <c r="A148" i="153" s="1"/>
  <c r="A149" i="153" s="1"/>
  <c r="A150" i="153" s="1"/>
  <c r="A151" i="153" s="1"/>
  <c r="A152" i="153" s="1"/>
  <c r="A153" i="153" s="1"/>
  <c r="A154" i="153" s="1"/>
  <c r="A155" i="153" s="1"/>
  <c r="A156" i="153" s="1"/>
  <c r="A157" i="153" s="1"/>
  <c r="A158" i="153" s="1"/>
  <c r="A70" i="159" l="1"/>
  <c r="A71" i="159" s="1"/>
  <c r="A72" i="159" s="1"/>
  <c r="A73" i="159" s="1"/>
  <c r="A74" i="159" s="1"/>
  <c r="A75" i="159" s="1"/>
  <c r="E71" i="159"/>
  <c r="E72" i="159"/>
  <c r="E66" i="159"/>
  <c r="E65" i="159"/>
  <c r="K392" i="156"/>
  <c r="J393" i="156"/>
  <c r="K104" i="156"/>
  <c r="J105" i="156"/>
  <c r="J201" i="156"/>
  <c r="K200" i="156"/>
  <c r="J330" i="156"/>
  <c r="K329" i="156"/>
  <c r="J137" i="156"/>
  <c r="K136" i="156"/>
  <c r="J69" i="156"/>
  <c r="K168" i="156"/>
  <c r="J169" i="156"/>
  <c r="J298" i="156"/>
  <c r="K297" i="156"/>
  <c r="K266" i="156"/>
  <c r="J267" i="156"/>
  <c r="K69" i="156"/>
  <c r="K233" i="156"/>
  <c r="J234" i="156"/>
  <c r="K360" i="156"/>
  <c r="J361" i="156"/>
  <c r="B181" i="153"/>
  <c r="A76" i="159" l="1"/>
  <c r="A77" i="159" s="1"/>
  <c r="A78" i="159" s="1"/>
  <c r="A79" i="159" s="1"/>
  <c r="A80" i="159" s="1"/>
  <c r="A81" i="159" s="1"/>
  <c r="E77" i="159"/>
  <c r="J268" i="156"/>
  <c r="K267" i="156"/>
  <c r="K169" i="156"/>
  <c r="J170" i="156"/>
  <c r="J138" i="156"/>
  <c r="K137" i="156"/>
  <c r="K70" i="156" s="1"/>
  <c r="J331" i="156"/>
  <c r="K330" i="156"/>
  <c r="K105" i="156"/>
  <c r="J106" i="156"/>
  <c r="K234" i="156"/>
  <c r="J235" i="156"/>
  <c r="J202" i="156"/>
  <c r="J71" i="156" s="1"/>
  <c r="K201" i="156"/>
  <c r="J394" i="156"/>
  <c r="K393" i="156"/>
  <c r="K361" i="156"/>
  <c r="J362" i="156"/>
  <c r="K298" i="156"/>
  <c r="J299" i="156"/>
  <c r="J70" i="156"/>
  <c r="A82" i="159" l="1"/>
  <c r="A83" i="159" s="1"/>
  <c r="A84" i="159" s="1"/>
  <c r="A85" i="159" s="1"/>
  <c r="A86" i="159" s="1"/>
  <c r="A87" i="159" s="1"/>
  <c r="E83" i="159"/>
  <c r="E84" i="159"/>
  <c r="E78" i="159"/>
  <c r="J363" i="156"/>
  <c r="K362" i="156"/>
  <c r="J203" i="156"/>
  <c r="K202" i="156"/>
  <c r="K235" i="156"/>
  <c r="J236" i="156"/>
  <c r="J139" i="156"/>
  <c r="K138" i="156"/>
  <c r="J269" i="156"/>
  <c r="K268" i="156"/>
  <c r="K299" i="156"/>
  <c r="J300" i="156"/>
  <c r="K170" i="156"/>
  <c r="J171" i="156"/>
  <c r="K394" i="156"/>
  <c r="J395" i="156"/>
  <c r="J72" i="156" s="1"/>
  <c r="K106" i="156"/>
  <c r="J107" i="156"/>
  <c r="J332" i="156"/>
  <c r="K331" i="156"/>
  <c r="K71" i="156" l="1"/>
  <c r="A88" i="159"/>
  <c r="A89" i="159" s="1"/>
  <c r="A90" i="159" s="1"/>
  <c r="A91" i="159" s="1"/>
  <c r="A92" i="159" s="1"/>
  <c r="A93" i="159" s="1"/>
  <c r="E89" i="159"/>
  <c r="J204" i="156"/>
  <c r="K203" i="156"/>
  <c r="J333" i="156"/>
  <c r="K332" i="156"/>
  <c r="K395" i="156"/>
  <c r="J396" i="156"/>
  <c r="J270" i="156"/>
  <c r="K269" i="156"/>
  <c r="J237" i="156"/>
  <c r="K236" i="156"/>
  <c r="K300" i="156"/>
  <c r="J301" i="156"/>
  <c r="K363" i="156"/>
  <c r="J364" i="156"/>
  <c r="K107" i="156"/>
  <c r="J108" i="156"/>
  <c r="K171" i="156"/>
  <c r="J172" i="156"/>
  <c r="J140" i="156"/>
  <c r="K139" i="156"/>
  <c r="K72" i="156" s="1"/>
  <c r="A94" i="159" l="1"/>
  <c r="A95" i="159" s="1"/>
  <c r="A96" i="159" s="1"/>
  <c r="A97" i="159" s="1"/>
  <c r="A98" i="159" s="1"/>
  <c r="A99" i="159" s="1"/>
  <c r="E95" i="159"/>
  <c r="E96" i="159"/>
  <c r="E90" i="159"/>
  <c r="K172" i="156"/>
  <c r="J173" i="156"/>
  <c r="J271" i="156"/>
  <c r="K270" i="156"/>
  <c r="K333" i="156"/>
  <c r="J334" i="156"/>
  <c r="K364" i="156"/>
  <c r="J365" i="156"/>
  <c r="K396" i="156"/>
  <c r="J397" i="156"/>
  <c r="K108" i="156"/>
  <c r="J109" i="156"/>
  <c r="K237" i="156"/>
  <c r="J238" i="156"/>
  <c r="J205" i="156"/>
  <c r="K204" i="156"/>
  <c r="J141" i="156"/>
  <c r="J74" i="156" s="1"/>
  <c r="K140" i="156"/>
  <c r="K73" i="156" s="1"/>
  <c r="J73" i="156"/>
  <c r="J302" i="156"/>
  <c r="K301" i="156"/>
  <c r="A100" i="159" l="1"/>
  <c r="A101" i="159" s="1"/>
  <c r="A102" i="159" s="1"/>
  <c r="A103" i="159" s="1"/>
  <c r="A104" i="159" s="1"/>
  <c r="A105" i="159" s="1"/>
  <c r="E101" i="159"/>
  <c r="K302" i="156"/>
  <c r="J303" i="156"/>
  <c r="K238" i="156"/>
  <c r="J239" i="156"/>
  <c r="J272" i="156"/>
  <c r="K271" i="156"/>
  <c r="J142" i="156"/>
  <c r="K141" i="156"/>
  <c r="J398" i="156"/>
  <c r="K397" i="156"/>
  <c r="J335" i="156"/>
  <c r="K334" i="156"/>
  <c r="K173" i="156"/>
  <c r="J174" i="156"/>
  <c r="J206" i="156"/>
  <c r="K205" i="156"/>
  <c r="K109" i="156"/>
  <c r="J110" i="156"/>
  <c r="K365" i="156"/>
  <c r="J366" i="156"/>
  <c r="K74" i="156" l="1"/>
  <c r="A106" i="159"/>
  <c r="A107" i="159" s="1"/>
  <c r="A108" i="159" s="1"/>
  <c r="A109" i="159" s="1"/>
  <c r="A110" i="159" s="1"/>
  <c r="A111" i="159" s="1"/>
  <c r="E107" i="159"/>
  <c r="E102" i="159"/>
  <c r="J367" i="156"/>
  <c r="K366" i="156"/>
  <c r="K110" i="156"/>
  <c r="J111" i="156"/>
  <c r="J207" i="156"/>
  <c r="K206" i="156"/>
  <c r="J336" i="156"/>
  <c r="K335" i="156"/>
  <c r="J143" i="156"/>
  <c r="K142" i="156"/>
  <c r="K239" i="156"/>
  <c r="J240" i="156"/>
  <c r="K240" i="156" s="1"/>
  <c r="J75" i="156"/>
  <c r="K174" i="156"/>
  <c r="J175" i="156"/>
  <c r="K398" i="156"/>
  <c r="K75" i="156" s="1"/>
  <c r="J399" i="156"/>
  <c r="J273" i="156"/>
  <c r="K273" i="156" s="1"/>
  <c r="K272" i="156"/>
  <c r="K303" i="156"/>
  <c r="J304" i="156"/>
  <c r="K304" i="156" s="1"/>
  <c r="K274" i="156" l="1"/>
  <c r="J76" i="156"/>
  <c r="E108" i="159"/>
  <c r="A112" i="159"/>
  <c r="A113" i="159" s="1"/>
  <c r="A114" i="159" s="1"/>
  <c r="A115" i="159" s="1"/>
  <c r="A116" i="159" s="1"/>
  <c r="A117" i="159" s="1"/>
  <c r="K175" i="156"/>
  <c r="J176" i="156"/>
  <c r="K176" i="156" s="1"/>
  <c r="K177" i="156" s="1"/>
  <c r="J337" i="156"/>
  <c r="K337" i="156" s="1"/>
  <c r="K336" i="156"/>
  <c r="K305" i="156"/>
  <c r="K399" i="156"/>
  <c r="J400" i="156"/>
  <c r="J144" i="156"/>
  <c r="K143" i="156"/>
  <c r="J208" i="156"/>
  <c r="K207" i="156"/>
  <c r="K241" i="156"/>
  <c r="K111" i="156"/>
  <c r="J77" i="156"/>
  <c r="J112" i="156"/>
  <c r="K367" i="156"/>
  <c r="J368" i="156"/>
  <c r="K368" i="156" s="1"/>
  <c r="K369" i="156" s="1"/>
  <c r="K76" i="156" l="1"/>
  <c r="A118" i="159"/>
  <c r="A119" i="159" s="1"/>
  <c r="A120" i="159" s="1"/>
  <c r="A121" i="159" s="1"/>
  <c r="A122" i="159" s="1"/>
  <c r="A123" i="159" s="1"/>
  <c r="E119" i="159"/>
  <c r="E120" i="159"/>
  <c r="E114" i="159"/>
  <c r="E113" i="159"/>
  <c r="K112" i="156"/>
  <c r="J209" i="156"/>
  <c r="K209" i="156" s="1"/>
  <c r="K208" i="156"/>
  <c r="K400" i="156"/>
  <c r="J401" i="156"/>
  <c r="K401" i="156" s="1"/>
  <c r="K402" i="156" s="1"/>
  <c r="K338" i="156"/>
  <c r="J145" i="156"/>
  <c r="K145" i="156" s="1"/>
  <c r="K144" i="156"/>
  <c r="K77" i="156" l="1"/>
  <c r="A124" i="159"/>
  <c r="A125" i="159" s="1"/>
  <c r="A126" i="159" s="1"/>
  <c r="K78" i="156"/>
  <c r="K79" i="156" s="1"/>
  <c r="K113" i="156"/>
  <c r="K210" i="156"/>
  <c r="K146" i="156"/>
  <c r="J78" i="156"/>
  <c r="E125" i="159" l="1"/>
  <c r="E126" i="159"/>
  <c r="L48" i="149" l="1"/>
  <c r="L35" i="149"/>
  <c r="L27" i="149"/>
  <c r="A11" i="149"/>
  <c r="J16" i="149" s="1"/>
  <c r="A9" i="149"/>
  <c r="H72" i="148"/>
  <c r="H71" i="148"/>
  <c r="H70" i="148"/>
  <c r="H74" i="148" s="1"/>
  <c r="I62" i="148"/>
  <c r="I61" i="148"/>
  <c r="I60" i="148"/>
  <c r="I59" i="148"/>
  <c r="I58" i="148"/>
  <c r="I64" i="148" s="1"/>
  <c r="C34" i="148"/>
  <c r="A34" i="148"/>
  <c r="C32" i="148"/>
  <c r="C30" i="148"/>
  <c r="C28" i="148"/>
  <c r="A28" i="148"/>
  <c r="C26" i="148"/>
  <c r="A26" i="148"/>
  <c r="C24" i="148"/>
  <c r="A22" i="148"/>
  <c r="C14" i="148"/>
  <c r="A14" i="148"/>
  <c r="A16" i="148" s="1"/>
  <c r="A18" i="148" s="1"/>
  <c r="C12" i="148"/>
  <c r="C10" i="148"/>
  <c r="A10" i="148"/>
  <c r="C8" i="148"/>
  <c r="F102" i="147"/>
  <c r="F97" i="147"/>
  <c r="J85" i="147"/>
  <c r="E86" i="147"/>
  <c r="H42" i="147"/>
  <c r="H41" i="147"/>
  <c r="A34" i="147"/>
  <c r="A38" i="147" s="1"/>
  <c r="H33" i="147"/>
  <c r="A33" i="147"/>
  <c r="H34" i="147" s="1"/>
  <c r="J21" i="147"/>
  <c r="A7" i="147"/>
  <c r="A8" i="147" s="1"/>
  <c r="A9" i="147" s="1"/>
  <c r="A12" i="147" s="1"/>
  <c r="L41" i="149" l="1"/>
  <c r="L43" i="149" s="1"/>
  <c r="L16" i="149"/>
  <c r="L29" i="149" s="1"/>
  <c r="L51" i="149"/>
  <c r="A12" i="149"/>
  <c r="A13" i="149" s="1"/>
  <c r="A14" i="149" s="1"/>
  <c r="A15" i="149" s="1"/>
  <c r="A16" i="149" s="1"/>
  <c r="A19" i="149" s="1"/>
  <c r="A13" i="147"/>
  <c r="A14" i="147" s="1"/>
  <c r="A15" i="147" s="1"/>
  <c r="A18" i="147" s="1"/>
  <c r="H56" i="147"/>
  <c r="A41" i="147"/>
  <c r="A42" i="147" s="1"/>
  <c r="A43" i="147" s="1"/>
  <c r="A44" i="147" s="1"/>
  <c r="A45" i="147" s="1"/>
  <c r="A48" i="147" s="1"/>
  <c r="E102" i="147"/>
  <c r="J42" i="147" s="1"/>
  <c r="E97" i="147"/>
  <c r="J33" i="147" s="1"/>
  <c r="H55" i="147"/>
  <c r="A20" i="149" l="1"/>
  <c r="A21" i="149" s="1"/>
  <c r="A22" i="149" s="1"/>
  <c r="A23" i="149" s="1"/>
  <c r="A25" i="149" s="1"/>
  <c r="A26" i="149" s="1"/>
  <c r="A27" i="149" s="1"/>
  <c r="J27" i="149"/>
  <c r="A49" i="147"/>
  <c r="A50" i="147" s="1"/>
  <c r="A51" i="147" s="1"/>
  <c r="A52" i="147" s="1"/>
  <c r="A53" i="147" s="1"/>
  <c r="A54" i="147" s="1"/>
  <c r="A55" i="147" s="1"/>
  <c r="A56" i="147" s="1"/>
  <c r="A57" i="147" s="1"/>
  <c r="A58" i="147" s="1"/>
  <c r="A59" i="147" s="1"/>
  <c r="A19" i="147"/>
  <c r="A20" i="147" s="1"/>
  <c r="A21" i="147" s="1"/>
  <c r="H15" i="147"/>
  <c r="J29" i="149" l="1"/>
  <c r="A29" i="149"/>
  <c r="A32" i="149" s="1"/>
  <c r="A23" i="147"/>
  <c r="H29" i="147"/>
  <c r="H21" i="147"/>
  <c r="H63" i="147"/>
  <c r="A61" i="147"/>
  <c r="A63" i="147" s="1"/>
  <c r="H59" i="147"/>
  <c r="I47" i="149" l="1"/>
  <c r="A33" i="149"/>
  <c r="A34" i="149" s="1"/>
  <c r="A67" i="147"/>
  <c r="G67" i="147"/>
  <c r="A24" i="147"/>
  <c r="A25" i="147" s="1"/>
  <c r="B57" i="149" l="1"/>
  <c r="A35" i="149"/>
  <c r="A38" i="149" s="1"/>
  <c r="I48" i="149"/>
  <c r="J35" i="149"/>
  <c r="H30" i="147"/>
  <c r="G69" i="147"/>
  <c r="A68" i="147"/>
  <c r="A69" i="147" s="1"/>
  <c r="J41" i="149" l="1"/>
  <c r="A39" i="149"/>
  <c r="A40" i="149" s="1"/>
  <c r="A41" i="149" s="1"/>
  <c r="G71" i="147"/>
  <c r="A70" i="147"/>
  <c r="A71" i="147" s="1"/>
  <c r="A72" i="147" s="1"/>
  <c r="G72" i="147"/>
  <c r="J43" i="149" l="1"/>
  <c r="A43" i="149"/>
  <c r="A46" i="149" s="1"/>
  <c r="A47" i="149" l="1"/>
  <c r="A48" i="149" s="1"/>
  <c r="A49" i="149" s="1"/>
  <c r="A50" i="149" s="1"/>
  <c r="A51" i="149" s="1"/>
  <c r="J51" i="149"/>
  <c r="J15" i="147" l="1"/>
  <c r="J29" i="147" s="1"/>
  <c r="J38" i="147" l="1"/>
  <c r="J56" i="147" s="1"/>
  <c r="J41" i="147"/>
  <c r="J34" i="147"/>
  <c r="J55" i="147" s="1"/>
  <c r="J59" i="147" l="1"/>
  <c r="J63" i="147" s="1"/>
  <c r="E67" i="147" s="1"/>
  <c r="E72" i="147" l="1"/>
  <c r="J69" i="147" s="1"/>
  <c r="D7" i="130" l="1"/>
  <c r="D8" i="130" s="1"/>
  <c r="J71" i="147"/>
  <c r="D8" i="139"/>
  <c r="P48" i="86" s="1"/>
  <c r="M12" i="86"/>
  <c r="J12" i="86"/>
  <c r="N12" i="86"/>
  <c r="R12" i="86"/>
  <c r="P49" i="86" l="1"/>
  <c r="P50" i="86" s="1"/>
  <c r="P51" i="86" l="1"/>
  <c r="P52" i="86" l="1"/>
  <c r="P53" i="86" l="1"/>
  <c r="P54" i="86" l="1"/>
  <c r="P55" i="86" l="1"/>
  <c r="P56" i="86" l="1"/>
  <c r="P57" i="86" l="1"/>
  <c r="P58" i="86" l="1"/>
  <c r="P59" i="86" l="1"/>
  <c r="A8" i="144" l="1"/>
  <c r="G10" i="144"/>
  <c r="E11" i="144"/>
  <c r="G13" i="144"/>
  <c r="G14" i="144" s="1"/>
  <c r="E12" i="144"/>
  <c r="D35" i="144"/>
  <c r="D36" i="144" s="1"/>
  <c r="D41" i="144"/>
  <c r="D42" i="144" s="1"/>
  <c r="D47" i="144"/>
  <c r="D48" i="144" s="1"/>
  <c r="D53" i="144"/>
  <c r="D54" i="144" s="1"/>
  <c r="D59" i="144"/>
  <c r="D60" i="144" s="1"/>
  <c r="D65" i="144"/>
  <c r="D66" i="144" s="1"/>
  <c r="D71" i="144"/>
  <c r="D72" i="144" s="1"/>
  <c r="D77" i="144"/>
  <c r="D78" i="144" s="1"/>
  <c r="D83" i="144"/>
  <c r="D84" i="144" s="1"/>
  <c r="D89" i="144"/>
  <c r="D90" i="144" s="1"/>
  <c r="D95" i="144"/>
  <c r="D96" i="144" s="1"/>
  <c r="D101" i="144"/>
  <c r="D102" i="144" s="1"/>
  <c r="D107" i="144"/>
  <c r="D108" i="144" s="1"/>
  <c r="D113" i="144"/>
  <c r="D114" i="144" s="1"/>
  <c r="D119" i="144"/>
  <c r="D120" i="144" s="1"/>
  <c r="D125" i="144"/>
  <c r="D126" i="144" s="1"/>
  <c r="C108" i="143"/>
  <c r="F70" i="143"/>
  <c r="E70" i="143"/>
  <c r="F64" i="143"/>
  <c r="E64" i="143"/>
  <c r="H57" i="143"/>
  <c r="G57" i="143"/>
  <c r="G58" i="143" s="1"/>
  <c r="G37" i="143" s="1"/>
  <c r="D37" i="143" s="1"/>
  <c r="G6" i="143" s="1"/>
  <c r="H6" i="143" s="1"/>
  <c r="D50" i="143"/>
  <c r="D49" i="143"/>
  <c r="D48" i="143"/>
  <c r="D47" i="143"/>
  <c r="G16" i="143" s="1"/>
  <c r="H16" i="143" s="1"/>
  <c r="D46" i="143"/>
  <c r="D45" i="143"/>
  <c r="F44" i="143"/>
  <c r="D44" i="143" s="1"/>
  <c r="G13" i="143" s="1"/>
  <c r="H13" i="143" s="1"/>
  <c r="H43" i="143"/>
  <c r="D43" i="143" s="1"/>
  <c r="G12" i="143" s="1"/>
  <c r="H12" i="143" s="1"/>
  <c r="D42" i="143"/>
  <c r="D41" i="143"/>
  <c r="D40" i="143"/>
  <c r="G9" i="143" s="1"/>
  <c r="H9" i="143" s="1"/>
  <c r="D39" i="143"/>
  <c r="D38" i="143"/>
  <c r="F24" i="143"/>
  <c r="E20" i="143"/>
  <c r="G19" i="143"/>
  <c r="H19" i="143" s="1"/>
  <c r="G18" i="143"/>
  <c r="H18" i="143" s="1"/>
  <c r="G17" i="143"/>
  <c r="H17" i="143" s="1"/>
  <c r="G15" i="143"/>
  <c r="H15" i="143" s="1"/>
  <c r="G14" i="143"/>
  <c r="H14" i="143" s="1"/>
  <c r="G11" i="143"/>
  <c r="H11" i="143" s="1"/>
  <c r="G10" i="143"/>
  <c r="H10" i="143" s="1"/>
  <c r="A10" i="143"/>
  <c r="A11" i="143" s="1"/>
  <c r="A12" i="143" s="1"/>
  <c r="A13" i="143" s="1"/>
  <c r="A14" i="143" s="1"/>
  <c r="A15" i="143" s="1"/>
  <c r="A16" i="143" s="1"/>
  <c r="A17" i="143" s="1"/>
  <c r="A18" i="143" s="1"/>
  <c r="A19" i="143" s="1"/>
  <c r="A9" i="143"/>
  <c r="H8" i="143"/>
  <c r="G8" i="143"/>
  <c r="A8" i="143"/>
  <c r="G7" i="143"/>
  <c r="H7" i="143" s="1"/>
  <c r="A7" i="143"/>
  <c r="A9" i="144" l="1"/>
  <c r="A10" i="144" s="1"/>
  <c r="H20" i="143"/>
  <c r="F23" i="143" s="1"/>
  <c r="F25" i="143" s="1"/>
  <c r="A20" i="143"/>
  <c r="C76" i="143"/>
  <c r="G24" i="143"/>
  <c r="F401" i="142"/>
  <c r="F400" i="142"/>
  <c r="F399" i="142"/>
  <c r="F398" i="142"/>
  <c r="F397" i="142"/>
  <c r="F396" i="142"/>
  <c r="F395" i="142"/>
  <c r="F394" i="142"/>
  <c r="F393" i="142"/>
  <c r="F392" i="142"/>
  <c r="F391" i="142"/>
  <c r="F390" i="142"/>
  <c r="F389" i="142"/>
  <c r="F388" i="142"/>
  <c r="F387" i="142"/>
  <c r="F386" i="142"/>
  <c r="F385" i="142"/>
  <c r="F384" i="142"/>
  <c r="F383" i="142"/>
  <c r="F382" i="142"/>
  <c r="F381" i="142"/>
  <c r="F380" i="142"/>
  <c r="F379" i="142"/>
  <c r="J378" i="142"/>
  <c r="F378" i="142"/>
  <c r="K376" i="142"/>
  <c r="J376" i="142"/>
  <c r="I376" i="142"/>
  <c r="H376" i="142"/>
  <c r="G376" i="142"/>
  <c r="F376" i="142"/>
  <c r="E376" i="142"/>
  <c r="D376" i="142"/>
  <c r="K375" i="142"/>
  <c r="J375" i="142"/>
  <c r="I375" i="142"/>
  <c r="H375" i="142"/>
  <c r="G375" i="142"/>
  <c r="F375" i="142"/>
  <c r="E375" i="142"/>
  <c r="D375" i="142"/>
  <c r="G374" i="142"/>
  <c r="F368" i="142"/>
  <c r="F367" i="142"/>
  <c r="F366" i="142"/>
  <c r="F365" i="142"/>
  <c r="F364" i="142"/>
  <c r="F363" i="142"/>
  <c r="F362" i="142"/>
  <c r="F361" i="142"/>
  <c r="F360" i="142"/>
  <c r="F359" i="142"/>
  <c r="F358" i="142"/>
  <c r="F357" i="142"/>
  <c r="F356" i="142"/>
  <c r="F355" i="142"/>
  <c r="F354" i="142"/>
  <c r="F353" i="142"/>
  <c r="F352" i="142"/>
  <c r="F351" i="142"/>
  <c r="F350" i="142"/>
  <c r="F349" i="142"/>
  <c r="F348" i="142"/>
  <c r="F347" i="142"/>
  <c r="F346" i="142"/>
  <c r="F345" i="142"/>
  <c r="J344" i="142"/>
  <c r="J345" i="142" s="1"/>
  <c r="J346" i="142" s="1"/>
  <c r="K343" i="142"/>
  <c r="J343" i="142"/>
  <c r="I343" i="142"/>
  <c r="H343" i="142"/>
  <c r="G343" i="142"/>
  <c r="F343" i="142"/>
  <c r="E343" i="142"/>
  <c r="D343" i="142"/>
  <c r="K342" i="142"/>
  <c r="J342" i="142"/>
  <c r="I342" i="142"/>
  <c r="H342" i="142"/>
  <c r="G342" i="142"/>
  <c r="F342" i="142"/>
  <c r="E342" i="142"/>
  <c r="D342" i="142"/>
  <c r="G341" i="142"/>
  <c r="F337" i="142"/>
  <c r="F336" i="142"/>
  <c r="F335" i="142"/>
  <c r="F334" i="142"/>
  <c r="F333" i="142"/>
  <c r="F332" i="142"/>
  <c r="F331" i="142"/>
  <c r="F330" i="142"/>
  <c r="F329" i="142"/>
  <c r="F328" i="142"/>
  <c r="F327" i="142"/>
  <c r="F326" i="142"/>
  <c r="F325" i="142"/>
  <c r="F324" i="142"/>
  <c r="F323" i="142"/>
  <c r="F322" i="142"/>
  <c r="F321" i="142"/>
  <c r="F320" i="142"/>
  <c r="F319" i="142"/>
  <c r="F318" i="142"/>
  <c r="F317" i="142"/>
  <c r="F316" i="142"/>
  <c r="F315" i="142"/>
  <c r="J314" i="142"/>
  <c r="J315" i="142" s="1"/>
  <c r="F314" i="142"/>
  <c r="J313" i="142"/>
  <c r="K312" i="142"/>
  <c r="J312" i="142"/>
  <c r="I312" i="142"/>
  <c r="H312" i="142"/>
  <c r="G312" i="142"/>
  <c r="F312" i="142"/>
  <c r="E312" i="142"/>
  <c r="D312" i="142"/>
  <c r="K311" i="142"/>
  <c r="J311" i="142"/>
  <c r="I311" i="142"/>
  <c r="H311" i="142"/>
  <c r="G311" i="142"/>
  <c r="F311" i="142"/>
  <c r="E311" i="142"/>
  <c r="D311" i="142"/>
  <c r="G310" i="142"/>
  <c r="F304" i="142"/>
  <c r="F303" i="142"/>
  <c r="F302" i="142"/>
  <c r="F301" i="142"/>
  <c r="F300" i="142"/>
  <c r="F299" i="142"/>
  <c r="F298" i="142"/>
  <c r="F297" i="142"/>
  <c r="F296" i="142"/>
  <c r="F295" i="142"/>
  <c r="F294" i="142"/>
  <c r="F293" i="142"/>
  <c r="F292" i="142"/>
  <c r="F291" i="142"/>
  <c r="F290" i="142"/>
  <c r="F289" i="142"/>
  <c r="F288" i="142"/>
  <c r="F287" i="142"/>
  <c r="F286" i="142"/>
  <c r="F285" i="142"/>
  <c r="F284" i="142"/>
  <c r="F283" i="142"/>
  <c r="J282" i="142"/>
  <c r="F282" i="142"/>
  <c r="K281" i="142"/>
  <c r="F281" i="142"/>
  <c r="J280" i="142"/>
  <c r="J281" i="142" s="1"/>
  <c r="K279" i="142"/>
  <c r="J279" i="142"/>
  <c r="I279" i="142"/>
  <c r="H279" i="142"/>
  <c r="G279" i="142"/>
  <c r="F279" i="142"/>
  <c r="E279" i="142"/>
  <c r="D279" i="142"/>
  <c r="K278" i="142"/>
  <c r="J278" i="142"/>
  <c r="I278" i="142"/>
  <c r="H278" i="142"/>
  <c r="G278" i="142"/>
  <c r="F278" i="142"/>
  <c r="E278" i="142"/>
  <c r="D278" i="142"/>
  <c r="G277" i="142"/>
  <c r="F273" i="142"/>
  <c r="F272" i="142"/>
  <c r="F271" i="142"/>
  <c r="F270" i="142"/>
  <c r="F269" i="142"/>
  <c r="F268" i="142"/>
  <c r="F267" i="142"/>
  <c r="F266" i="142"/>
  <c r="F265" i="142"/>
  <c r="F264" i="142"/>
  <c r="F263" i="142"/>
  <c r="F262" i="142"/>
  <c r="F261" i="142"/>
  <c r="F260" i="142"/>
  <c r="F259" i="142"/>
  <c r="F258" i="142"/>
  <c r="F257" i="142"/>
  <c r="I61" i="142"/>
  <c r="F256" i="142"/>
  <c r="F255" i="142"/>
  <c r="F254" i="142"/>
  <c r="F253" i="142"/>
  <c r="F252" i="142"/>
  <c r="F251" i="142"/>
  <c r="J250" i="142"/>
  <c r="K250" i="142" s="1"/>
  <c r="F250" i="142"/>
  <c r="J249" i="142"/>
  <c r="K248" i="142"/>
  <c r="J248" i="142"/>
  <c r="I248" i="142"/>
  <c r="H248" i="142"/>
  <c r="F248" i="142"/>
  <c r="E248" i="142"/>
  <c r="D248" i="142"/>
  <c r="K247" i="142"/>
  <c r="J247" i="142"/>
  <c r="I247" i="142"/>
  <c r="H247" i="142"/>
  <c r="F247" i="142"/>
  <c r="E247" i="142"/>
  <c r="D247" i="142"/>
  <c r="F240" i="142"/>
  <c r="F239" i="142"/>
  <c r="F238" i="142"/>
  <c r="F237" i="142"/>
  <c r="F236" i="142"/>
  <c r="F235" i="142"/>
  <c r="F234" i="142"/>
  <c r="F233" i="142"/>
  <c r="F232" i="142"/>
  <c r="F231" i="142"/>
  <c r="F230" i="142"/>
  <c r="F229" i="142"/>
  <c r="F228" i="142"/>
  <c r="F227" i="142"/>
  <c r="F226" i="142"/>
  <c r="F225" i="142"/>
  <c r="F224" i="142"/>
  <c r="F223" i="142"/>
  <c r="F222" i="142"/>
  <c r="F221" i="142"/>
  <c r="F220" i="142"/>
  <c r="F219" i="142"/>
  <c r="J218" i="142"/>
  <c r="K218" i="142" s="1"/>
  <c r="F218" i="142"/>
  <c r="F217" i="142"/>
  <c r="J217" i="142" s="1"/>
  <c r="K217" i="142" s="1"/>
  <c r="J216" i="142"/>
  <c r="K215" i="142"/>
  <c r="J215" i="142"/>
  <c r="I215" i="142"/>
  <c r="H215" i="142"/>
  <c r="G215" i="142"/>
  <c r="F215" i="142"/>
  <c r="E215" i="142"/>
  <c r="D215" i="142"/>
  <c r="K214" i="142"/>
  <c r="J214" i="142"/>
  <c r="I214" i="142"/>
  <c r="H214" i="142"/>
  <c r="G214" i="142"/>
  <c r="F214" i="142"/>
  <c r="E214" i="142"/>
  <c r="D214" i="142"/>
  <c r="G213" i="142"/>
  <c r="F209" i="142"/>
  <c r="F208" i="142"/>
  <c r="F207" i="142"/>
  <c r="F206" i="142"/>
  <c r="F205" i="142"/>
  <c r="F204" i="142"/>
  <c r="F203" i="142"/>
  <c r="F202" i="142"/>
  <c r="F201" i="142"/>
  <c r="F200" i="142"/>
  <c r="F199" i="142"/>
  <c r="F198" i="142"/>
  <c r="F197" i="142"/>
  <c r="F196" i="142"/>
  <c r="F195" i="142"/>
  <c r="F194" i="142"/>
  <c r="F193" i="142"/>
  <c r="F192" i="142"/>
  <c r="F191" i="142"/>
  <c r="F190" i="142"/>
  <c r="F189" i="142"/>
  <c r="I57" i="142"/>
  <c r="F188" i="142"/>
  <c r="F187" i="142"/>
  <c r="F186" i="142"/>
  <c r="J185" i="142"/>
  <c r="J186" i="142" s="1"/>
  <c r="J187" i="142" s="1"/>
  <c r="K184" i="142"/>
  <c r="J184" i="142"/>
  <c r="I184" i="142"/>
  <c r="H184" i="142"/>
  <c r="G184" i="142"/>
  <c r="F184" i="142"/>
  <c r="E184" i="142"/>
  <c r="D184" i="142"/>
  <c r="K183" i="142"/>
  <c r="J183" i="142"/>
  <c r="I183" i="142"/>
  <c r="H183" i="142"/>
  <c r="G183" i="142"/>
  <c r="F183" i="142"/>
  <c r="E183" i="142"/>
  <c r="D183" i="142"/>
  <c r="G182" i="142"/>
  <c r="E78" i="142"/>
  <c r="F175" i="142"/>
  <c r="F174" i="142"/>
  <c r="F173" i="142"/>
  <c r="E74" i="142"/>
  <c r="F171" i="142"/>
  <c r="F170" i="142"/>
  <c r="F169" i="142"/>
  <c r="F168" i="142"/>
  <c r="F70" i="142" s="1"/>
  <c r="F167" i="142"/>
  <c r="F166" i="142"/>
  <c r="F165" i="142"/>
  <c r="F164" i="142"/>
  <c r="F66" i="142" s="1"/>
  <c r="F163" i="142"/>
  <c r="F162" i="142"/>
  <c r="F64" i="142" s="1"/>
  <c r="F161" i="142"/>
  <c r="F160" i="142"/>
  <c r="F62" i="142" s="1"/>
  <c r="F159" i="142"/>
  <c r="F158" i="142"/>
  <c r="F60" i="142" s="1"/>
  <c r="F157" i="142"/>
  <c r="F156" i="142"/>
  <c r="F155" i="142"/>
  <c r="F154" i="142"/>
  <c r="F56" i="142" s="1"/>
  <c r="F153" i="142"/>
  <c r="J152" i="142"/>
  <c r="J153" i="142" s="1"/>
  <c r="K151" i="142"/>
  <c r="J151" i="142"/>
  <c r="I151" i="142"/>
  <c r="H151" i="142"/>
  <c r="G151" i="142"/>
  <c r="F151" i="142"/>
  <c r="E151" i="142"/>
  <c r="D151" i="142"/>
  <c r="K150" i="142"/>
  <c r="J150" i="142"/>
  <c r="I150" i="142"/>
  <c r="H150" i="142"/>
  <c r="G150" i="142"/>
  <c r="F150" i="142"/>
  <c r="E150" i="142"/>
  <c r="D150" i="142"/>
  <c r="G149" i="142"/>
  <c r="F145" i="142"/>
  <c r="F144" i="142"/>
  <c r="I76" i="142"/>
  <c r="F143" i="142"/>
  <c r="F142" i="142"/>
  <c r="F141" i="142"/>
  <c r="F140" i="142"/>
  <c r="F139" i="142"/>
  <c r="F138" i="142"/>
  <c r="F137" i="142"/>
  <c r="F136" i="142"/>
  <c r="I68" i="142"/>
  <c r="F135" i="142"/>
  <c r="F134" i="142"/>
  <c r="I66" i="142"/>
  <c r="F133" i="142"/>
  <c r="F132" i="142"/>
  <c r="I64" i="142"/>
  <c r="F131" i="142"/>
  <c r="F130" i="142"/>
  <c r="F129" i="142"/>
  <c r="F128" i="142"/>
  <c r="I60" i="142"/>
  <c r="F127" i="142"/>
  <c r="F126" i="142"/>
  <c r="I58" i="142"/>
  <c r="F125" i="142"/>
  <c r="F124" i="142"/>
  <c r="I56" i="142"/>
  <c r="F123" i="142"/>
  <c r="J122" i="142"/>
  <c r="J123" i="142" s="1"/>
  <c r="K123" i="142" s="1"/>
  <c r="F122" i="142"/>
  <c r="J121" i="142"/>
  <c r="K120" i="142"/>
  <c r="J120" i="142"/>
  <c r="I120" i="142"/>
  <c r="H120" i="142"/>
  <c r="G120" i="142"/>
  <c r="F120" i="142"/>
  <c r="E120" i="142"/>
  <c r="D120" i="142"/>
  <c r="K119" i="142"/>
  <c r="J119" i="142"/>
  <c r="I119" i="142"/>
  <c r="H119" i="142"/>
  <c r="G119" i="142"/>
  <c r="F119" i="142"/>
  <c r="E119" i="142"/>
  <c r="D119" i="142"/>
  <c r="G118" i="142"/>
  <c r="I78" i="142"/>
  <c r="F112" i="142"/>
  <c r="E77" i="142"/>
  <c r="F110" i="142"/>
  <c r="F109" i="142"/>
  <c r="F108" i="142"/>
  <c r="F107" i="142"/>
  <c r="F73" i="142" s="1"/>
  <c r="I72" i="142"/>
  <c r="F106" i="142"/>
  <c r="F105" i="142"/>
  <c r="F71" i="142" s="1"/>
  <c r="F104" i="142"/>
  <c r="E69" i="142"/>
  <c r="F102" i="142"/>
  <c r="F100" i="142"/>
  <c r="F99" i="142"/>
  <c r="F65" i="142" s="1"/>
  <c r="F98" i="142"/>
  <c r="F97" i="142"/>
  <c r="F63" i="142" s="1"/>
  <c r="I62" i="142"/>
  <c r="F96" i="142"/>
  <c r="F95" i="142"/>
  <c r="F61" i="142" s="1"/>
  <c r="F94" i="142"/>
  <c r="F93" i="142"/>
  <c r="F59" i="142" s="1"/>
  <c r="F92" i="142"/>
  <c r="F91" i="142"/>
  <c r="F57" i="142" s="1"/>
  <c r="F90" i="142"/>
  <c r="F89" i="142"/>
  <c r="J88" i="142"/>
  <c r="K87" i="142"/>
  <c r="J87" i="142"/>
  <c r="I87" i="142"/>
  <c r="H87" i="142"/>
  <c r="G87" i="142"/>
  <c r="F87" i="142"/>
  <c r="E87" i="142"/>
  <c r="D87" i="142"/>
  <c r="K86" i="142"/>
  <c r="J86" i="142"/>
  <c r="I86" i="142"/>
  <c r="H86" i="142"/>
  <c r="G86" i="142"/>
  <c r="F86" i="142"/>
  <c r="E86" i="142"/>
  <c r="D86" i="142"/>
  <c r="G85" i="142"/>
  <c r="H78" i="142"/>
  <c r="G78" i="142"/>
  <c r="D78" i="142"/>
  <c r="H77" i="142"/>
  <c r="G77" i="142"/>
  <c r="D77" i="142"/>
  <c r="H76" i="142"/>
  <c r="G76" i="142"/>
  <c r="D76" i="142"/>
  <c r="I75" i="142"/>
  <c r="H75" i="142"/>
  <c r="G75" i="142"/>
  <c r="E75" i="142"/>
  <c r="D75" i="142"/>
  <c r="H74" i="142"/>
  <c r="G74" i="142"/>
  <c r="D74" i="142"/>
  <c r="H73" i="142"/>
  <c r="G73" i="142"/>
  <c r="D73" i="142"/>
  <c r="H72" i="142"/>
  <c r="G72" i="142"/>
  <c r="D72" i="142"/>
  <c r="I71" i="142"/>
  <c r="H71" i="142"/>
  <c r="G71" i="142"/>
  <c r="E71" i="142"/>
  <c r="D71" i="142"/>
  <c r="I70" i="142"/>
  <c r="H70" i="142"/>
  <c r="G70" i="142"/>
  <c r="E70" i="142"/>
  <c r="D70" i="142"/>
  <c r="H69" i="142"/>
  <c r="G69" i="142"/>
  <c r="D69" i="142"/>
  <c r="H68" i="142"/>
  <c r="G68" i="142"/>
  <c r="D68" i="142"/>
  <c r="I67" i="142"/>
  <c r="H67" i="142"/>
  <c r="G67" i="142"/>
  <c r="D67" i="142"/>
  <c r="H66" i="142"/>
  <c r="G66" i="142"/>
  <c r="D66" i="142"/>
  <c r="H65" i="142"/>
  <c r="G65" i="142"/>
  <c r="E65" i="142"/>
  <c r="D65" i="142"/>
  <c r="H64" i="142"/>
  <c r="G64" i="142"/>
  <c r="E64" i="142"/>
  <c r="D64" i="142"/>
  <c r="I63" i="142"/>
  <c r="H63" i="142"/>
  <c r="G63" i="142"/>
  <c r="E63" i="142"/>
  <c r="D63" i="142"/>
  <c r="H62" i="142"/>
  <c r="G62" i="142"/>
  <c r="D62" i="142"/>
  <c r="H61" i="142"/>
  <c r="G61" i="142"/>
  <c r="D61" i="142"/>
  <c r="H60" i="142"/>
  <c r="G60" i="142"/>
  <c r="D60" i="142"/>
  <c r="I59" i="142"/>
  <c r="H59" i="142"/>
  <c r="G59" i="142"/>
  <c r="E59" i="142"/>
  <c r="D59" i="142"/>
  <c r="H58" i="142"/>
  <c r="G58" i="142"/>
  <c r="F58" i="142"/>
  <c r="D58" i="142"/>
  <c r="H57" i="142"/>
  <c r="G57" i="142"/>
  <c r="D57" i="142"/>
  <c r="H56" i="142"/>
  <c r="G56" i="142"/>
  <c r="E56" i="142"/>
  <c r="D56" i="142"/>
  <c r="I55" i="142"/>
  <c r="H55" i="142"/>
  <c r="G55" i="142"/>
  <c r="E55" i="142"/>
  <c r="D55" i="142"/>
  <c r="J54" i="142"/>
  <c r="G46" i="142"/>
  <c r="F46" i="142"/>
  <c r="E46" i="142"/>
  <c r="D46" i="142"/>
  <c r="A35" i="142"/>
  <c r="A36" i="142" s="1"/>
  <c r="A37" i="142" s="1"/>
  <c r="A38" i="142" s="1"/>
  <c r="A39" i="142" s="1"/>
  <c r="A40" i="142" s="1"/>
  <c r="A41" i="142" s="1"/>
  <c r="A42" i="142" s="1"/>
  <c r="A43" i="142" s="1"/>
  <c r="A44" i="142" s="1"/>
  <c r="A45" i="142" s="1"/>
  <c r="A46" i="142" s="1"/>
  <c r="A54" i="142" s="1"/>
  <c r="A55" i="142" s="1"/>
  <c r="A56" i="142" s="1"/>
  <c r="A57" i="142" s="1"/>
  <c r="A58" i="142" s="1"/>
  <c r="A59" i="142" s="1"/>
  <c r="A60" i="142" s="1"/>
  <c r="A61" i="142" s="1"/>
  <c r="A62" i="142" s="1"/>
  <c r="A63" i="142" s="1"/>
  <c r="A64" i="142" s="1"/>
  <c r="A65" i="142" s="1"/>
  <c r="A66" i="142" s="1"/>
  <c r="A67" i="142" s="1"/>
  <c r="A68" i="142" s="1"/>
  <c r="A69" i="142" s="1"/>
  <c r="A70" i="142" s="1"/>
  <c r="A71" i="142" s="1"/>
  <c r="A72" i="142" s="1"/>
  <c r="A73" i="142" s="1"/>
  <c r="A74" i="142" s="1"/>
  <c r="A75" i="142" s="1"/>
  <c r="A76" i="142" s="1"/>
  <c r="A77" i="142" s="1"/>
  <c r="A78" i="142" s="1"/>
  <c r="A79" i="142" s="1"/>
  <c r="A88" i="142" s="1"/>
  <c r="A89" i="142" s="1"/>
  <c r="A90" i="142" s="1"/>
  <c r="A91" i="142" s="1"/>
  <c r="A92" i="142" s="1"/>
  <c r="A93" i="142" s="1"/>
  <c r="A94" i="142" s="1"/>
  <c r="A95" i="142" s="1"/>
  <c r="A96" i="142" s="1"/>
  <c r="A97" i="142" s="1"/>
  <c r="A98" i="142" s="1"/>
  <c r="A99" i="142" s="1"/>
  <c r="A100" i="142" s="1"/>
  <c r="A101" i="142" s="1"/>
  <c r="A102" i="142" s="1"/>
  <c r="A103" i="142" s="1"/>
  <c r="A104" i="142" s="1"/>
  <c r="A105" i="142" s="1"/>
  <c r="A106" i="142" s="1"/>
  <c r="A107" i="142" s="1"/>
  <c r="A108" i="142" s="1"/>
  <c r="A109" i="142" s="1"/>
  <c r="A110" i="142" s="1"/>
  <c r="A111" i="142" s="1"/>
  <c r="A112" i="142" s="1"/>
  <c r="A113" i="142" s="1"/>
  <c r="A121" i="142" s="1"/>
  <c r="A122" i="142" s="1"/>
  <c r="A123" i="142" s="1"/>
  <c r="A124" i="142" s="1"/>
  <c r="A125" i="142" s="1"/>
  <c r="A126" i="142" s="1"/>
  <c r="A127" i="142" s="1"/>
  <c r="A128" i="142" s="1"/>
  <c r="A129" i="142" s="1"/>
  <c r="A130" i="142" s="1"/>
  <c r="A131" i="142" s="1"/>
  <c r="A132" i="142" s="1"/>
  <c r="A133" i="142" s="1"/>
  <c r="A134" i="142" s="1"/>
  <c r="A135" i="142" s="1"/>
  <c r="A136" i="142" s="1"/>
  <c r="A137" i="142" s="1"/>
  <c r="A138" i="142" s="1"/>
  <c r="A139" i="142" s="1"/>
  <c r="A140" i="142" s="1"/>
  <c r="A141" i="142" s="1"/>
  <c r="A142" i="142" s="1"/>
  <c r="A143" i="142" s="1"/>
  <c r="A144" i="142" s="1"/>
  <c r="A145" i="142" s="1"/>
  <c r="A146" i="142" s="1"/>
  <c r="A152" i="142" s="1"/>
  <c r="A153" i="142" s="1"/>
  <c r="A154" i="142" s="1"/>
  <c r="A155" i="142" s="1"/>
  <c r="A156" i="142" s="1"/>
  <c r="A157" i="142" s="1"/>
  <c r="A158" i="142" s="1"/>
  <c r="A159" i="142" s="1"/>
  <c r="A160" i="142" s="1"/>
  <c r="A161" i="142" s="1"/>
  <c r="A162" i="142" s="1"/>
  <c r="A163" i="142" s="1"/>
  <c r="A164" i="142" s="1"/>
  <c r="A165" i="142" s="1"/>
  <c r="A166" i="142" s="1"/>
  <c r="A167" i="142" s="1"/>
  <c r="A168" i="142" s="1"/>
  <c r="A169" i="142" s="1"/>
  <c r="A170" i="142" s="1"/>
  <c r="A171" i="142" s="1"/>
  <c r="A172" i="142" s="1"/>
  <c r="A173" i="142" s="1"/>
  <c r="A174" i="142" s="1"/>
  <c r="A175" i="142" s="1"/>
  <c r="A176" i="142" s="1"/>
  <c r="A177" i="142" s="1"/>
  <c r="A185" i="142" s="1"/>
  <c r="A186" i="142" s="1"/>
  <c r="A187" i="142" s="1"/>
  <c r="A188" i="142" s="1"/>
  <c r="A189" i="142" s="1"/>
  <c r="A190" i="142" s="1"/>
  <c r="A191" i="142" s="1"/>
  <c r="A192" i="142" s="1"/>
  <c r="A193" i="142" s="1"/>
  <c r="A194" i="142" s="1"/>
  <c r="A195" i="142" s="1"/>
  <c r="A196" i="142" s="1"/>
  <c r="A197" i="142" s="1"/>
  <c r="A198" i="142" s="1"/>
  <c r="A199" i="142" s="1"/>
  <c r="A200" i="142" s="1"/>
  <c r="A201" i="142" s="1"/>
  <c r="A202" i="142" s="1"/>
  <c r="A203" i="142" s="1"/>
  <c r="A204" i="142" s="1"/>
  <c r="A205" i="142" s="1"/>
  <c r="A206" i="142" s="1"/>
  <c r="A207" i="142" s="1"/>
  <c r="A208" i="142" s="1"/>
  <c r="A209" i="142" s="1"/>
  <c r="A210" i="142" s="1"/>
  <c r="A216" i="142" s="1"/>
  <c r="A217" i="142" s="1"/>
  <c r="A218" i="142" s="1"/>
  <c r="A219" i="142" s="1"/>
  <c r="A220" i="142" s="1"/>
  <c r="A221" i="142" s="1"/>
  <c r="A222" i="142" s="1"/>
  <c r="A223" i="142" s="1"/>
  <c r="A224" i="142" s="1"/>
  <c r="A225" i="142" s="1"/>
  <c r="A226" i="142" s="1"/>
  <c r="A227" i="142" s="1"/>
  <c r="A228" i="142" s="1"/>
  <c r="A229" i="142" s="1"/>
  <c r="A230" i="142" s="1"/>
  <c r="A231" i="142" s="1"/>
  <c r="A232" i="142" s="1"/>
  <c r="A233" i="142" s="1"/>
  <c r="A234" i="142" s="1"/>
  <c r="A235" i="142" s="1"/>
  <c r="A236" i="142" s="1"/>
  <c r="A237" i="142" s="1"/>
  <c r="A238" i="142" s="1"/>
  <c r="A239" i="142" s="1"/>
  <c r="A240" i="142" s="1"/>
  <c r="A241" i="142" s="1"/>
  <c r="A249" i="142" s="1"/>
  <c r="A250" i="142" s="1"/>
  <c r="A251" i="142" s="1"/>
  <c r="A252" i="142" s="1"/>
  <c r="A253" i="142" s="1"/>
  <c r="A254" i="142" s="1"/>
  <c r="A255" i="142" s="1"/>
  <c r="A256" i="142" s="1"/>
  <c r="A257" i="142" s="1"/>
  <c r="A258" i="142" s="1"/>
  <c r="A259" i="142" s="1"/>
  <c r="A260" i="142" s="1"/>
  <c r="A261" i="142" s="1"/>
  <c r="A262" i="142" s="1"/>
  <c r="A263" i="142" s="1"/>
  <c r="A264" i="142" s="1"/>
  <c r="A265" i="142" s="1"/>
  <c r="A266" i="142" s="1"/>
  <c r="A267" i="142" s="1"/>
  <c r="A268" i="142" s="1"/>
  <c r="A269" i="142" s="1"/>
  <c r="A270" i="142" s="1"/>
  <c r="A271" i="142" s="1"/>
  <c r="A272" i="142" s="1"/>
  <c r="A273" i="142" s="1"/>
  <c r="A274" i="142" s="1"/>
  <c r="A280" i="142" s="1"/>
  <c r="A281" i="142" s="1"/>
  <c r="A282" i="142" s="1"/>
  <c r="A283" i="142" s="1"/>
  <c r="A284" i="142" s="1"/>
  <c r="A285" i="142" s="1"/>
  <c r="A286" i="142" s="1"/>
  <c r="A287" i="142" s="1"/>
  <c r="A288" i="142" s="1"/>
  <c r="A289" i="142" s="1"/>
  <c r="A290" i="142" s="1"/>
  <c r="A291" i="142" s="1"/>
  <c r="A292" i="142" s="1"/>
  <c r="A293" i="142" s="1"/>
  <c r="A294" i="142" s="1"/>
  <c r="A295" i="142" s="1"/>
  <c r="A296" i="142" s="1"/>
  <c r="A297" i="142" s="1"/>
  <c r="A298" i="142" s="1"/>
  <c r="A299" i="142" s="1"/>
  <c r="A300" i="142" s="1"/>
  <c r="A301" i="142" s="1"/>
  <c r="A302" i="142" s="1"/>
  <c r="A303" i="142" s="1"/>
  <c r="A304" i="142" s="1"/>
  <c r="A305" i="142" s="1"/>
  <c r="A313" i="142" s="1"/>
  <c r="A314" i="142" s="1"/>
  <c r="A315" i="142" s="1"/>
  <c r="A316" i="142" s="1"/>
  <c r="A317" i="142" s="1"/>
  <c r="A318" i="142" s="1"/>
  <c r="A319" i="142" s="1"/>
  <c r="A320" i="142" s="1"/>
  <c r="A321" i="142" s="1"/>
  <c r="A322" i="142" s="1"/>
  <c r="A323" i="142" s="1"/>
  <c r="A324" i="142" s="1"/>
  <c r="A325" i="142" s="1"/>
  <c r="A326" i="142" s="1"/>
  <c r="A327" i="142" s="1"/>
  <c r="A328" i="142" s="1"/>
  <c r="A329" i="142" s="1"/>
  <c r="A330" i="142" s="1"/>
  <c r="A331" i="142" s="1"/>
  <c r="A332" i="142" s="1"/>
  <c r="A333" i="142" s="1"/>
  <c r="A334" i="142" s="1"/>
  <c r="A335" i="142" s="1"/>
  <c r="A336" i="142" s="1"/>
  <c r="A337" i="142" s="1"/>
  <c r="A338" i="142" s="1"/>
  <c r="A344" i="142" s="1"/>
  <c r="A345" i="142" s="1"/>
  <c r="A346" i="142" s="1"/>
  <c r="A347" i="142" s="1"/>
  <c r="A348" i="142" s="1"/>
  <c r="A349" i="142" s="1"/>
  <c r="A350" i="142" s="1"/>
  <c r="A351" i="142" s="1"/>
  <c r="A352" i="142" s="1"/>
  <c r="A353" i="142" s="1"/>
  <c r="A354" i="142" s="1"/>
  <c r="A355" i="142" s="1"/>
  <c r="A356" i="142" s="1"/>
  <c r="A357" i="142" s="1"/>
  <c r="A358" i="142" s="1"/>
  <c r="A359" i="142" s="1"/>
  <c r="A360" i="142" s="1"/>
  <c r="A361" i="142" s="1"/>
  <c r="A362" i="142" s="1"/>
  <c r="A363" i="142" s="1"/>
  <c r="A364" i="142" s="1"/>
  <c r="A365" i="142" s="1"/>
  <c r="A366" i="142" s="1"/>
  <c r="A367" i="142" s="1"/>
  <c r="A368" i="142" s="1"/>
  <c r="A369" i="142" s="1"/>
  <c r="A377" i="142" s="1"/>
  <c r="A378" i="142" s="1"/>
  <c r="A379" i="142" s="1"/>
  <c r="A380" i="142" s="1"/>
  <c r="A381" i="142" s="1"/>
  <c r="A382" i="142" s="1"/>
  <c r="A383" i="142" s="1"/>
  <c r="A384" i="142" s="1"/>
  <c r="A385" i="142" s="1"/>
  <c r="A386" i="142" s="1"/>
  <c r="A387" i="142" s="1"/>
  <c r="A388" i="142" s="1"/>
  <c r="A389" i="142" s="1"/>
  <c r="A390" i="142" s="1"/>
  <c r="A391" i="142" s="1"/>
  <c r="A392" i="142" s="1"/>
  <c r="A393" i="142" s="1"/>
  <c r="A394" i="142" s="1"/>
  <c r="A395" i="142" s="1"/>
  <c r="A396" i="142" s="1"/>
  <c r="A397" i="142" s="1"/>
  <c r="A398" i="142" s="1"/>
  <c r="A399" i="142" s="1"/>
  <c r="A400" i="142" s="1"/>
  <c r="A401" i="142" s="1"/>
  <c r="A402" i="142" s="1"/>
  <c r="I26" i="142"/>
  <c r="H26" i="142"/>
  <c r="G26" i="142"/>
  <c r="F26" i="142"/>
  <c r="E26" i="142"/>
  <c r="D25" i="142"/>
  <c r="D24" i="142"/>
  <c r="D23" i="142"/>
  <c r="D22" i="142"/>
  <c r="D21" i="142"/>
  <c r="D20" i="142"/>
  <c r="D19" i="142"/>
  <c r="D18" i="142"/>
  <c r="D17" i="142"/>
  <c r="D16" i="142"/>
  <c r="D15" i="142"/>
  <c r="A15" i="142"/>
  <c r="A16" i="142" s="1"/>
  <c r="A17" i="142" s="1"/>
  <c r="A18" i="142" s="1"/>
  <c r="A19" i="142" s="1"/>
  <c r="A20" i="142" s="1"/>
  <c r="A21" i="142" s="1"/>
  <c r="A22" i="142" s="1"/>
  <c r="A23" i="142" s="1"/>
  <c r="A24" i="142" s="1"/>
  <c r="A25" i="142" s="1"/>
  <c r="A26" i="142" s="1"/>
  <c r="A33" i="142" s="1"/>
  <c r="A34" i="142" s="1"/>
  <c r="D14" i="142"/>
  <c r="D26" i="142" s="1"/>
  <c r="A14" i="142"/>
  <c r="D13" i="142"/>
  <c r="F40" i="141"/>
  <c r="E40" i="141"/>
  <c r="E42" i="141" s="1"/>
  <c r="C40" i="141"/>
  <c r="C42" i="141" s="1"/>
  <c r="F39" i="141"/>
  <c r="F38" i="141"/>
  <c r="F36" i="141"/>
  <c r="F26" i="141"/>
  <c r="E26" i="141"/>
  <c r="C26" i="141"/>
  <c r="F25" i="141"/>
  <c r="F24" i="141"/>
  <c r="F23" i="141"/>
  <c r="F22" i="141"/>
  <c r="F21" i="141"/>
  <c r="F20" i="141"/>
  <c r="F15" i="141"/>
  <c r="E12" i="141"/>
  <c r="E17" i="141" s="1"/>
  <c r="C12" i="141"/>
  <c r="C17" i="141" s="1"/>
  <c r="C28" i="141" s="1"/>
  <c r="F11" i="141"/>
  <c r="F10" i="141"/>
  <c r="A9" i="141"/>
  <c r="A10" i="141" s="1"/>
  <c r="E10" i="144" l="1"/>
  <c r="A11" i="144"/>
  <c r="G23" i="143"/>
  <c r="A23" i="143"/>
  <c r="J89" i="142"/>
  <c r="F55" i="142"/>
  <c r="J188" i="142"/>
  <c r="K187" i="142"/>
  <c r="K378" i="142"/>
  <c r="J379" i="142"/>
  <c r="E67" i="142"/>
  <c r="F101" i="142"/>
  <c r="F67" i="142" s="1"/>
  <c r="F75" i="142"/>
  <c r="K153" i="142"/>
  <c r="J154" i="142"/>
  <c r="K315" i="142"/>
  <c r="J316" i="142"/>
  <c r="E60" i="142"/>
  <c r="K314" i="142"/>
  <c r="E58" i="142"/>
  <c r="E62" i="142"/>
  <c r="E72" i="142"/>
  <c r="E76" i="142"/>
  <c r="E73" i="142"/>
  <c r="F68" i="142"/>
  <c r="F72" i="142"/>
  <c r="F76" i="142"/>
  <c r="I65" i="142"/>
  <c r="I69" i="142"/>
  <c r="I73" i="142"/>
  <c r="I77" i="142"/>
  <c r="K186" i="142"/>
  <c r="J124" i="142"/>
  <c r="K282" i="142"/>
  <c r="J283" i="142"/>
  <c r="K122" i="142"/>
  <c r="J219" i="142"/>
  <c r="J251" i="142"/>
  <c r="J347" i="142"/>
  <c r="K346" i="142"/>
  <c r="K345" i="142"/>
  <c r="E57" i="142"/>
  <c r="E61" i="142"/>
  <c r="E66" i="142"/>
  <c r="E68" i="142"/>
  <c r="F103" i="142"/>
  <c r="F69" i="142" s="1"/>
  <c r="I74" i="142"/>
  <c r="F111" i="142"/>
  <c r="F77" i="142" s="1"/>
  <c r="F172" i="142"/>
  <c r="F74" i="142" s="1"/>
  <c r="F176" i="142"/>
  <c r="F78" i="142" s="1"/>
  <c r="D12" i="141"/>
  <c r="A11" i="141"/>
  <c r="A12" i="141" s="1"/>
  <c r="E28" i="141"/>
  <c r="F28" i="141" s="1"/>
  <c r="F17" i="141"/>
  <c r="F42" i="141"/>
  <c r="F12" i="141"/>
  <c r="A12" i="144" l="1"/>
  <c r="A13" i="144" s="1"/>
  <c r="E13" i="144"/>
  <c r="A24" i="143"/>
  <c r="A25" i="143" s="1"/>
  <c r="J348" i="142"/>
  <c r="K347" i="142"/>
  <c r="K154" i="142"/>
  <c r="J155" i="142"/>
  <c r="K251" i="142"/>
  <c r="J252" i="142"/>
  <c r="J284" i="142"/>
  <c r="K283" i="142"/>
  <c r="J189" i="142"/>
  <c r="K188" i="142"/>
  <c r="J380" i="142"/>
  <c r="K379" i="142"/>
  <c r="K219" i="142"/>
  <c r="J220" i="142"/>
  <c r="J125" i="142"/>
  <c r="K124" i="142"/>
  <c r="J317" i="142"/>
  <c r="K316" i="142"/>
  <c r="J90" i="142"/>
  <c r="K89" i="142"/>
  <c r="K55" i="142" s="1"/>
  <c r="J55" i="142"/>
  <c r="A13" i="141"/>
  <c r="A14" i="141" s="1"/>
  <c r="A15" i="141" s="1"/>
  <c r="A16" i="141" s="1"/>
  <c r="A17" i="141" s="1"/>
  <c r="A14" i="144" l="1"/>
  <c r="E14" i="144"/>
  <c r="A26" i="143"/>
  <c r="A27" i="143" s="1"/>
  <c r="G25" i="143"/>
  <c r="K125" i="142"/>
  <c r="J126" i="142"/>
  <c r="K284" i="142"/>
  <c r="J285" i="142"/>
  <c r="K252" i="142"/>
  <c r="J253" i="142"/>
  <c r="K317" i="142"/>
  <c r="J318" i="142"/>
  <c r="K155" i="142"/>
  <c r="J156" i="142"/>
  <c r="K90" i="142"/>
  <c r="K56" i="142" s="1"/>
  <c r="J91" i="142"/>
  <c r="J56" i="142"/>
  <c r="K380" i="142"/>
  <c r="J381" i="142"/>
  <c r="K220" i="142"/>
  <c r="J221" i="142"/>
  <c r="J190" i="142"/>
  <c r="K189" i="142"/>
  <c r="J349" i="142"/>
  <c r="K348" i="142"/>
  <c r="A18" i="141"/>
  <c r="A19" i="141" s="1"/>
  <c r="A20" i="141" s="1"/>
  <c r="D17" i="141"/>
  <c r="E15" i="144" l="1"/>
  <c r="A15" i="144"/>
  <c r="A28" i="143"/>
  <c r="G27" i="143"/>
  <c r="K381" i="142"/>
  <c r="J382" i="142"/>
  <c r="J191" i="142"/>
  <c r="K190" i="142"/>
  <c r="J157" i="142"/>
  <c r="K156" i="142"/>
  <c r="J127" i="142"/>
  <c r="K126" i="142"/>
  <c r="J350" i="142"/>
  <c r="K349" i="142"/>
  <c r="K91" i="142"/>
  <c r="K57" i="142" s="1"/>
  <c r="J92" i="142"/>
  <c r="J57" i="142"/>
  <c r="K318" i="142"/>
  <c r="J319" i="142"/>
  <c r="J286" i="142"/>
  <c r="K285" i="142"/>
  <c r="J254" i="142"/>
  <c r="K253" i="142"/>
  <c r="J222" i="142"/>
  <c r="K221" i="142"/>
  <c r="D26" i="141"/>
  <c r="A21" i="141"/>
  <c r="A22" i="141" s="1"/>
  <c r="A23" i="141" s="1"/>
  <c r="A24" i="141" s="1"/>
  <c r="A25" i="141" s="1"/>
  <c r="A26" i="141" s="1"/>
  <c r="G26" i="143" l="1"/>
  <c r="A16" i="144"/>
  <c r="A17" i="144" s="1"/>
  <c r="A18" i="144" s="1"/>
  <c r="A19" i="144" s="1"/>
  <c r="A20" i="144" s="1"/>
  <c r="A29" i="143"/>
  <c r="G29" i="143"/>
  <c r="K127" i="142"/>
  <c r="J128" i="142"/>
  <c r="K382" i="142"/>
  <c r="J383" i="142"/>
  <c r="K222" i="142"/>
  <c r="J223" i="142"/>
  <c r="K286" i="142"/>
  <c r="J287" i="142"/>
  <c r="K92" i="142"/>
  <c r="K58" i="142" s="1"/>
  <c r="J93" i="142"/>
  <c r="J58" i="142"/>
  <c r="K319" i="142"/>
  <c r="J320" i="142"/>
  <c r="J192" i="142"/>
  <c r="K191" i="142"/>
  <c r="K254" i="142"/>
  <c r="J255" i="142"/>
  <c r="J351" i="142"/>
  <c r="K350" i="142"/>
  <c r="K157" i="142"/>
  <c r="J158" i="142"/>
  <c r="A27" i="141"/>
  <c r="A28" i="141" s="1"/>
  <c r="A34" i="141" s="1"/>
  <c r="A35" i="141" s="1"/>
  <c r="A36" i="141" s="1"/>
  <c r="D28" i="141"/>
  <c r="A21" i="144" l="1"/>
  <c r="A22" i="144" s="1"/>
  <c r="A30" i="143"/>
  <c r="A37" i="143" s="1"/>
  <c r="G30" i="143"/>
  <c r="J193" i="142"/>
  <c r="K192" i="142"/>
  <c r="K93" i="142"/>
  <c r="K59" i="142" s="1"/>
  <c r="J59" i="142"/>
  <c r="J94" i="142"/>
  <c r="J129" i="142"/>
  <c r="K128" i="142"/>
  <c r="J159" i="142"/>
  <c r="K158" i="142"/>
  <c r="J256" i="142"/>
  <c r="K255" i="142"/>
  <c r="K320" i="142"/>
  <c r="J321" i="142"/>
  <c r="J288" i="142"/>
  <c r="K287" i="142"/>
  <c r="J384" i="142"/>
  <c r="K383" i="142"/>
  <c r="J352" i="142"/>
  <c r="K351" i="142"/>
  <c r="J224" i="142"/>
  <c r="K223" i="142"/>
  <c r="A37" i="141"/>
  <c r="A38" i="141" s="1"/>
  <c r="E23" i="144" l="1"/>
  <c r="A23" i="144"/>
  <c r="A24" i="144" s="1"/>
  <c r="G77" i="143"/>
  <c r="A38" i="143"/>
  <c r="A39" i="143" s="1"/>
  <c r="A40" i="143" s="1"/>
  <c r="A41" i="143" s="1"/>
  <c r="A42" i="143" s="1"/>
  <c r="A43" i="143" s="1"/>
  <c r="K288" i="142"/>
  <c r="J289" i="142"/>
  <c r="K129" i="142"/>
  <c r="J130" i="142"/>
  <c r="K224" i="142"/>
  <c r="J225" i="142"/>
  <c r="K384" i="142"/>
  <c r="J385" i="142"/>
  <c r="K159" i="142"/>
  <c r="J160" i="142"/>
  <c r="J353" i="142"/>
  <c r="K352" i="142"/>
  <c r="K256" i="142"/>
  <c r="J257" i="142"/>
  <c r="K321" i="142"/>
  <c r="J322" i="142"/>
  <c r="K94" i="142"/>
  <c r="K60" i="142" s="1"/>
  <c r="J95" i="142"/>
  <c r="J60" i="142"/>
  <c r="J194" i="142"/>
  <c r="K193" i="142"/>
  <c r="D40" i="141"/>
  <c r="A39" i="141"/>
  <c r="A40" i="141" s="1"/>
  <c r="A25" i="144" l="1"/>
  <c r="E25" i="144"/>
  <c r="C78" i="143"/>
  <c r="A44" i="143"/>
  <c r="K257" i="142"/>
  <c r="J258" i="142"/>
  <c r="J161" i="142"/>
  <c r="K160" i="142"/>
  <c r="K289" i="142"/>
  <c r="J290" i="142"/>
  <c r="K194" i="142"/>
  <c r="J195" i="142"/>
  <c r="J323" i="142"/>
  <c r="K322" i="142"/>
  <c r="K385" i="142"/>
  <c r="J386" i="142"/>
  <c r="J131" i="142"/>
  <c r="K130" i="142"/>
  <c r="J354" i="142"/>
  <c r="K353" i="142"/>
  <c r="J96" i="142"/>
  <c r="J61" i="142"/>
  <c r="K95" i="142"/>
  <c r="K61" i="142" s="1"/>
  <c r="K225" i="142"/>
  <c r="J226" i="142"/>
  <c r="A41" i="141"/>
  <c r="A42" i="141" s="1"/>
  <c r="D42" i="141"/>
  <c r="A26" i="144" l="1"/>
  <c r="A27" i="144" s="1"/>
  <c r="A28" i="144" s="1"/>
  <c r="E28" i="144"/>
  <c r="C72" i="143"/>
  <c r="A45" i="143"/>
  <c r="A46" i="143" s="1"/>
  <c r="A47" i="143" s="1"/>
  <c r="A48" i="143" s="1"/>
  <c r="A49" i="143" s="1"/>
  <c r="A50" i="143" s="1"/>
  <c r="K354" i="142"/>
  <c r="J355" i="142"/>
  <c r="K161" i="142"/>
  <c r="J162" i="142"/>
  <c r="K258" i="142"/>
  <c r="J259" i="142"/>
  <c r="K226" i="142"/>
  <c r="J227" i="142"/>
  <c r="K386" i="142"/>
  <c r="J387" i="142"/>
  <c r="J196" i="142"/>
  <c r="K195" i="142"/>
  <c r="K290" i="142"/>
  <c r="J291" i="142"/>
  <c r="K96" i="142"/>
  <c r="K62" i="142" s="1"/>
  <c r="J97" i="142"/>
  <c r="J62" i="142"/>
  <c r="K131" i="142"/>
  <c r="J132" i="142"/>
  <c r="K323" i="142"/>
  <c r="J324" i="142"/>
  <c r="A29" i="144" l="1"/>
  <c r="A30" i="144" s="1"/>
  <c r="A31" i="144" s="1"/>
  <c r="A32" i="144" s="1"/>
  <c r="A33" i="144" s="1"/>
  <c r="G28" i="143"/>
  <c r="J133" i="142"/>
  <c r="K132" i="142"/>
  <c r="J197" i="142"/>
  <c r="K196" i="142"/>
  <c r="J292" i="142"/>
  <c r="K291" i="142"/>
  <c r="J260" i="142"/>
  <c r="K259" i="142"/>
  <c r="J356" i="142"/>
  <c r="K355" i="142"/>
  <c r="J98" i="142"/>
  <c r="K97" i="142"/>
  <c r="K63" i="142" s="1"/>
  <c r="J63" i="142"/>
  <c r="K227" i="142"/>
  <c r="J228" i="142"/>
  <c r="K162" i="142"/>
  <c r="J163" i="142"/>
  <c r="J388" i="142"/>
  <c r="K387" i="142"/>
  <c r="J325" i="142"/>
  <c r="K324" i="142"/>
  <c r="A34" i="144" l="1"/>
  <c r="A35" i="144" s="1"/>
  <c r="A36" i="144" s="1"/>
  <c r="A37" i="144" s="1"/>
  <c r="A38" i="144" s="1"/>
  <c r="A39" i="144" s="1"/>
  <c r="K98" i="142"/>
  <c r="K64" i="142" s="1"/>
  <c r="J99" i="142"/>
  <c r="J64" i="142"/>
  <c r="J198" i="142"/>
  <c r="K197" i="142"/>
  <c r="K292" i="142"/>
  <c r="J293" i="142"/>
  <c r="K325" i="142"/>
  <c r="J326" i="142"/>
  <c r="K228" i="142"/>
  <c r="J229" i="142"/>
  <c r="K260" i="142"/>
  <c r="J261" i="142"/>
  <c r="K388" i="142"/>
  <c r="J389" i="142"/>
  <c r="K163" i="142"/>
  <c r="J164" i="142"/>
  <c r="K356" i="142"/>
  <c r="J357" i="142"/>
  <c r="K133" i="142"/>
  <c r="J134" i="142"/>
  <c r="A40" i="144" l="1"/>
  <c r="A41" i="144" s="1"/>
  <c r="A42" i="144" s="1"/>
  <c r="A43" i="144" s="1"/>
  <c r="A44" i="144" s="1"/>
  <c r="A45" i="144" s="1"/>
  <c r="E35" i="144"/>
  <c r="E36" i="144"/>
  <c r="K389" i="142"/>
  <c r="J390" i="142"/>
  <c r="K99" i="142"/>
  <c r="K65" i="142" s="1"/>
  <c r="J65" i="142"/>
  <c r="J100" i="142"/>
  <c r="K164" i="142"/>
  <c r="J165" i="142"/>
  <c r="J262" i="142"/>
  <c r="K261" i="142"/>
  <c r="K326" i="142"/>
  <c r="J327" i="142"/>
  <c r="J199" i="142"/>
  <c r="K198" i="142"/>
  <c r="J358" i="142"/>
  <c r="K357" i="142"/>
  <c r="J230" i="142"/>
  <c r="K229" i="142"/>
  <c r="K293" i="142"/>
  <c r="J294" i="142"/>
  <c r="J135" i="142"/>
  <c r="K134" i="142"/>
  <c r="E48" i="144" l="1"/>
  <c r="A46" i="144"/>
  <c r="A47" i="144" s="1"/>
  <c r="A48" i="144" s="1"/>
  <c r="A49" i="144" s="1"/>
  <c r="A50" i="144" s="1"/>
  <c r="A51" i="144" s="1"/>
  <c r="E42" i="144"/>
  <c r="E41" i="144"/>
  <c r="K294" i="142"/>
  <c r="J295" i="142"/>
  <c r="K100" i="142"/>
  <c r="J101" i="142"/>
  <c r="J66" i="142"/>
  <c r="K390" i="142"/>
  <c r="J391" i="142"/>
  <c r="K165" i="142"/>
  <c r="J166" i="142"/>
  <c r="K230" i="142"/>
  <c r="J231" i="142"/>
  <c r="J200" i="142"/>
  <c r="K199" i="142"/>
  <c r="J359" i="142"/>
  <c r="K358" i="142"/>
  <c r="K262" i="142"/>
  <c r="J263" i="142"/>
  <c r="K135" i="142"/>
  <c r="J136" i="142"/>
  <c r="K327" i="142"/>
  <c r="J328" i="142"/>
  <c r="A52" i="144" l="1"/>
  <c r="A53" i="144" s="1"/>
  <c r="A54" i="144" s="1"/>
  <c r="A55" i="144" s="1"/>
  <c r="A56" i="144" s="1"/>
  <c r="A57" i="144" s="1"/>
  <c r="E53" i="144"/>
  <c r="E54" i="144"/>
  <c r="E47" i="144"/>
  <c r="K359" i="142"/>
  <c r="J360" i="142"/>
  <c r="K328" i="142"/>
  <c r="J329" i="142"/>
  <c r="J232" i="142"/>
  <c r="K231" i="142"/>
  <c r="J137" i="142"/>
  <c r="K136" i="142"/>
  <c r="K166" i="142"/>
  <c r="J167" i="142"/>
  <c r="J201" i="142"/>
  <c r="K200" i="142"/>
  <c r="K101" i="142"/>
  <c r="K67" i="142" s="1"/>
  <c r="J67" i="142"/>
  <c r="J102" i="142"/>
  <c r="J264" i="142"/>
  <c r="K263" i="142"/>
  <c r="J392" i="142"/>
  <c r="K391" i="142"/>
  <c r="K66" i="142"/>
  <c r="J296" i="142"/>
  <c r="K295" i="142"/>
  <c r="A58" i="144" l="1"/>
  <c r="A59" i="144" s="1"/>
  <c r="A60" i="144" s="1"/>
  <c r="A61" i="144" s="1"/>
  <c r="A62" i="144" s="1"/>
  <c r="A63" i="144" s="1"/>
  <c r="K137" i="142"/>
  <c r="J138" i="142"/>
  <c r="K264" i="142"/>
  <c r="J265" i="142"/>
  <c r="K296" i="142"/>
  <c r="J297" i="142"/>
  <c r="K102" i="142"/>
  <c r="K68" i="142" s="1"/>
  <c r="J68" i="142"/>
  <c r="J103" i="142"/>
  <c r="J202" i="142"/>
  <c r="K201" i="142"/>
  <c r="K232" i="142"/>
  <c r="J233" i="142"/>
  <c r="K392" i="142"/>
  <c r="J393" i="142"/>
  <c r="K167" i="142"/>
  <c r="J168" i="142"/>
  <c r="K329" i="142"/>
  <c r="J330" i="142"/>
  <c r="J361" i="142"/>
  <c r="K360" i="142"/>
  <c r="A64" i="144" l="1"/>
  <c r="A65" i="144" s="1"/>
  <c r="A66" i="144" s="1"/>
  <c r="A67" i="144" s="1"/>
  <c r="A68" i="144" s="1"/>
  <c r="A69" i="144" s="1"/>
  <c r="E59" i="144"/>
  <c r="E60" i="144"/>
  <c r="J331" i="142"/>
  <c r="K330" i="142"/>
  <c r="K393" i="142"/>
  <c r="J394" i="142"/>
  <c r="J266" i="142"/>
  <c r="K265" i="142"/>
  <c r="J139" i="142"/>
  <c r="K138" i="142"/>
  <c r="K361" i="142"/>
  <c r="J362" i="142"/>
  <c r="J203" i="142"/>
  <c r="K202" i="142"/>
  <c r="J169" i="142"/>
  <c r="K168" i="142"/>
  <c r="K233" i="142"/>
  <c r="J234" i="142"/>
  <c r="J104" i="142"/>
  <c r="J69" i="142"/>
  <c r="K103" i="142"/>
  <c r="K69" i="142" s="1"/>
  <c r="K297" i="142"/>
  <c r="J298" i="142"/>
  <c r="E66" i="144" l="1"/>
  <c r="E65" i="144"/>
  <c r="A70" i="144"/>
  <c r="A71" i="144" s="1"/>
  <c r="A72" i="144" s="1"/>
  <c r="A73" i="144" s="1"/>
  <c r="A74" i="144" s="1"/>
  <c r="A75" i="144" s="1"/>
  <c r="K234" i="142"/>
  <c r="J235" i="142"/>
  <c r="K394" i="142"/>
  <c r="J395" i="142"/>
  <c r="K139" i="142"/>
  <c r="J140" i="142"/>
  <c r="K298" i="142"/>
  <c r="J299" i="142"/>
  <c r="K104" i="142"/>
  <c r="J105" i="142"/>
  <c r="J70" i="142"/>
  <c r="K169" i="142"/>
  <c r="J170" i="142"/>
  <c r="K266" i="142"/>
  <c r="J267" i="142"/>
  <c r="K331" i="142"/>
  <c r="J332" i="142"/>
  <c r="J204" i="142"/>
  <c r="K203" i="142"/>
  <c r="J363" i="142"/>
  <c r="K362" i="142"/>
  <c r="A76" i="144" l="1"/>
  <c r="A77" i="144" s="1"/>
  <c r="A78" i="144" s="1"/>
  <c r="A79" i="144" s="1"/>
  <c r="A80" i="144" s="1"/>
  <c r="A81" i="144" s="1"/>
  <c r="E77" i="144"/>
  <c r="E78" i="144"/>
  <c r="E71" i="144"/>
  <c r="E72" i="144"/>
  <c r="K235" i="142"/>
  <c r="J236" i="142"/>
  <c r="K332" i="142"/>
  <c r="J333" i="142"/>
  <c r="K70" i="142"/>
  <c r="J396" i="142"/>
  <c r="K395" i="142"/>
  <c r="J268" i="142"/>
  <c r="K267" i="142"/>
  <c r="J205" i="142"/>
  <c r="K204" i="142"/>
  <c r="J106" i="142"/>
  <c r="J71" i="142"/>
  <c r="K105" i="142"/>
  <c r="K71" i="142" s="1"/>
  <c r="J141" i="142"/>
  <c r="K140" i="142"/>
  <c r="J171" i="142"/>
  <c r="K170" i="142"/>
  <c r="K363" i="142"/>
  <c r="J364" i="142"/>
  <c r="J300" i="142"/>
  <c r="K299" i="142"/>
  <c r="E84" i="144" l="1"/>
  <c r="A82" i="144"/>
  <c r="A83" i="144" s="1"/>
  <c r="A84" i="144" s="1"/>
  <c r="A85" i="144" s="1"/>
  <c r="A86" i="144" s="1"/>
  <c r="A87" i="144" s="1"/>
  <c r="J206" i="142"/>
  <c r="K205" i="142"/>
  <c r="K300" i="142"/>
  <c r="J301" i="142"/>
  <c r="K236" i="142"/>
  <c r="J237" i="142"/>
  <c r="J365" i="142"/>
  <c r="K364" i="142"/>
  <c r="K141" i="142"/>
  <c r="J142" i="142"/>
  <c r="K333" i="142"/>
  <c r="J334" i="142"/>
  <c r="K396" i="142"/>
  <c r="J397" i="142"/>
  <c r="K171" i="142"/>
  <c r="J172" i="142"/>
  <c r="K106" i="142"/>
  <c r="K72" i="142" s="1"/>
  <c r="J72" i="142"/>
  <c r="J107" i="142"/>
  <c r="K268" i="142"/>
  <c r="J269" i="142"/>
  <c r="A88" i="144" l="1"/>
  <c r="A89" i="144" s="1"/>
  <c r="A90" i="144" s="1"/>
  <c r="A91" i="144" s="1"/>
  <c r="A92" i="144" s="1"/>
  <c r="A93" i="144" s="1"/>
  <c r="E83" i="144"/>
  <c r="K365" i="142"/>
  <c r="J366" i="142"/>
  <c r="J270" i="142"/>
  <c r="K269" i="142"/>
  <c r="K397" i="142"/>
  <c r="J398" i="142"/>
  <c r="J143" i="142"/>
  <c r="K142" i="142"/>
  <c r="J238" i="142"/>
  <c r="K237" i="142"/>
  <c r="J207" i="142"/>
  <c r="K206" i="142"/>
  <c r="J73" i="142"/>
  <c r="K107" i="142"/>
  <c r="K73" i="142" s="1"/>
  <c r="J108" i="142"/>
  <c r="K172" i="142"/>
  <c r="J173" i="142"/>
  <c r="K334" i="142"/>
  <c r="J335" i="142"/>
  <c r="K301" i="142"/>
  <c r="J302" i="142"/>
  <c r="A94" i="144" l="1"/>
  <c r="A95" i="144" s="1"/>
  <c r="A96" i="144" s="1"/>
  <c r="A97" i="144" s="1"/>
  <c r="A98" i="144" s="1"/>
  <c r="A99" i="144" s="1"/>
  <c r="E90" i="144"/>
  <c r="E89" i="144"/>
  <c r="K335" i="142"/>
  <c r="J336" i="142"/>
  <c r="J208" i="142"/>
  <c r="K207" i="142"/>
  <c r="K143" i="142"/>
  <c r="J144" i="142"/>
  <c r="J367" i="142"/>
  <c r="K366" i="142"/>
  <c r="K302" i="142"/>
  <c r="J303" i="142"/>
  <c r="K108" i="142"/>
  <c r="K74" i="142" s="1"/>
  <c r="J109" i="142"/>
  <c r="J74" i="142"/>
  <c r="K270" i="142"/>
  <c r="J271" i="142"/>
  <c r="K398" i="142"/>
  <c r="J399" i="142"/>
  <c r="K173" i="142"/>
  <c r="J174" i="142"/>
  <c r="K238" i="142"/>
  <c r="J239" i="142"/>
  <c r="A100" i="144" l="1"/>
  <c r="A101" i="144" s="1"/>
  <c r="A102" i="144" s="1"/>
  <c r="A103" i="144" s="1"/>
  <c r="A104" i="144" s="1"/>
  <c r="A105" i="144" s="1"/>
  <c r="E95" i="144"/>
  <c r="E96" i="144"/>
  <c r="J209" i="142"/>
  <c r="K209" i="142" s="1"/>
  <c r="K208" i="142"/>
  <c r="J304" i="142"/>
  <c r="K304" i="142" s="1"/>
  <c r="K305" i="142" s="1"/>
  <c r="K303" i="142"/>
  <c r="J145" i="142"/>
  <c r="K145" i="142" s="1"/>
  <c r="K144" i="142"/>
  <c r="K336" i="142"/>
  <c r="J337" i="142"/>
  <c r="K337" i="142" s="1"/>
  <c r="J400" i="142"/>
  <c r="K399" i="142"/>
  <c r="J75" i="142"/>
  <c r="J110" i="142"/>
  <c r="K109" i="142"/>
  <c r="K75" i="142" s="1"/>
  <c r="J175" i="142"/>
  <c r="K174" i="142"/>
  <c r="J272" i="142"/>
  <c r="K271" i="142"/>
  <c r="K367" i="142"/>
  <c r="J368" i="142"/>
  <c r="K368" i="142" s="1"/>
  <c r="K369" i="142" s="1"/>
  <c r="J240" i="142"/>
  <c r="K240" i="142" s="1"/>
  <c r="K239" i="142"/>
  <c r="A106" i="144" l="1"/>
  <c r="A107" i="144" s="1"/>
  <c r="A108" i="144" s="1"/>
  <c r="A109" i="144" s="1"/>
  <c r="A110" i="144" s="1"/>
  <c r="A111" i="144" s="1"/>
  <c r="E102" i="144"/>
  <c r="E101" i="144"/>
  <c r="K400" i="142"/>
  <c r="J401" i="142"/>
  <c r="K401" i="142" s="1"/>
  <c r="K402" i="142" s="1"/>
  <c r="K210" i="142"/>
  <c r="K241" i="142"/>
  <c r="K272" i="142"/>
  <c r="J273" i="142"/>
  <c r="K273" i="142" s="1"/>
  <c r="K274" i="142" s="1"/>
  <c r="K110" i="142"/>
  <c r="K76" i="142" s="1"/>
  <c r="J76" i="142"/>
  <c r="J111" i="142"/>
  <c r="K338" i="142"/>
  <c r="K175" i="142"/>
  <c r="J176" i="142"/>
  <c r="K176" i="142" s="1"/>
  <c r="K146" i="142"/>
  <c r="E107" i="144" l="1"/>
  <c r="A112" i="144"/>
  <c r="A113" i="144" s="1"/>
  <c r="A114" i="144" s="1"/>
  <c r="A115" i="144" s="1"/>
  <c r="A116" i="144" s="1"/>
  <c r="A117" i="144" s="1"/>
  <c r="E113" i="144"/>
  <c r="E108" i="144"/>
  <c r="K177" i="142"/>
  <c r="J77" i="142"/>
  <c r="J112" i="142"/>
  <c r="K111" i="142"/>
  <c r="K77" i="142" s="1"/>
  <c r="E120" i="144" l="1"/>
  <c r="A118" i="144"/>
  <c r="A119" i="144" s="1"/>
  <c r="A120" i="144" s="1"/>
  <c r="A121" i="144" s="1"/>
  <c r="A122" i="144" s="1"/>
  <c r="A123" i="144" s="1"/>
  <c r="E114" i="144"/>
  <c r="K112" i="142"/>
  <c r="J78" i="142"/>
  <c r="A124" i="144" l="1"/>
  <c r="A125" i="144" s="1"/>
  <c r="A126" i="144" s="1"/>
  <c r="E119" i="144"/>
  <c r="K78" i="142"/>
  <c r="K79" i="142" s="1"/>
  <c r="K113" i="142"/>
  <c r="E126" i="144" l="1"/>
  <c r="E125" i="144"/>
  <c r="G15" i="144" l="1"/>
  <c r="F26" i="143" l="1"/>
  <c r="F27" i="143" s="1"/>
  <c r="G25" i="144"/>
  <c r="G23" i="144"/>
  <c r="G28" i="144" s="1"/>
  <c r="F28" i="143" s="1"/>
  <c r="F29" i="143" s="1"/>
  <c r="F30" i="143" l="1"/>
  <c r="Q12" i="86" l="1"/>
  <c r="P60" i="86" l="1"/>
  <c r="I12" i="86" l="1"/>
  <c r="K12" i="86" s="1"/>
  <c r="I13" i="86" s="1"/>
  <c r="J13" i="86" s="1"/>
  <c r="D12" i="86" l="1"/>
  <c r="K13" i="86"/>
  <c r="I14" i="86" s="1"/>
  <c r="J14" i="86" s="1"/>
  <c r="D13" i="86" l="1"/>
  <c r="D14" i="86" s="1"/>
  <c r="D15" i="86" s="1"/>
  <c r="D16" i="86" s="1"/>
  <c r="E12" i="86"/>
  <c r="K14" i="86"/>
  <c r="I15" i="86" s="1"/>
  <c r="J15" i="86" s="1"/>
  <c r="F12" i="86" l="1"/>
  <c r="G12" i="86" s="1"/>
  <c r="K15" i="86"/>
  <c r="I16" i="86" s="1"/>
  <c r="J16" i="86" s="1"/>
  <c r="O12" i="86"/>
  <c r="D17" i="86"/>
  <c r="M13" i="86" l="1"/>
  <c r="N13" i="86"/>
  <c r="S12" i="86"/>
  <c r="E13" i="86"/>
  <c r="F13" i="86" s="1"/>
  <c r="K16" i="86"/>
  <c r="I17" i="86" s="1"/>
  <c r="J17" i="86" s="1"/>
  <c r="D18" i="86"/>
  <c r="Q13" i="86" l="1"/>
  <c r="R13" i="86"/>
  <c r="G13" i="86"/>
  <c r="K17" i="86"/>
  <c r="I18" i="86" s="1"/>
  <c r="J18" i="86" s="1"/>
  <c r="O13" i="86"/>
  <c r="D19" i="86"/>
  <c r="M14" i="86" l="1"/>
  <c r="N14" i="86"/>
  <c r="S13" i="86"/>
  <c r="E14" i="86"/>
  <c r="F14" i="86" s="1"/>
  <c r="K18" i="86"/>
  <c r="I19" i="86" s="1"/>
  <c r="J19" i="86" s="1"/>
  <c r="D20" i="86"/>
  <c r="Q14" i="86" l="1"/>
  <c r="R14" i="86"/>
  <c r="G14" i="86"/>
  <c r="K19" i="86"/>
  <c r="I20" i="86" s="1"/>
  <c r="J20" i="86" s="1"/>
  <c r="O14" i="86"/>
  <c r="N15" i="86" s="1"/>
  <c r="D21" i="86"/>
  <c r="S14" i="86" l="1"/>
  <c r="E15" i="86"/>
  <c r="F15" i="86" s="1"/>
  <c r="G15" i="86" s="1"/>
  <c r="M15" i="86"/>
  <c r="K20" i="86"/>
  <c r="I21" i="86" s="1"/>
  <c r="J21" i="86" s="1"/>
  <c r="D22" i="86"/>
  <c r="S15" i="86" l="1"/>
  <c r="Q16" i="86" s="1"/>
  <c r="Q15" i="86"/>
  <c r="R15" i="86"/>
  <c r="R16" i="86"/>
  <c r="K21" i="86"/>
  <c r="I22" i="86" s="1"/>
  <c r="J22" i="86" s="1"/>
  <c r="E16" i="86"/>
  <c r="F16" i="86" s="1"/>
  <c r="O15" i="86"/>
  <c r="N16" i="86" s="1"/>
  <c r="D23" i="86"/>
  <c r="D60" i="86" s="1"/>
  <c r="M16" i="86" l="1"/>
  <c r="K22" i="86"/>
  <c r="I23" i="86" s="1"/>
  <c r="J23" i="86" s="1"/>
  <c r="G16" i="86"/>
  <c r="E17" i="86" l="1"/>
  <c r="S16" i="86"/>
  <c r="K23" i="86"/>
  <c r="O16" i="86"/>
  <c r="N17" i="86" s="1"/>
  <c r="F17" i="86" l="1"/>
  <c r="G17" i="86" s="1"/>
  <c r="E18" i="86" s="1"/>
  <c r="Q17" i="86"/>
  <c r="S17" i="86" s="1"/>
  <c r="R17" i="86"/>
  <c r="M17" i="86"/>
  <c r="O17" i="86"/>
  <c r="N18" i="86" s="1"/>
  <c r="F18" i="86" l="1"/>
  <c r="G18" i="86" s="1"/>
  <c r="E19" i="86" s="1"/>
  <c r="F19" i="86" s="1"/>
  <c r="Q18" i="86"/>
  <c r="R18" i="86"/>
  <c r="M18" i="86"/>
  <c r="O18" i="86" s="1"/>
  <c r="N19" i="86" s="1"/>
  <c r="S18" i="86" l="1"/>
  <c r="Q19" i="86" s="1"/>
  <c r="G19" i="86"/>
  <c r="E20" i="86" s="1"/>
  <c r="F20" i="86" s="1"/>
  <c r="M19" i="86"/>
  <c r="S19" i="86" l="1"/>
  <c r="R19" i="86"/>
  <c r="G20" i="86"/>
  <c r="E21" i="86" s="1"/>
  <c r="F21" i="86" s="1"/>
  <c r="Q20" i="86"/>
  <c r="R20" i="86"/>
  <c r="O19" i="86"/>
  <c r="N20" i="86" s="1"/>
  <c r="D8" i="106"/>
  <c r="L36" i="86" s="1"/>
  <c r="S20" i="86" l="1"/>
  <c r="R21" i="86" s="1"/>
  <c r="G21" i="86"/>
  <c r="E22" i="86" s="1"/>
  <c r="F22" i="86" s="1"/>
  <c r="Q21" i="86"/>
  <c r="L37" i="86"/>
  <c r="M20" i="86"/>
  <c r="S21" i="86" l="1"/>
  <c r="Q22" i="86" s="1"/>
  <c r="S22" i="86" s="1"/>
  <c r="G22" i="86"/>
  <c r="E23" i="86" s="1"/>
  <c r="F23" i="86" s="1"/>
  <c r="L38" i="86"/>
  <c r="R22" i="86"/>
  <c r="O20" i="86"/>
  <c r="N21" i="86" s="1"/>
  <c r="G23" i="86" l="1"/>
  <c r="E24" i="86" s="1"/>
  <c r="F24" i="86" s="1"/>
  <c r="L39" i="86"/>
  <c r="L40" i="86" s="1"/>
  <c r="L41" i="86" s="1"/>
  <c r="L42" i="86" s="1"/>
  <c r="L43" i="86" s="1"/>
  <c r="L44" i="86" s="1"/>
  <c r="L45" i="86" s="1"/>
  <c r="L46" i="86" s="1"/>
  <c r="L47" i="86" s="1"/>
  <c r="Q23" i="86"/>
  <c r="R23" i="86"/>
  <c r="M21" i="86"/>
  <c r="S23" i="86" l="1"/>
  <c r="Q24" i="86" s="1"/>
  <c r="L60" i="86"/>
  <c r="O21" i="86"/>
  <c r="N22" i="86" s="1"/>
  <c r="E42" i="100" l="1"/>
  <c r="R24" i="86"/>
  <c r="M22" i="86"/>
  <c r="E57" i="100" l="1"/>
  <c r="O22" i="86"/>
  <c r="N23" i="86" s="1"/>
  <c r="M23" i="86" l="1"/>
  <c r="O23" i="86" l="1"/>
  <c r="N24" i="86" s="1"/>
  <c r="M24" i="86" l="1"/>
  <c r="D8" i="101" l="1"/>
  <c r="H24" i="86" l="1"/>
  <c r="H25" i="86" l="1"/>
  <c r="H26" i="86" s="1"/>
  <c r="H27" i="86" s="1"/>
  <c r="H28" i="86" s="1"/>
  <c r="H29" i="86" s="1"/>
  <c r="H30" i="86" s="1"/>
  <c r="H31" i="86" s="1"/>
  <c r="H32" i="86" s="1"/>
  <c r="H33" i="86" s="1"/>
  <c r="H34" i="86" s="1"/>
  <c r="H35" i="86" s="1"/>
  <c r="I24" i="86"/>
  <c r="J24" i="86" s="1"/>
  <c r="H60" i="86" l="1"/>
  <c r="K24" i="86"/>
  <c r="I25" i="86" l="1"/>
  <c r="J25" i="86" s="1"/>
  <c r="K25" i="86" l="1"/>
  <c r="I26" i="86" s="1"/>
  <c r="J26" i="86" s="1"/>
  <c r="K26" i="86" l="1"/>
  <c r="I27" i="86" s="1"/>
  <c r="J27" i="86" s="1"/>
  <c r="K27" i="86" l="1"/>
  <c r="I28" i="86" s="1"/>
  <c r="J28" i="86" s="1"/>
  <c r="K28" i="86" l="1"/>
  <c r="I29" i="86" s="1"/>
  <c r="J29" i="86" s="1"/>
  <c r="K29" i="86" l="1"/>
  <c r="I30" i="86" s="1"/>
  <c r="J30" i="86" s="1"/>
  <c r="K30" i="86" l="1"/>
  <c r="I31" i="86" s="1"/>
  <c r="J31" i="86" s="1"/>
  <c r="K31" i="86" l="1"/>
  <c r="I32" i="86" s="1"/>
  <c r="J32" i="86" s="1"/>
  <c r="K32" i="86" l="1"/>
  <c r="I33" i="86" s="1"/>
  <c r="J33" i="86" s="1"/>
  <c r="K33" i="86" l="1"/>
  <c r="I34" i="86" s="1"/>
  <c r="J34" i="86" s="1"/>
  <c r="K34" i="86" l="1"/>
  <c r="I35" i="86" s="1"/>
  <c r="J35" i="86" s="1"/>
  <c r="K35" i="86" l="1"/>
  <c r="I36" i="86" s="1"/>
  <c r="J36" i="86" s="1"/>
  <c r="K36" i="86" l="1"/>
  <c r="I37" i="86" s="1"/>
  <c r="J37" i="86" s="1"/>
  <c r="K37" i="86" l="1"/>
  <c r="I38" i="86" s="1"/>
  <c r="J38" i="86" s="1"/>
  <c r="K38" i="86" l="1"/>
  <c r="I39" i="86" s="1"/>
  <c r="J39" i="86" s="1"/>
  <c r="K39" i="86" l="1"/>
  <c r="I40" i="86" s="1"/>
  <c r="J40" i="86" s="1"/>
  <c r="K40" i="86" l="1"/>
  <c r="I41" i="86" s="1"/>
  <c r="J41" i="86" s="1"/>
  <c r="K41" i="86" l="1"/>
  <c r="I42" i="86" s="1"/>
  <c r="J42" i="86" s="1"/>
  <c r="K42" i="86" l="1"/>
  <c r="I43" i="86" s="1"/>
  <c r="J43" i="86" s="1"/>
  <c r="G24" i="86"/>
  <c r="E25" i="86" l="1"/>
  <c r="F25" i="86" s="1"/>
  <c r="S24" i="86"/>
  <c r="K43" i="86"/>
  <c r="I44" i="86" s="1"/>
  <c r="J44" i="86" s="1"/>
  <c r="O24" i="86"/>
  <c r="N25" i="86" s="1"/>
  <c r="Q25" i="86" l="1"/>
  <c r="R25" i="86"/>
  <c r="M25" i="86"/>
  <c r="G25" i="86"/>
  <c r="K44" i="86"/>
  <c r="I45" i="86" s="1"/>
  <c r="J45" i="86" s="1"/>
  <c r="S25" i="86" l="1"/>
  <c r="E26" i="86"/>
  <c r="O25" i="86"/>
  <c r="N26" i="86" s="1"/>
  <c r="K45" i="86"/>
  <c r="I46" i="86" s="1"/>
  <c r="J46" i="86" s="1"/>
  <c r="Q26" i="86" l="1"/>
  <c r="R26" i="86"/>
  <c r="F26" i="86"/>
  <c r="G26" i="86" s="1"/>
  <c r="E27" i="86" s="1"/>
  <c r="M26" i="86"/>
  <c r="K46" i="86"/>
  <c r="I47" i="86" s="1"/>
  <c r="J47" i="86" s="1"/>
  <c r="S26" i="86" l="1"/>
  <c r="Q27" i="86" s="1"/>
  <c r="F27" i="86"/>
  <c r="G27" i="86" s="1"/>
  <c r="E28" i="86" s="1"/>
  <c r="O26" i="86"/>
  <c r="N27" i="86" s="1"/>
  <c r="K47" i="86"/>
  <c r="R27" i="86" l="1"/>
  <c r="S27" i="86" s="1"/>
  <c r="Q28" i="86" s="1"/>
  <c r="F28" i="86"/>
  <c r="G28" i="86" s="1"/>
  <c r="E29" i="86" s="1"/>
  <c r="F29" i="86" s="1"/>
  <c r="M27" i="86"/>
  <c r="I48" i="86"/>
  <c r="J48" i="86" s="1"/>
  <c r="S28" i="86" l="1"/>
  <c r="Q29" i="86" s="1"/>
  <c r="S29" i="86" s="1"/>
  <c r="R28" i="86"/>
  <c r="G29" i="86"/>
  <c r="E30" i="86" s="1"/>
  <c r="F30" i="86" s="1"/>
  <c r="G30" i="86" s="1"/>
  <c r="E31" i="86" s="1"/>
  <c r="F31" i="86" s="1"/>
  <c r="R29" i="86"/>
  <c r="K48" i="86"/>
  <c r="I49" i="86" s="1"/>
  <c r="J49" i="86" s="1"/>
  <c r="O27" i="86"/>
  <c r="N28" i="86" s="1"/>
  <c r="Q30" i="86" l="1"/>
  <c r="R30" i="86"/>
  <c r="S30" i="86" s="1"/>
  <c r="M28" i="86"/>
  <c r="K49" i="86"/>
  <c r="I50" i="86" s="1"/>
  <c r="J50" i="86" s="1"/>
  <c r="G31" i="86"/>
  <c r="E32" i="86" s="1"/>
  <c r="F32" i="86" s="1"/>
  <c r="Q31" i="86" l="1"/>
  <c r="R31" i="86"/>
  <c r="K50" i="86"/>
  <c r="I51" i="86" s="1"/>
  <c r="J51" i="86" s="1"/>
  <c r="G32" i="86"/>
  <c r="E33" i="86" s="1"/>
  <c r="F33" i="86" s="1"/>
  <c r="O28" i="86"/>
  <c r="N29" i="86" s="1"/>
  <c r="S31" i="86" l="1"/>
  <c r="Q32" i="86" s="1"/>
  <c r="M29" i="86"/>
  <c r="K51" i="86"/>
  <c r="I52" i="86" s="1"/>
  <c r="J52" i="86" s="1"/>
  <c r="G33" i="86"/>
  <c r="E34" i="86" s="1"/>
  <c r="F34" i="86" s="1"/>
  <c r="S32" i="86" l="1"/>
  <c r="Q33" i="86" s="1"/>
  <c r="R32" i="86"/>
  <c r="K52" i="86"/>
  <c r="I53" i="86" s="1"/>
  <c r="J53" i="86" s="1"/>
  <c r="G34" i="86"/>
  <c r="E35" i="86" s="1"/>
  <c r="F35" i="86" s="1"/>
  <c r="O29" i="86"/>
  <c r="N30" i="86" s="1"/>
  <c r="R33" i="86" l="1"/>
  <c r="S33" i="86" s="1"/>
  <c r="M30" i="86"/>
  <c r="K53" i="86"/>
  <c r="I54" i="86" s="1"/>
  <c r="J54" i="86" s="1"/>
  <c r="G35" i="86"/>
  <c r="E36" i="86" s="1"/>
  <c r="F36" i="86" s="1"/>
  <c r="Q34" i="86" l="1"/>
  <c r="R34" i="86"/>
  <c r="K54" i="86"/>
  <c r="I55" i="86" s="1"/>
  <c r="J55" i="86" s="1"/>
  <c r="G36" i="86"/>
  <c r="E37" i="86" s="1"/>
  <c r="F37" i="86" s="1"/>
  <c r="O30" i="86"/>
  <c r="N31" i="86" s="1"/>
  <c r="S34" i="86" l="1"/>
  <c r="M31" i="86"/>
  <c r="K55" i="86"/>
  <c r="I56" i="86" s="1"/>
  <c r="J56" i="86" s="1"/>
  <c r="G37" i="86"/>
  <c r="E38" i="86" s="1"/>
  <c r="F38" i="86" s="1"/>
  <c r="Q35" i="86" l="1"/>
  <c r="S35" i="86" s="1"/>
  <c r="R35" i="86"/>
  <c r="K56" i="86"/>
  <c r="I57" i="86" s="1"/>
  <c r="J57" i="86" s="1"/>
  <c r="G38" i="86"/>
  <c r="E39" i="86" s="1"/>
  <c r="F39" i="86" s="1"/>
  <c r="O31" i="86"/>
  <c r="N32" i="86" s="1"/>
  <c r="R36" i="86" l="1"/>
  <c r="Q36" i="86"/>
  <c r="M32" i="86"/>
  <c r="K57" i="86"/>
  <c r="I58" i="86" s="1"/>
  <c r="J58" i="86" s="1"/>
  <c r="G39" i="86"/>
  <c r="E40" i="86" s="1"/>
  <c r="F40" i="86" s="1"/>
  <c r="S36" i="86" l="1"/>
  <c r="K58" i="86"/>
  <c r="I59" i="86" s="1"/>
  <c r="J59" i="86" s="1"/>
  <c r="G40" i="86"/>
  <c r="E41" i="86" s="1"/>
  <c r="F41" i="86" s="1"/>
  <c r="O32" i="86"/>
  <c r="N33" i="86" s="1"/>
  <c r="Q37" i="86" l="1"/>
  <c r="R37" i="86"/>
  <c r="M33" i="86"/>
  <c r="K59" i="86"/>
  <c r="K60" i="86" s="1"/>
  <c r="F29" i="100" s="1"/>
  <c r="G41" i="86"/>
  <c r="E42" i="86" s="1"/>
  <c r="F42" i="86" s="1"/>
  <c r="F25" i="100" l="1"/>
  <c r="F27" i="100"/>
  <c r="F23" i="100"/>
  <c r="F21" i="100"/>
  <c r="F19" i="100"/>
  <c r="S37" i="86"/>
  <c r="G42" i="86"/>
  <c r="E43" i="86" s="1"/>
  <c r="F43" i="86" s="1"/>
  <c r="O33" i="86"/>
  <c r="N34" i="86" s="1"/>
  <c r="Q38" i="86" l="1"/>
  <c r="R38" i="86"/>
  <c r="M34" i="86"/>
  <c r="G43" i="86"/>
  <c r="E44" i="86" s="1"/>
  <c r="F44" i="86" s="1"/>
  <c r="S38" i="86" l="1"/>
  <c r="G44" i="86"/>
  <c r="E45" i="86" s="1"/>
  <c r="F45" i="86" s="1"/>
  <c r="O34" i="86"/>
  <c r="N35" i="86" s="1"/>
  <c r="Q39" i="86" l="1"/>
  <c r="R39" i="86"/>
  <c r="M35" i="86"/>
  <c r="G45" i="86"/>
  <c r="E46" i="86" s="1"/>
  <c r="F46" i="86" s="1"/>
  <c r="S39" i="86" l="1"/>
  <c r="G46" i="86"/>
  <c r="E47" i="86" s="1"/>
  <c r="F47" i="86" s="1"/>
  <c r="O35" i="86"/>
  <c r="Q40" i="86" l="1"/>
  <c r="R40" i="86"/>
  <c r="S40" i="86" s="1"/>
  <c r="N36" i="86"/>
  <c r="M36" i="86"/>
  <c r="O36" i="86"/>
  <c r="N37" i="86" s="1"/>
  <c r="G47" i="86"/>
  <c r="Q41" i="86" l="1"/>
  <c r="R41" i="86"/>
  <c r="M37" i="86"/>
  <c r="O37" i="86" s="1"/>
  <c r="N38" i="86" s="1"/>
  <c r="E48" i="86"/>
  <c r="F48" i="86" s="1"/>
  <c r="S41" i="86" l="1"/>
  <c r="M38" i="86"/>
  <c r="O38" i="86" s="1"/>
  <c r="N39" i="86" s="1"/>
  <c r="G48" i="86"/>
  <c r="E49" i="86" s="1"/>
  <c r="F49" i="86" s="1"/>
  <c r="Q42" i="86" l="1"/>
  <c r="R42" i="86"/>
  <c r="M39" i="86"/>
  <c r="O39" i="86" s="1"/>
  <c r="N40" i="86" s="1"/>
  <c r="G49" i="86"/>
  <c r="E50" i="86" s="1"/>
  <c r="F50" i="86" s="1"/>
  <c r="S42" i="86" l="1"/>
  <c r="M40" i="86"/>
  <c r="O40" i="86" s="1"/>
  <c r="N41" i="86" s="1"/>
  <c r="G50" i="86"/>
  <c r="E51" i="86" s="1"/>
  <c r="F51" i="86" s="1"/>
  <c r="Q43" i="86" l="1"/>
  <c r="S43" i="86" s="1"/>
  <c r="R43" i="86"/>
  <c r="M41" i="86"/>
  <c r="O41" i="86" s="1"/>
  <c r="N42" i="86" s="1"/>
  <c r="G51" i="86"/>
  <c r="E52" i="86" s="1"/>
  <c r="F52" i="86" s="1"/>
  <c r="Q44" i="86" l="1"/>
  <c r="S44" i="86" s="1"/>
  <c r="R44" i="86"/>
  <c r="M42" i="86"/>
  <c r="O42" i="86" s="1"/>
  <c r="N43" i="86" s="1"/>
  <c r="G52" i="86"/>
  <c r="E53" i="86" s="1"/>
  <c r="F53" i="86" s="1"/>
  <c r="Q45" i="86" l="1"/>
  <c r="S45" i="86" s="1"/>
  <c r="R45" i="86"/>
  <c r="M43" i="86"/>
  <c r="O43" i="86" s="1"/>
  <c r="N44" i="86" s="1"/>
  <c r="G53" i="86"/>
  <c r="E54" i="86" s="1"/>
  <c r="F54" i="86" s="1"/>
  <c r="Q46" i="86" l="1"/>
  <c r="R46" i="86"/>
  <c r="M44" i="86"/>
  <c r="O44" i="86" s="1"/>
  <c r="N45" i="86" s="1"/>
  <c r="G54" i="86"/>
  <c r="E55" i="86" s="1"/>
  <c r="F55" i="86" s="1"/>
  <c r="S46" i="86" l="1"/>
  <c r="M45" i="86"/>
  <c r="O45" i="86" s="1"/>
  <c r="N46" i="86" s="1"/>
  <c r="G55" i="86"/>
  <c r="E56" i="86" s="1"/>
  <c r="F56" i="86" s="1"/>
  <c r="Q47" i="86" l="1"/>
  <c r="S47" i="86" s="1"/>
  <c r="R47" i="86"/>
  <c r="M46" i="86"/>
  <c r="O46" i="86" s="1"/>
  <c r="N47" i="86" s="1"/>
  <c r="G56" i="86"/>
  <c r="E57" i="86" s="1"/>
  <c r="F57" i="86" s="1"/>
  <c r="R48" i="86" l="1"/>
  <c r="Q48" i="86"/>
  <c r="M47" i="86"/>
  <c r="O47" i="86" s="1"/>
  <c r="N48" i="86" s="1"/>
  <c r="G57" i="86"/>
  <c r="E58" i="86" s="1"/>
  <c r="F58" i="86" s="1"/>
  <c r="S48" i="86" l="1"/>
  <c r="G58" i="86"/>
  <c r="E59" i="86" s="1"/>
  <c r="F59" i="86" s="1"/>
  <c r="M48" i="86"/>
  <c r="R49" i="86" l="1"/>
  <c r="Q49" i="86"/>
  <c r="G59" i="86"/>
  <c r="G60" i="86" s="1"/>
  <c r="O48" i="86"/>
  <c r="N49" i="86" s="1"/>
  <c r="S49" i="86" l="1"/>
  <c r="M49" i="86"/>
  <c r="O49" i="86" s="1"/>
  <c r="N50" i="86" s="1"/>
  <c r="F16" i="100"/>
  <c r="F6" i="100" s="1"/>
  <c r="Q50" i="86" l="1"/>
  <c r="R50" i="86"/>
  <c r="F8" i="100"/>
  <c r="F14" i="100"/>
  <c r="F12" i="100"/>
  <c r="F10" i="100"/>
  <c r="M50" i="86"/>
  <c r="O50" i="86" s="1"/>
  <c r="N51" i="86" s="1"/>
  <c r="S50" i="86" l="1"/>
  <c r="M51" i="86"/>
  <c r="O51" i="86" s="1"/>
  <c r="N52" i="86" s="1"/>
  <c r="Q51" i="86" l="1"/>
  <c r="R51" i="86"/>
  <c r="M52" i="86"/>
  <c r="O52" i="86" s="1"/>
  <c r="N53" i="86" s="1"/>
  <c r="S51" i="86" l="1"/>
  <c r="R52" i="86" s="1"/>
  <c r="M53" i="86"/>
  <c r="O53" i="86" s="1"/>
  <c r="N54" i="86" s="1"/>
  <c r="Q52" i="86" l="1"/>
  <c r="S52" i="86"/>
  <c r="M54" i="86"/>
  <c r="O54" i="86" s="1"/>
  <c r="N55" i="86" s="1"/>
  <c r="Q53" i="86" l="1"/>
  <c r="R53" i="86"/>
  <c r="M55" i="86"/>
  <c r="O55" i="86" s="1"/>
  <c r="N56" i="86" s="1"/>
  <c r="S53" i="86" l="1"/>
  <c r="M56" i="86"/>
  <c r="O56" i="86" s="1"/>
  <c r="N57" i="86" s="1"/>
  <c r="Q54" i="86" l="1"/>
  <c r="R54" i="86"/>
  <c r="M57" i="86"/>
  <c r="O57" i="86" s="1"/>
  <c r="N58" i="86" s="1"/>
  <c r="S54" i="86" l="1"/>
  <c r="Q55" i="86" s="1"/>
  <c r="S55" i="86" s="1"/>
  <c r="R55" i="86"/>
  <c r="M58" i="86"/>
  <c r="O58" i="86" s="1"/>
  <c r="N59" i="86" s="1"/>
  <c r="Q56" i="86" l="1"/>
  <c r="R56" i="86"/>
  <c r="S56" i="86" s="1"/>
  <c r="M59" i="86"/>
  <c r="O59" i="86" s="1"/>
  <c r="O60" i="86" l="1"/>
  <c r="F42" i="100" s="1"/>
  <c r="R57" i="86"/>
  <c r="Q57" i="86"/>
  <c r="S57" i="86" s="1"/>
  <c r="F40" i="100" l="1"/>
  <c r="F38" i="100"/>
  <c r="F34" i="100"/>
  <c r="F32" i="100"/>
  <c r="F36" i="100"/>
  <c r="Q58" i="86"/>
  <c r="R58" i="86"/>
  <c r="S58" i="86" l="1"/>
  <c r="Q59" i="86" l="1"/>
  <c r="R59" i="86"/>
  <c r="S59" i="86" l="1"/>
  <c r="S60" i="86" s="1"/>
  <c r="S61" i="86" l="1"/>
  <c r="F55" i="100"/>
  <c r="F47" i="100" l="1"/>
  <c r="F51" i="100"/>
  <c r="F53" i="100"/>
  <c r="F45" i="100"/>
  <c r="F49" i="100"/>
  <c r="F57" i="100"/>
</calcChain>
</file>

<file path=xl/comments1.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-$22,628,839 to -$22,736,339 to true-up estimated issuance cost to reflect actual.</t>
        </r>
      </text>
    </comment>
  </commentList>
</comments>
</file>

<file path=xl/comments10.xml><?xml version="1.0" encoding="utf-8"?>
<comments xmlns="http://schemas.openxmlformats.org/spreadsheetml/2006/main">
  <authors>
    <author>Kim, Jee Young</author>
  </authors>
  <commentList>
    <comment ref="F13" authorId="0" shapeId="0">
      <text>
        <r>
          <rPr>
            <b/>
            <sz val="9"/>
            <color indexed="81"/>
            <rFont val="Tahoma"/>
            <family val="2"/>
          </rPr>
          <t>Changed 13 Month Average from $356,461,039 to $356,447,199 to remove non-CWIP related activity from DCR.</t>
        </r>
      </text>
    </comment>
    <comment ref="E33" authorId="0" shapeId="0">
      <text>
        <r>
          <rPr>
            <b/>
            <sz val="9"/>
            <color indexed="81"/>
            <rFont val="Tahoma"/>
            <family val="2"/>
          </rPr>
          <t>Changed 13 Month Average from $26,224,814 to $26,096,372 to remove non-CWIP related activity from CRS.</t>
        </r>
      </text>
    </comment>
  </commentList>
</comments>
</file>

<file path=xl/comments11.xml><?xml version="1.0" encoding="utf-8"?>
<comments xmlns="http://schemas.openxmlformats.org/spreadsheetml/2006/main">
  <authors>
    <author>Kim, Jee Young</author>
  </authors>
  <commentList>
    <comment ref="E160" authorId="0" shapeId="0">
      <text>
        <r>
          <rPr>
            <b/>
            <sz val="9"/>
            <color indexed="81"/>
            <rFont val="Tahoma"/>
            <family val="2"/>
          </rPr>
          <t>Changed total plant in-service from $4,049,392,189 to $4,048,792,470 to remove non-CWIP related activity from DCR.</t>
        </r>
      </text>
    </comment>
    <comment ref="F161" authorId="0" shapeId="0">
      <text>
        <r>
          <rPr>
            <b/>
            <sz val="9"/>
            <color indexed="81"/>
            <rFont val="Tahoma"/>
            <family val="2"/>
          </rPr>
          <t>Changed total accumulated depreciation from $22,104,325 to $22,098,770 to remove non-CWIP related activity from DCR.</t>
        </r>
      </text>
    </comment>
    <comment ref="E258" authorId="0" shapeId="0">
      <text>
        <r>
          <rPr>
            <b/>
            <sz val="9"/>
            <color indexed="81"/>
            <rFont val="Tahoma"/>
            <family val="2"/>
          </rPr>
          <t>Changed total plant in-service from $470,096,182 to $467,454,200 to remove non-CWIP related activity from CRS.</t>
        </r>
      </text>
    </comment>
    <comment ref="F259" authorId="0" shapeId="0">
      <text>
        <r>
          <rPr>
            <b/>
            <sz val="9"/>
            <color indexed="81"/>
            <rFont val="Tahoma"/>
            <family val="2"/>
          </rPr>
          <t>Changed total accumulated depreciation from $2,902,660 to $2,885,978 to remove non-CWIP related activity from DCR.</t>
        </r>
      </text>
    </comment>
  </commentList>
</comments>
</file>

<file path=xl/comments12.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$8,226,095. Added $672,468 of Outside Services Cost associated with the completion of the proceedings. </t>
        </r>
      </text>
    </comment>
  </commentList>
</comments>
</file>

<file path=xl/comments13.xml><?xml version="1.0" encoding="utf-8"?>
<comments xmlns="http://schemas.openxmlformats.org/spreadsheetml/2006/main">
  <authors>
    <author>Kim, Jee Young</author>
  </authors>
  <commentList>
    <comment ref="D51" authorId="0" shapeId="0">
      <text>
        <r>
          <rPr>
            <b/>
            <sz val="9"/>
            <color indexed="81"/>
            <rFont val="Tahoma"/>
            <family val="2"/>
          </rPr>
          <t>Changed from 5,591 to 5,560 to reflect Hoover-Mead lines No. 2 and 3 reclassification from ISO to Non-ISO.</t>
        </r>
      </text>
    </comment>
    <comment ref="D52" authorId="0" shapeId="0">
      <text>
        <r>
          <rPr>
            <b/>
            <sz val="9"/>
            <color indexed="81"/>
            <rFont val="Tahoma"/>
            <family val="2"/>
          </rPr>
          <t>Changed from 6,494 to 6,526 to reflect Hoover-Mead lines No. 2 and 3 reclassification from ISO to Non-ISO.</t>
        </r>
      </text>
    </comment>
    <comment ref="D76" authorId="0" shapeId="0">
      <text>
        <r>
          <rPr>
            <b/>
            <sz val="9"/>
            <color indexed="81"/>
            <rFont val="Tahoma"/>
            <family val="2"/>
          </rPr>
          <t>Value changed from 484 to 477 to reflect transformer count revision.</t>
        </r>
        <r>
          <rPr>
            <sz val="9"/>
            <color indexed="81"/>
            <rFont val="Tahoma"/>
            <family val="2"/>
          </rPr>
          <t xml:space="preserve">
</t>
        </r>
      </text>
    </comment>
    <comment ref="D82" authorId="0" shapeId="0">
      <text>
        <r>
          <rPr>
            <b/>
            <sz val="9"/>
            <color indexed="81"/>
            <rFont val="Tahoma"/>
            <family val="2"/>
          </rPr>
          <t>Value changed from 2,241 to 2,038 to reflect circuit breaker count revision.</t>
        </r>
      </text>
    </comment>
    <comment ref="D88" authorId="0" shapeId="0">
      <text>
        <r>
          <rPr>
            <b/>
            <sz val="9"/>
            <color indexed="81"/>
            <rFont val="Tahoma"/>
            <family val="2"/>
          </rPr>
          <t>Value changed from 145 to 148 to reflect voltage control equipment count revision.</t>
        </r>
        <r>
          <rPr>
            <sz val="9"/>
            <color indexed="81"/>
            <rFont val="Tahoma"/>
            <family val="2"/>
          </rPr>
          <t xml:space="preserve">
</t>
        </r>
      </text>
    </comment>
    <comment ref="D105" authorId="0" shapeId="0">
      <text>
        <r>
          <rPr>
            <b/>
            <sz val="9"/>
            <color indexed="81"/>
            <rFont val="Tahoma"/>
            <family val="2"/>
          </rPr>
          <t>Value changed from 536,975 to 544,370 to reflect facility property damage count revision.</t>
        </r>
        <r>
          <rPr>
            <sz val="9"/>
            <color indexed="81"/>
            <rFont val="Tahoma"/>
            <family val="2"/>
          </rPr>
          <t xml:space="preserve">
</t>
        </r>
      </text>
    </comment>
    <comment ref="D106" authorId="0" shapeId="0">
      <text>
        <r>
          <rPr>
            <b/>
            <sz val="9"/>
            <color indexed="81"/>
            <rFont val="Tahoma"/>
            <family val="2"/>
          </rPr>
          <t>Value changed from 767,143 to 759,749 to reflect transformer count revision.</t>
        </r>
        <r>
          <rPr>
            <sz val="9"/>
            <color indexed="81"/>
            <rFont val="Tahoma"/>
            <family val="2"/>
          </rPr>
          <t xml:space="preserve">
</t>
        </r>
      </text>
    </comment>
    <comment ref="D112" authorId="0" shapeId="0">
      <text>
        <r>
          <rPr>
            <b/>
            <sz val="9"/>
            <color indexed="81"/>
            <rFont val="Tahoma"/>
            <family val="2"/>
          </rPr>
          <t>Value changed from 2,336 to 2,322 to reflect circuit breaker count revision.</t>
        </r>
      </text>
    </comment>
    <comment ref="D118" authorId="0" shapeId="0">
      <text>
        <r>
          <rPr>
            <b/>
            <sz val="9"/>
            <color indexed="81"/>
            <rFont val="Tahoma"/>
            <family val="2"/>
          </rPr>
          <t>Value changed from 8,989 to 8,848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2,323 to 2,286 to reflect voltage control equipment count revision.</t>
        </r>
      </text>
    </comment>
  </commentList>
</comments>
</file>

<file path=xl/comments14.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-$43,335,730 to -$38,151,559 to true-up estimated issuance cost to reflect actual.</t>
        </r>
      </text>
    </comment>
    <comment ref="D28" authorId="0" shapeId="0">
      <text>
        <r>
          <rPr>
            <b/>
            <sz val="9"/>
            <color indexed="81"/>
            <rFont val="Tahoma"/>
            <family val="2"/>
          </rPr>
          <t>Changed Net Gain (Loss) from Purchase and Tender Offers 13 Month Average from -$1,149,302 to -$6,379,265 to true-up estimated issuance cost to reflect actual.</t>
        </r>
      </text>
    </comment>
    <comment ref="C73" authorId="0" shapeId="0">
      <text>
        <r>
          <rPr>
            <b/>
            <sz val="9"/>
            <color indexed="81"/>
            <rFont val="Tahoma"/>
            <charset val="1"/>
          </rPr>
          <t>Added redemption of Series B and C in 2014.</t>
        </r>
      </text>
    </comment>
  </commentList>
</comments>
</file>

<file path=xl/comments15.xml><?xml version="1.0" encoding="utf-8"?>
<comments xmlns="http://schemas.openxmlformats.org/spreadsheetml/2006/main">
  <authors>
    <author>Kim, Jee Young</author>
  </authors>
  <commentList>
    <comment ref="E15" authorId="0" shapeId="0">
      <text>
        <r>
          <rPr>
            <b/>
            <sz val="9"/>
            <color indexed="81"/>
            <rFont val="Tahoma"/>
            <family val="2"/>
          </rPr>
          <t>Changed from $234,181,201 to $234,173,937 to reflect Hoover-Mead lines No. 2 and 3 reclassification from ISO to Non-ISO.</t>
        </r>
      </text>
    </comment>
    <comment ref="E20" authorId="0" shapeId="0">
      <text>
        <r>
          <rPr>
            <b/>
            <sz val="9"/>
            <color indexed="81"/>
            <rFont val="Tahoma"/>
            <family val="2"/>
          </rPr>
          <t>Changed from $1,785,929,479 to $1,785,692,481 to reflect Hoover-Mead lines No. 2 and 3 reclassification from ISO to Non-ISO.</t>
        </r>
      </text>
    </comment>
    <comment ref="E21" authorId="0" shapeId="0">
      <text>
        <r>
          <rPr>
            <b/>
            <sz val="9"/>
            <color indexed="81"/>
            <rFont val="Tahoma"/>
            <family val="2"/>
          </rPr>
          <t>Changed from $230,528,301 to $230,375,816 to reflect Hoover-Mead lines No. 2 and 3 reclassification from ISO to Non-ISO.</t>
        </r>
      </text>
    </comment>
    <comment ref="E22" authorId="0" shapeId="0">
      <text>
        <r>
          <rPr>
            <b/>
            <sz val="9"/>
            <color indexed="81"/>
            <rFont val="Tahoma"/>
            <family val="2"/>
          </rPr>
          <t>Changed from $1,044,386,521 to $1,044,185,331 to reflect Hoover-Mead lines No. 2 and 3 reclassification from ISO to Non-ISO.</t>
        </r>
      </text>
    </comment>
    <comment ref="E25" authorId="0" shapeId="0">
      <text>
        <r>
          <rPr>
            <b/>
            <sz val="9"/>
            <color indexed="81"/>
            <rFont val="Tahoma"/>
            <family val="2"/>
          </rPr>
          <t>Changed from $79,700,254 to $79,698,349 to reflect Hoover-Mead lines No. 2 and 3 reclassification from ISO to Non-ISO.</t>
        </r>
      </text>
    </comment>
  </commentList>
</comments>
</file>

<file path=xl/comments16.xml><?xml version="1.0" encoding="utf-8"?>
<comments xmlns="http://schemas.openxmlformats.org/spreadsheetml/2006/main">
  <authors>
    <author>Kim, Jee Young</author>
  </authors>
  <commentList>
    <comment ref="F12" authorId="0" shapeId="0">
      <text>
        <r>
          <rPr>
            <b/>
            <sz val="9"/>
            <color indexed="81"/>
            <rFont val="Tahoma"/>
            <family val="2"/>
          </rPr>
          <t>Changed from $47,045,400 to $47,073,317 to remove non-CWIP related activity from DCR and CRS.</t>
        </r>
      </text>
    </comment>
    <comment ref="G12" authorId="0" shapeId="0">
      <text>
        <r>
          <rPr>
            <b/>
            <sz val="9"/>
            <color indexed="81"/>
            <rFont val="Tahoma"/>
            <family val="2"/>
          </rPr>
          <t>Changed from $298,298,615 to $298,312,979 to remove non-CWIP related activity from DCR and CRS.</t>
        </r>
      </text>
    </comment>
    <comment ref="F24" authorId="0" shapeId="0">
      <text>
        <r>
          <rPr>
            <b/>
            <sz val="9"/>
            <color indexed="81"/>
            <rFont val="Tahoma"/>
            <family val="2"/>
          </rPr>
          <t>Changed from $55,295,971 to $55,322,011 to remove non-CWIP related activity from DCR and CRS.</t>
        </r>
      </text>
    </comment>
    <comment ref="G24" authorId="0" shapeId="0">
      <text>
        <r>
          <rPr>
            <b/>
            <sz val="9"/>
            <color indexed="81"/>
            <rFont val="Tahoma"/>
            <family val="2"/>
          </rPr>
          <t>Changed from $363,178,566 to $363,190,742 to remove non-CWIP related activity from DCR and CRS.</t>
        </r>
      </text>
    </comment>
  </commentList>
</comments>
</file>

<file path=xl/comments17.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$9,972,854,967 to $9,972,075,331 to remove non-CWIP related activity from DCR.</t>
        </r>
      </text>
    </comment>
    <comment ref="F157" authorId="0" shapeId="0">
      <text>
        <r>
          <rPr>
            <b/>
            <sz val="9"/>
            <color indexed="81"/>
            <rFont val="Tahoma"/>
            <family val="2"/>
          </rPr>
          <t>Changed total accumulated depreciation from $216,293,096 to $216,269,025 to remove non-CWIP related activity from DCR.</t>
        </r>
      </text>
    </comment>
    <comment ref="E252" authorId="0" shapeId="0">
      <text>
        <r>
          <rPr>
            <b/>
            <sz val="9"/>
            <color indexed="81"/>
            <rFont val="Tahoma"/>
            <family val="2"/>
          </rPr>
          <t>Changed total plant in-service from $885,081,008 to $880,174,470 to remove non-CWIP related activity from CRS.</t>
        </r>
      </text>
    </comment>
    <comment ref="F252" authorId="0" shapeId="0">
      <text>
        <r>
          <rPr>
            <b/>
            <sz val="9"/>
            <color indexed="81"/>
            <rFont val="Tahoma"/>
            <family val="2"/>
          </rPr>
          <t>Changed total accumulated depreciation from $21,819,703 to $21,695,786 to remove non-CWIP related activity from DCR.</t>
        </r>
      </text>
    </comment>
  </commentList>
</comments>
</file>

<file path=xl/comments18.xml><?xml version="1.0" encoding="utf-8"?>
<comments xmlns="http://schemas.openxmlformats.org/spreadsheetml/2006/main">
  <authors>
    <author>Kim, Jee Young</author>
  </authors>
  <commentList>
    <comment ref="E40" authorId="0" shapeId="0">
      <text>
        <r>
          <rPr>
            <b/>
            <sz val="9"/>
            <color indexed="81"/>
            <rFont val="Tahoma"/>
            <family val="2"/>
          </rPr>
          <t>Changed from $8,465,257.  Added $178,506 of Outside Service Cost incurred through the completion of the proceedings.</t>
        </r>
      </text>
    </comment>
  </commentList>
</comments>
</file>

<file path=xl/comments19.xml><?xml version="1.0" encoding="utf-8"?>
<comments xmlns="http://schemas.openxmlformats.org/spreadsheetml/2006/main">
  <authors>
    <author>Kim, Jee Young</author>
  </authors>
  <commentList>
    <comment ref="D51" authorId="0" shapeId="0">
      <text>
        <r>
          <rPr>
            <b/>
            <sz val="9"/>
            <color indexed="81"/>
            <rFont val="Tahoma"/>
            <family val="2"/>
          </rPr>
          <t>Changed from 5,755 to 5,724 to reflect Hoover-Mead lines No. 2 and 3 reclassification from ISO to Non-ISO.</t>
        </r>
      </text>
    </comment>
    <comment ref="D52" authorId="0" shapeId="0">
      <text>
        <r>
          <rPr>
            <b/>
            <sz val="9"/>
            <color indexed="81"/>
            <rFont val="Tahoma"/>
            <family val="2"/>
          </rPr>
          <t>Changed from 6,378 to 6,409 to reflect Hoover-Mead lines No. 2 and 3 reclassification from ISO to Non-ISO.</t>
        </r>
      </text>
    </comment>
    <comment ref="D76" authorId="0" shapeId="0">
      <text>
        <r>
          <rPr>
            <b/>
            <sz val="9"/>
            <color indexed="81"/>
            <rFont val="Tahoma"/>
            <family val="2"/>
          </rPr>
          <t>Value changed from 477 to 471 to reflect transformer count revision.</t>
        </r>
        <r>
          <rPr>
            <sz val="9"/>
            <color indexed="81"/>
            <rFont val="Tahoma"/>
            <family val="2"/>
          </rPr>
          <t xml:space="preserve">
</t>
        </r>
      </text>
    </comment>
    <comment ref="D82" authorId="0" shapeId="0">
      <text>
        <r>
          <rPr>
            <b/>
            <sz val="9"/>
            <color indexed="81"/>
            <rFont val="Tahoma"/>
            <family val="2"/>
          </rPr>
          <t>Value changed from 2,275 to 2,051 to reflect circuit breaker count revision.</t>
        </r>
      </text>
    </comment>
    <comment ref="D88" authorId="0" shapeId="0">
      <text>
        <r>
          <rPr>
            <b/>
            <sz val="9"/>
            <color indexed="81"/>
            <rFont val="Tahoma"/>
            <family val="2"/>
          </rPr>
          <t>Value changed from 149 to 152 to reflect voltage control equipment count revision.</t>
        </r>
        <r>
          <rPr>
            <sz val="9"/>
            <color indexed="81"/>
            <rFont val="Tahoma"/>
            <family val="2"/>
          </rPr>
          <t xml:space="preserve">
</t>
        </r>
      </text>
    </comment>
    <comment ref="D105" authorId="0" shapeId="0">
      <text>
        <r>
          <rPr>
            <b/>
            <sz val="9"/>
            <color indexed="81"/>
            <rFont val="Tahoma"/>
            <family val="2"/>
          </rPr>
          <t>Value changed from 617,881 to 620,672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760,390 to 757,599 to reflect transformer count revision.</t>
        </r>
        <r>
          <rPr>
            <sz val="9"/>
            <color indexed="81"/>
            <rFont val="Tahoma"/>
            <family val="2"/>
          </rPr>
          <t xml:space="preserve">
</t>
        </r>
      </text>
    </comment>
    <comment ref="D112" authorId="0" shapeId="0">
      <text>
        <r>
          <rPr>
            <b/>
            <sz val="9"/>
            <color indexed="81"/>
            <rFont val="Tahoma"/>
            <family val="2"/>
          </rPr>
          <t>Value changed from 2,262 to 2,248 to reflect circuit breaker count revision.</t>
        </r>
      </text>
    </comment>
    <comment ref="D118" authorId="0" shapeId="0">
      <text>
        <r>
          <rPr>
            <b/>
            <sz val="9"/>
            <color indexed="81"/>
            <rFont val="Tahoma"/>
            <family val="2"/>
          </rPr>
          <t>Value changed from 9,119 to 8,874 to reflect voltage control equipment count revision.</t>
        </r>
        <r>
          <rPr>
            <sz val="9"/>
            <color indexed="81"/>
            <rFont val="Tahoma"/>
            <family val="2"/>
          </rPr>
          <t xml:space="preserve">
</t>
        </r>
      </text>
    </comment>
    <comment ref="D124" authorId="0" shapeId="0">
      <text>
        <r>
          <rPr>
            <b/>
            <sz val="9"/>
            <color indexed="81"/>
            <rFont val="Tahoma"/>
            <family val="2"/>
          </rPr>
          <t>Value changed from 2,356 to 2,319 to reflect voltage control equipment count revision.</t>
        </r>
      </text>
    </comment>
  </commentList>
</comments>
</file>

<file path=xl/comments2.xml><?xml version="1.0" encoding="utf-8"?>
<comments xmlns="http://schemas.openxmlformats.org/spreadsheetml/2006/main">
  <authors>
    <author>Kim, Jee Young</author>
  </authors>
  <commentList>
    <comment ref="E15" authorId="0" shapeId="0">
      <text>
        <r>
          <rPr>
            <b/>
            <sz val="9"/>
            <color indexed="81"/>
            <rFont val="Tahoma"/>
            <family val="2"/>
          </rPr>
          <t>Changed from $185,903,030 to $185,958,730 to reflect Hoover-Mead lines No. 2 and 3 reclassification from ISO to Non-ISO.</t>
        </r>
      </text>
    </comment>
    <comment ref="E20" authorId="0" shapeId="0">
      <text>
        <r>
          <rPr>
            <b/>
            <sz val="9"/>
            <color indexed="81"/>
            <rFont val="Tahoma"/>
            <family val="2"/>
          </rPr>
          <t>Changed from $728,242,650 to $728,005,653 to reflect Hoover-Mead lines No. 2 and 3 reclassification from ISO to Non-ISO.</t>
        </r>
      </text>
    </comment>
    <comment ref="E22" authorId="0" shapeId="0">
      <text>
        <r>
          <rPr>
            <b/>
            <sz val="9"/>
            <color indexed="81"/>
            <rFont val="Tahoma"/>
            <family val="2"/>
          </rPr>
          <t>Changed from $494,953,932 to $494,752,742to reflect Hoover-Mead lines No. 2 and 3 reclassification from ISO to Non-ISO.</t>
        </r>
      </text>
    </comment>
    <comment ref="E25" authorId="0" shapeId="0">
      <text>
        <r>
          <rPr>
            <b/>
            <sz val="9"/>
            <color indexed="81"/>
            <rFont val="Tahoma"/>
            <family val="2"/>
          </rPr>
          <t>Changed from $38,747,355 to $38,745,450 to reflect Hoover-Mead lines No. 2 and 3 reclassification from ISO to Non-ISO.</t>
        </r>
      </text>
    </comment>
  </commentList>
</comments>
</file>

<file path=xl/comments20.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-$44,825,915 to -$39,796,392 to true-up estimated issuance cost to reflect actual.</t>
        </r>
      </text>
    </comment>
    <comment ref="D28" authorId="0" shapeId="0">
      <text>
        <r>
          <rPr>
            <b/>
            <sz val="9"/>
            <color indexed="81"/>
            <rFont val="Tahoma"/>
            <family val="2"/>
          </rPr>
          <t>Changed Net Gain (Loss) from Purchase and Tender Offers 13 Month Average from -$943,834 to -$5,991,356 to true-up estimated issuance cost to reflect actual.</t>
        </r>
      </text>
    </comment>
    <comment ref="C73" authorId="0" shapeId="0">
      <text>
        <r>
          <rPr>
            <b/>
            <sz val="9"/>
            <color indexed="81"/>
            <rFont val="Tahoma"/>
            <charset val="1"/>
          </rPr>
          <t>Added redemption of Series A through C in 2015.</t>
        </r>
      </text>
    </comment>
  </commentList>
</comments>
</file>

<file path=xl/comments21.xml><?xml version="1.0" encoding="utf-8"?>
<comments xmlns="http://schemas.openxmlformats.org/spreadsheetml/2006/main">
  <authors>
    <author>Kim, Jee Young</author>
  </authors>
  <commentList>
    <comment ref="E15" authorId="0" shapeId="0">
      <text>
        <r>
          <rPr>
            <b/>
            <sz val="9"/>
            <color indexed="81"/>
            <rFont val="Tahoma"/>
            <charset val="1"/>
          </rPr>
          <t>Changed from $241,049,135 to $241,041,870 to reflect Hoover-Mead lines No. 2 and 3 reclassification from ISO to Non-ISO.</t>
        </r>
      </text>
    </comment>
    <comment ref="E20" authorId="0" shapeId="0">
      <text>
        <r>
          <rPr>
            <b/>
            <sz val="9"/>
            <color indexed="81"/>
            <rFont val="Tahoma"/>
            <charset val="1"/>
          </rPr>
          <t>Changed from $2,164,622,763 to $2,164,385,765 to reflect Hoover-Mead lines No. 2 and 3 reclassification from ISO to Non-ISO.</t>
        </r>
      </text>
    </comment>
    <comment ref="E21" authorId="0" shapeId="0">
      <text>
        <r>
          <rPr>
            <b/>
            <sz val="9"/>
            <color indexed="81"/>
            <rFont val="Tahoma"/>
            <charset val="1"/>
          </rPr>
          <t>Changed from $310,678,566 to $310,509,485 to reflect Hoover-Mead lines No. 2 and 3 reclassification from ISO to Non-ISO.</t>
        </r>
      </text>
    </comment>
    <comment ref="E22" authorId="0" shapeId="0">
      <text>
        <r>
          <rPr>
            <b/>
            <sz val="9"/>
            <color indexed="81"/>
            <rFont val="Tahoma"/>
            <charset val="1"/>
          </rPr>
          <t>Changed from $1,239,646,181 to $1,239,444,990 to reflect Hoover-Mead lines No. 2 and 3 reclassification from ISO to Non-ISO.</t>
        </r>
      </text>
    </comment>
    <comment ref="E25" authorId="0" shapeId="0">
      <text>
        <r>
          <rPr>
            <b/>
            <sz val="9"/>
            <color indexed="81"/>
            <rFont val="Tahoma"/>
            <charset val="1"/>
          </rPr>
          <t>Changed from $187,087,541 to $187,085,636 to reflect Hoover-Mead lines No. 2 and 3 reclassification from ISO to Non-ISO.</t>
        </r>
      </text>
    </comment>
  </commentList>
</comments>
</file>

<file path=xl/comments22.xml><?xml version="1.0" encoding="utf-8"?>
<comments xmlns="http://schemas.openxmlformats.org/spreadsheetml/2006/main">
  <authors>
    <author>Kim, Jee Young</author>
  </authors>
  <commentList>
    <comment ref="F12" authorId="0" shapeId="0">
      <text>
        <r>
          <rPr>
            <b/>
            <sz val="9"/>
            <color indexed="81"/>
            <rFont val="Tahoma"/>
            <family val="2"/>
          </rPr>
          <t>Changed from $55,295,971 to $55,293,767 to remove non-CWIP related activity from DCR and CRS.</t>
        </r>
      </text>
    </comment>
    <comment ref="G12" authorId="0" shapeId="0">
      <text>
        <r>
          <rPr>
            <b/>
            <sz val="9"/>
            <color indexed="81"/>
            <rFont val="Tahoma"/>
            <family val="2"/>
          </rPr>
          <t>Changed from $363,178,566 to $363,174,838 to remove non-CWIP related activity from DCR and CRS.</t>
        </r>
      </text>
    </comment>
    <comment ref="F24" authorId="0" shapeId="0">
      <text>
        <r>
          <rPr>
            <b/>
            <sz val="9"/>
            <color indexed="81"/>
            <rFont val="Tahoma"/>
            <family val="2"/>
          </rPr>
          <t>Changed from $62,832,871 to $62,849,697 to remove non-CWIP related activity from DCR and CRS.</t>
        </r>
      </text>
    </comment>
    <comment ref="G24" authorId="0" shapeId="0">
      <text>
        <r>
          <rPr>
            <b/>
            <sz val="9"/>
            <color indexed="81"/>
            <rFont val="Tahoma"/>
            <family val="2"/>
          </rPr>
          <t>Changed from $372,504,540 to $372,512,031 to remove non-CWIP related activity from DCR and CRS.</t>
        </r>
      </text>
    </comment>
  </commentList>
</comments>
</file>

<file path=xl/comments23.xml><?xml version="1.0" encoding="utf-8"?>
<comments xmlns="http://schemas.openxmlformats.org/spreadsheetml/2006/main">
  <authors>
    <author>Kim, Jee Young</author>
  </authors>
  <commentList>
    <comment ref="E157" authorId="0" shapeId="0">
      <text>
        <r>
          <rPr>
            <b/>
            <sz val="9"/>
            <color indexed="81"/>
            <rFont val="Tahoma"/>
            <family val="2"/>
          </rPr>
          <t>Changed total plant in-service from $10,082,367,788 to $10,081,588,153 to remove non-CWIP related activity from DCR.</t>
        </r>
      </text>
    </comment>
    <comment ref="F157" authorId="0" shapeId="0">
      <text>
        <r>
          <rPr>
            <b/>
            <sz val="9"/>
            <color indexed="81"/>
            <rFont val="Tahoma"/>
            <family val="2"/>
          </rPr>
          <t>Changed total accumulated depreciation from $472,595,027 to $472,551,699 to remove non-CWIP related activity from DCR.</t>
        </r>
      </text>
    </comment>
    <comment ref="E252" authorId="0" shapeId="0">
      <text>
        <r>
          <rPr>
            <b/>
            <sz val="9"/>
            <color indexed="81"/>
            <rFont val="Tahoma"/>
            <family val="2"/>
          </rPr>
          <t>Changed total plant in-service from $906,080,570 to $901,174,032 to remove non-CWIP related activity from CRS.</t>
        </r>
      </text>
    </comment>
    <comment ref="F252" authorId="0" shapeId="0">
      <text>
        <r>
          <rPr>
            <b/>
            <sz val="9"/>
            <color indexed="81"/>
            <rFont val="Tahoma"/>
            <family val="2"/>
          </rPr>
          <t>Changed total accumulated depreciation from $43,965,790 to $43,717,955 to remove non-CWIP related activity from DCR.</t>
        </r>
      </text>
    </comment>
  </commentList>
</comments>
</file>

<file path=xl/comments24.xml><?xml version="1.0" encoding="utf-8"?>
<comments xmlns="http://schemas.openxmlformats.org/spreadsheetml/2006/main">
  <authors>
    <author>Mindess, Robert G</author>
  </authors>
  <commentList>
    <comment ref="E40" authorId="0" shapeId="0">
      <text>
        <r>
          <rPr>
            <b/>
            <sz val="9"/>
            <color indexed="81"/>
            <rFont val="Tahoma"/>
            <family val="2"/>
          </rPr>
          <t>Changed from $14,967,773.  Added $80,215 in additional Outside Services costs incurred through the completion of the proceedings.</t>
        </r>
      </text>
    </comment>
  </commentList>
</comments>
</file>

<file path=xl/comments25.xml><?xml version="1.0" encoding="utf-8"?>
<comments xmlns="http://schemas.openxmlformats.org/spreadsheetml/2006/main">
  <authors>
    <author>Kim, Jee Young</author>
  </authors>
  <commentList>
    <comment ref="D51" authorId="0" shapeId="0">
      <text>
        <r>
          <rPr>
            <b/>
            <sz val="9"/>
            <color indexed="81"/>
            <rFont val="Tahoma"/>
            <charset val="1"/>
          </rPr>
          <t>Changed from 5,652 to 5,621 to reflect Hoover-Mead lines No. 2 and 3 reclassification from ISO to Non-ISO.</t>
        </r>
      </text>
    </comment>
    <comment ref="D52" authorId="0" shapeId="0">
      <text>
        <r>
          <rPr>
            <b/>
            <sz val="9"/>
            <color indexed="81"/>
            <rFont val="Tahoma"/>
            <charset val="1"/>
          </rPr>
          <t>Changed from 6,432 to 6,463 to reflect Hoover-Mead lines No. 2 and 3 reclassification from ISO to Non-ISO.</t>
        </r>
      </text>
    </comment>
    <comment ref="D81" authorId="0" shapeId="0">
      <text>
        <r>
          <rPr>
            <b/>
            <sz val="9"/>
            <color indexed="81"/>
            <rFont val="Tahoma"/>
            <family val="2"/>
          </rPr>
          <t>Value changed from 1,144 to 1,179 to reflect circuit breaker count revision.</t>
        </r>
        <r>
          <rPr>
            <sz val="9"/>
            <color indexed="81"/>
            <rFont val="Tahoma"/>
            <family val="2"/>
          </rPr>
          <t xml:space="preserve">
</t>
        </r>
      </text>
    </comment>
    <comment ref="D82" authorId="0" shapeId="0">
      <text>
        <r>
          <rPr>
            <b/>
            <sz val="9"/>
            <color indexed="81"/>
            <rFont val="Tahoma"/>
            <family val="2"/>
          </rPr>
          <t>Value changed from 2,034 to 2,093 to reflect circuit breaker count revision.</t>
        </r>
      </text>
    </comment>
    <comment ref="D88" authorId="0" shapeId="0">
      <text>
        <r>
          <rPr>
            <b/>
            <sz val="9"/>
            <color indexed="81"/>
            <rFont val="Tahoma"/>
            <family val="2"/>
          </rPr>
          <t>Value changed from 151 to 154 to reflect voltage control equipment count revision.</t>
        </r>
        <r>
          <rPr>
            <sz val="9"/>
            <color indexed="81"/>
            <rFont val="Tahoma"/>
            <family val="2"/>
          </rPr>
          <t xml:space="preserve">
</t>
        </r>
      </text>
    </comment>
    <comment ref="D105" authorId="0" shapeId="0">
      <text>
        <r>
          <rPr>
            <b/>
            <sz val="9"/>
            <color indexed="81"/>
            <rFont val="Tahoma"/>
            <family val="2"/>
          </rPr>
          <t>Value changed from 804,556 to 804,406 to reflect transmission facility property damage count revision.</t>
        </r>
        <r>
          <rPr>
            <sz val="9"/>
            <color indexed="81"/>
            <rFont val="Tahoma"/>
            <family val="2"/>
          </rPr>
          <t xml:space="preserve">
</t>
        </r>
      </text>
    </comment>
    <comment ref="D106" authorId="0" shapeId="0">
      <text>
        <r>
          <rPr>
            <b/>
            <sz val="9"/>
            <color indexed="81"/>
            <rFont val="Tahoma"/>
            <family val="2"/>
          </rPr>
          <t>Value changed from 1,054,365 to 1,054,515 to reflect transmission facility property damage count revision.</t>
        </r>
        <r>
          <rPr>
            <sz val="9"/>
            <color indexed="81"/>
            <rFont val="Tahoma"/>
            <family val="2"/>
          </rPr>
          <t xml:space="preserve">
</t>
        </r>
      </text>
    </comment>
    <comment ref="D118" authorId="0" shapeId="0">
      <text>
        <r>
          <rPr>
            <b/>
            <sz val="9"/>
            <color indexed="81"/>
            <rFont val="Tahoma"/>
            <family val="2"/>
          </rPr>
          <t>Value changed from 8,841 to 8,849 to reflect circuit breaker count revision.</t>
        </r>
        <r>
          <rPr>
            <sz val="9"/>
            <color indexed="81"/>
            <rFont val="Tahoma"/>
            <family val="2"/>
          </rPr>
          <t xml:space="preserve">
</t>
        </r>
      </text>
    </comment>
  </commentList>
</comments>
</file>

<file path=xl/comments3.xml><?xml version="1.0" encoding="utf-8"?>
<comments xmlns="http://schemas.openxmlformats.org/spreadsheetml/2006/main">
  <authors>
    <author>Kim, Jee Young</author>
  </authors>
  <commentList>
    <comment ref="F25" authorId="0" shapeId="0">
      <text>
        <r>
          <rPr>
            <b/>
            <sz val="9"/>
            <color indexed="81"/>
            <rFont val="Tahoma"/>
            <family val="2"/>
          </rPr>
          <t>Changed to remove non-CWIP related activity changing DCR's balance from $536,280,837 to $536,220,865.</t>
        </r>
      </text>
    </comment>
    <comment ref="E33" authorId="0" shapeId="0">
      <text>
        <r>
          <rPr>
            <b/>
            <sz val="9"/>
            <color indexed="81"/>
            <rFont val="Tahoma"/>
            <family val="2"/>
          </rPr>
          <t>Changed CRS monthly balances to remove non-CWIP related activity changing the 13 month average from $29,242,552 to $29,085,741.</t>
        </r>
      </text>
    </comment>
  </commentList>
</comments>
</file>

<file path=xl/comments4.xml><?xml version="1.0" encoding="utf-8"?>
<comments xmlns="http://schemas.openxmlformats.org/spreadsheetml/2006/main">
  <authors>
    <author>Kim, Jee Young</author>
  </authors>
  <commentList>
    <comment ref="E40" authorId="0" shapeId="0">
      <text>
        <r>
          <rPr>
            <b/>
            <sz val="9"/>
            <color indexed="81"/>
            <rFont val="Tahoma"/>
            <family val="2"/>
          </rPr>
          <t xml:space="preserve">Changed from $8,316,980.  Added $141,483 of Outside Service Cost associated with the completion of the proceedings. </t>
        </r>
      </text>
    </comment>
  </commentList>
</comments>
</file>

<file path=xl/comments5.xml><?xml version="1.0" encoding="utf-8"?>
<comments xmlns="http://schemas.openxmlformats.org/spreadsheetml/2006/main">
  <authors>
    <author>Kim, Jee Young</author>
  </authors>
  <commentList>
    <comment ref="D51" authorId="0" shapeId="0">
      <text>
        <r>
          <rPr>
            <b/>
            <sz val="9"/>
            <color indexed="81"/>
            <rFont val="Tahoma"/>
            <family val="2"/>
          </rPr>
          <t>Changed from 5,808 to 5,777  to reflect Hoover-Mead lines No. 2 and 3 reclassification from ISO to Non-ISO.</t>
        </r>
      </text>
    </comment>
    <comment ref="D52" authorId="0" shapeId="0">
      <text>
        <r>
          <rPr>
            <b/>
            <sz val="9"/>
            <color indexed="81"/>
            <rFont val="Tahoma"/>
            <family val="2"/>
          </rPr>
          <t>Changed from 5,998 to 6,029 to reflect Hoover-Mead lines No. 2 and 3 reclassification from ISO to Non-ISO.</t>
        </r>
      </text>
    </comment>
    <comment ref="D88" authorId="0" shapeId="0">
      <text>
        <r>
          <rPr>
            <b/>
            <sz val="9"/>
            <color indexed="81"/>
            <rFont val="Tahoma"/>
            <family val="2"/>
          </rPr>
          <t>Value changed from 20 to 23 to reflect voltage control equipment count revision.</t>
        </r>
      </text>
    </comment>
  </commentList>
</comments>
</file>

<file path=xl/comments6.xml><?xml version="1.0" encoding="utf-8"?>
<comments xmlns="http://schemas.openxmlformats.org/spreadsheetml/2006/main">
  <authors>
    <author>Kim, Jee Young</author>
  </authors>
  <commentList>
    <comment ref="D26" authorId="0" shapeId="0">
      <text>
        <r>
          <rPr>
            <b/>
            <sz val="9"/>
            <color indexed="81"/>
            <rFont val="Tahoma"/>
            <family val="2"/>
          </rPr>
          <t>Changed Unamortized Issuance Costs 13 Month Average from -$39,556,085 to -$35,402,077 to true-up estimated issuance cost to reflect actual.</t>
        </r>
      </text>
    </comment>
    <comment ref="D28" authorId="0" shapeId="0">
      <text>
        <r>
          <rPr>
            <b/>
            <sz val="9"/>
            <color indexed="81"/>
            <rFont val="Tahoma"/>
            <family val="2"/>
          </rPr>
          <t>Changed Net Gain (Loss) from Purchase and Tender Offers 13 Month Average from -$1,354,769 to -$5,00,614 to true-up estimated issuance cost to reflect actual.</t>
        </r>
      </text>
    </comment>
    <comment ref="I58" authorId="0" shapeId="0">
      <text>
        <r>
          <rPr>
            <b/>
            <sz val="9"/>
            <color indexed="81"/>
            <rFont val="Tahoma"/>
            <charset val="1"/>
          </rPr>
          <t>Changed from $114,525 to $19,088 to reflect two months amortization in 2013.</t>
        </r>
      </text>
    </comment>
    <comment ref="I59" authorId="0" shapeId="0">
      <text>
        <r>
          <rPr>
            <b/>
            <sz val="9"/>
            <color indexed="81"/>
            <rFont val="Tahoma"/>
            <charset val="1"/>
          </rPr>
          <t>Changed from $125,972 to $20,995 to reflect two months amortization in 2013.</t>
        </r>
      </text>
    </comment>
    <comment ref="J74" authorId="0" shapeId="0">
      <text>
        <r>
          <rPr>
            <b/>
            <sz val="9"/>
            <color indexed="81"/>
            <rFont val="Tahoma"/>
            <charset val="1"/>
          </rPr>
          <t>Added redemption of Series B and C in 2013.</t>
        </r>
      </text>
    </comment>
  </commentList>
</comments>
</file>

<file path=xl/comments7.xml><?xml version="1.0" encoding="utf-8"?>
<comments xmlns="http://schemas.openxmlformats.org/spreadsheetml/2006/main">
  <authors>
    <author>Kim, Jee Young</author>
  </authors>
  <commentList>
    <comment ref="F96" authorId="0" shapeId="0">
      <text>
        <r>
          <rPr>
            <b/>
            <sz val="9"/>
            <color indexed="81"/>
            <rFont val="Tahoma"/>
            <family val="2"/>
          </rPr>
          <t>Changed from $8,684,826 to $8,624,854 to remove non-CWIP related activity from DCR and CRS.</t>
        </r>
      </text>
    </comment>
    <comment ref="E99" authorId="0" shapeId="0">
      <text>
        <r>
          <rPr>
            <b/>
            <sz val="9"/>
            <color indexed="81"/>
            <rFont val="Tahoma"/>
            <family val="2"/>
          </rPr>
          <t>Changed from $95,510,203 to $95,300,522 to remove non-CWIP related activity from DCR and CRS.</t>
        </r>
      </text>
    </comment>
    <comment ref="F99" authorId="0" shapeId="0">
      <text>
        <r>
          <rPr>
            <b/>
            <sz val="9"/>
            <color indexed="81"/>
            <rFont val="Tahoma"/>
            <family val="2"/>
          </rPr>
          <t>Changed from $241,970,440 to $241,802,695 to remove non-CWIP related activity from DCR and CRS.</t>
        </r>
      </text>
    </comment>
  </commentList>
</comments>
</file>

<file path=xl/comments8.xml><?xml version="1.0" encoding="utf-8"?>
<comments xmlns="http://schemas.openxmlformats.org/spreadsheetml/2006/main">
  <authors>
    <author>Kim, Jee Young</author>
  </authors>
  <commentList>
    <comment ref="E15" authorId="0" shapeId="0">
      <text>
        <r>
          <rPr>
            <b/>
            <sz val="9"/>
            <color indexed="81"/>
            <rFont val="Tahoma"/>
            <family val="2"/>
          </rPr>
          <t>Changed from $212,938,579 to $212,931,315 to reflect Hoover-Mead lines No. 2 and 3 reclassification from ISO to Non-ISO.</t>
        </r>
      </text>
    </comment>
    <comment ref="E20" authorId="0" shapeId="0">
      <text>
        <r>
          <rPr>
            <b/>
            <sz val="9"/>
            <color indexed="81"/>
            <rFont val="Tahoma"/>
            <family val="2"/>
          </rPr>
          <t>Changed from $1,443,480,699 to $1,443,243,701 to reflect Hoover-Mead lines No. 2 and 3 reclassification from ISO to Non-ISO.</t>
        </r>
      </text>
    </comment>
    <comment ref="E22" authorId="0" shapeId="0">
      <text>
        <r>
          <rPr>
            <b/>
            <sz val="9"/>
            <color indexed="81"/>
            <rFont val="Tahoma"/>
            <family val="2"/>
          </rPr>
          <t>Changed from $764,993,254 to $764,792,064 to reflect Hoover-Mead lines No. 2 and 3 reclassification from ISO to Non-ISO.</t>
        </r>
      </text>
    </comment>
    <comment ref="E25" authorId="0" shapeId="0">
      <text>
        <r>
          <rPr>
            <b/>
            <sz val="9"/>
            <color indexed="81"/>
            <rFont val="Tahoma"/>
            <family val="2"/>
          </rPr>
          <t>Changed from $68,770,633 to $68,768,728 to reflect Hoover-Mead lines No. 2 and 3 reclassification from ISO to Non-ISO.</t>
        </r>
      </text>
    </comment>
  </commentList>
</comments>
</file>

<file path=xl/comments9.xml><?xml version="1.0" encoding="utf-8"?>
<comments xmlns="http://schemas.openxmlformats.org/spreadsheetml/2006/main">
  <authors>
    <author>Kim, Jee Young</author>
  </authors>
  <commentList>
    <comment ref="F24" authorId="0" shapeId="0">
      <text>
        <r>
          <rPr>
            <b/>
            <sz val="9"/>
            <color indexed="81"/>
            <rFont val="Tahoma"/>
            <family val="2"/>
          </rPr>
          <t>Changed from $47,045,400 to $47,073,317 to remove non-CWIP related activity from DCR and CRS.</t>
        </r>
      </text>
    </comment>
    <comment ref="G24" authorId="0" shapeId="0">
      <text>
        <r>
          <rPr>
            <b/>
            <sz val="9"/>
            <color indexed="81"/>
            <rFont val="Tahoma"/>
            <family val="2"/>
          </rPr>
          <t>Changed from $298,298,615 to $298,312,979 to remove non-CWIP related activity from DCR and CRS.</t>
        </r>
      </text>
    </comment>
  </commentList>
</comments>
</file>

<file path=xl/sharedStrings.xml><?xml version="1.0" encoding="utf-8"?>
<sst xmlns="http://schemas.openxmlformats.org/spreadsheetml/2006/main" count="8157" uniqueCount="1107">
  <si>
    <t>Rate</t>
  </si>
  <si>
    <t>Monthly</t>
  </si>
  <si>
    <t>in Revenue</t>
  </si>
  <si>
    <t>Interest</t>
  </si>
  <si>
    <t>Excess (-) or</t>
  </si>
  <si>
    <t>Shortfall (+)</t>
  </si>
  <si>
    <t>December</t>
  </si>
  <si>
    <t>January</t>
  </si>
  <si>
    <t>February</t>
  </si>
  <si>
    <t>April</t>
  </si>
  <si>
    <t>May</t>
  </si>
  <si>
    <t>July</t>
  </si>
  <si>
    <t>August</t>
  </si>
  <si>
    <t>September</t>
  </si>
  <si>
    <t>November</t>
  </si>
  <si>
    <t>October</t>
  </si>
  <si>
    <t>Month</t>
  </si>
  <si>
    <t>Year</t>
  </si>
  <si>
    <t>March</t>
  </si>
  <si>
    <t>Cumulative</t>
  </si>
  <si>
    <t>True Up</t>
  </si>
  <si>
    <t>with Interest</t>
  </si>
  <si>
    <t>wo Interest for</t>
  </si>
  <si>
    <t>for Current</t>
  </si>
  <si>
    <t>Current Month</t>
  </si>
  <si>
    <t>June</t>
  </si>
  <si>
    <t>TRR Adjustment</t>
  </si>
  <si>
    <t>Schedule 3 - One-Time and Previous Period True Up Adjustment</t>
  </si>
  <si>
    <t>One Time Adjustment for Revised 2013 True Up TRR</t>
  </si>
  <si>
    <t>2013</t>
  </si>
  <si>
    <t>1.</t>
  </si>
  <si>
    <r>
      <rPr>
        <b/>
        <sz val="12"/>
        <rFont val="Calibri"/>
        <family val="2"/>
        <scheme val="minor"/>
      </rPr>
      <t>True Up TRR Pursuant to Appendix IX, Attachment 1, Paragraph 3(d)(8)</t>
    </r>
  </si>
  <si>
    <t xml:space="preserve">Subtotal One-Time Adj: </t>
  </si>
  <si>
    <t>Description</t>
  </si>
  <si>
    <t>Amount</t>
  </si>
  <si>
    <t>Source</t>
  </si>
  <si>
    <t>Variance*</t>
  </si>
  <si>
    <t>* Variance Includes Adjustments for:</t>
  </si>
  <si>
    <t>Calculation of True Up TRR</t>
  </si>
  <si>
    <t>A) Rate Base for True Up TRR</t>
  </si>
  <si>
    <t>Calculation</t>
  </si>
  <si>
    <t xml:space="preserve">FERC Form 1 Reference </t>
  </si>
  <si>
    <t xml:space="preserve">Line </t>
  </si>
  <si>
    <t>Rate Base Item</t>
  </si>
  <si>
    <t>Method</t>
  </si>
  <si>
    <t>Notes</t>
  </si>
  <si>
    <t>or Instruction</t>
  </si>
  <si>
    <t>ISO Transmission Plant</t>
  </si>
  <si>
    <t>13-Month Avg.</t>
  </si>
  <si>
    <t>General + Elec. Misc. Intangible Plant</t>
  </si>
  <si>
    <t>BOY/EOY Avg.</t>
  </si>
  <si>
    <t>Transmission Plant Held for Future Use</t>
  </si>
  <si>
    <t>Abandoned Plant</t>
  </si>
  <si>
    <t>Working Capital Amounts</t>
  </si>
  <si>
    <t>Materials and Supplies</t>
  </si>
  <si>
    <t>Prepayments</t>
  </si>
  <si>
    <t>Cash Working Capital</t>
  </si>
  <si>
    <t>1/16 (O&amp;M + A&amp;G)</t>
  </si>
  <si>
    <t>Working Capital</t>
  </si>
  <si>
    <t>Accumulated Depreciation Reserve Amounts</t>
  </si>
  <si>
    <t>Transmission Depreciation Reserve - ISO</t>
  </si>
  <si>
    <t>Negative amount</t>
  </si>
  <si>
    <t>Distribution Depreciation Reserve - ISO</t>
  </si>
  <si>
    <t>G + I Depreciation Reserve</t>
  </si>
  <si>
    <t>Accumulated Depreciation Reserve</t>
  </si>
  <si>
    <t>Accumulated Deferred Income Taxes</t>
  </si>
  <si>
    <t>CWIP Plant</t>
  </si>
  <si>
    <t>Network Upgrade Credits</t>
  </si>
  <si>
    <t>15a</t>
  </si>
  <si>
    <t>Unfunded Reserves</t>
  </si>
  <si>
    <t>Other Regulatory Assets/Liabilities</t>
  </si>
  <si>
    <t>Rate Base</t>
  </si>
  <si>
    <t>B) Return on Capital</t>
  </si>
  <si>
    <t>Cost of Capital Rate</t>
  </si>
  <si>
    <t>See Instruction 1</t>
  </si>
  <si>
    <t>Return on Capital: Rate Base times Cost of Capital Rate</t>
  </si>
  <si>
    <t>C) Income Taxes</t>
  </si>
  <si>
    <t>Income Taxes = [((RB * ER) + D) * (CTR/(1 – CTR))]  + CO/(1 – CTR)</t>
  </si>
  <si>
    <t>Where:</t>
  </si>
  <si>
    <t>RB = Rate Base</t>
  </si>
  <si>
    <t>ER = Equity ROR inc. Com. and Pref. Stock</t>
  </si>
  <si>
    <t>Instruction 1</t>
  </si>
  <si>
    <t>CTR = Composite Tax Rate</t>
  </si>
  <si>
    <t>CO = Credits and Other</t>
  </si>
  <si>
    <t>D = Book Depreciation of AFUDC Equity Book Basis</t>
  </si>
  <si>
    <t>D) True Up TRR Calculation</t>
  </si>
  <si>
    <t>O&amp;M Expense</t>
  </si>
  <si>
    <t>A&amp;G Expense</t>
  </si>
  <si>
    <t>Network Upgrade Interest Expense</t>
  </si>
  <si>
    <t>Depreciation Expense</t>
  </si>
  <si>
    <t>Abandoned Plant Amortization Expense</t>
  </si>
  <si>
    <t>Other Taxes</t>
  </si>
  <si>
    <t>Revenue Credits</t>
  </si>
  <si>
    <t>Return on Capital</t>
  </si>
  <si>
    <t>Income Taxes</t>
  </si>
  <si>
    <t>Gains and Losses on Transmission Plant Held for Future Use -- Land</t>
  </si>
  <si>
    <t>Amortization and Regulatory Debits/Credits</t>
  </si>
  <si>
    <t>Total without True Up Incentive Adder</t>
  </si>
  <si>
    <t>True Up Incentive Adder</t>
  </si>
  <si>
    <t>True Up TRR without Franchise Fees and Uncollectibles Expense included:</t>
  </si>
  <si>
    <t>E) Calculation of final True Up TRR with Franchise Fees and Uncollectibles Expenses</t>
  </si>
  <si>
    <t>Reference:</t>
  </si>
  <si>
    <t>True Up TRR wo FF:</t>
  </si>
  <si>
    <t xml:space="preserve">Change In </t>
  </si>
  <si>
    <t>Franchise Fee Factor:</t>
  </si>
  <si>
    <t>Franchise Fee Expense:</t>
  </si>
  <si>
    <t>Uncollectibles Expense Factor:</t>
  </si>
  <si>
    <t>Uncollectibles Expense:</t>
  </si>
  <si>
    <t>True Up TRR:</t>
  </si>
  <si>
    <t>Instructions:</t>
  </si>
  <si>
    <t>1) Use weighted average (by time) of the Return on Equity in effect during the Prior Year in determining the "Cost of Capital Rate" on Line 18</t>
  </si>
  <si>
    <t>and the "Equity Rate of Return Including Preferred Stock" on Line 22 in the event that the ROE is revised during the Prior Year.  In this event,</t>
  </si>
  <si>
    <t>the ROE used in Schedule 1 will differ from the ROE used in this Schedule 4, because the Schedule 1 ROE will be the most recent ROE,</t>
  </si>
  <si>
    <t>whereas the Schedule 4 Cost of Capital Rate and Equity Rate of Return including Com. + Pref. Stock will be based on the weighted-average ROE.</t>
  </si>
  <si>
    <t>Calculation of weighted average Cost of Capital Rate in Prior Year:</t>
  </si>
  <si>
    <t>If ROE does not change during year, then attribute all days to Line a "ROE at end of Prior Year" and none to "ROE at start of PY"</t>
  </si>
  <si>
    <t xml:space="preserve">Days ROE </t>
  </si>
  <si>
    <t>Percentage</t>
  </si>
  <si>
    <t>From</t>
  </si>
  <si>
    <t>To</t>
  </si>
  <si>
    <t>In Effect</t>
  </si>
  <si>
    <t>a</t>
  </si>
  <si>
    <t>ROE at end of Prior Year</t>
  </si>
  <si>
    <t>b</t>
  </si>
  <si>
    <t>ROE start of Prior Year</t>
  </si>
  <si>
    <t>See Line e below</t>
  </si>
  <si>
    <t>NA</t>
  </si>
  <si>
    <t>c</t>
  </si>
  <si>
    <t>Total days in year:</t>
  </si>
  <si>
    <t>d</t>
  </si>
  <si>
    <t>Wtd. Avg. ROE in Prior Year</t>
  </si>
  <si>
    <t>((Line a ROE * Line a days) + (Line b ROE * Line b days)) / Total Days in Year</t>
  </si>
  <si>
    <t>Commission Decisions approving ROE:</t>
  </si>
  <si>
    <t>e</t>
  </si>
  <si>
    <t>End of Prior Year</t>
  </si>
  <si>
    <t>Settlement in ER11-3697</t>
  </si>
  <si>
    <t>f</t>
  </si>
  <si>
    <t>Beginning of Prior Year</t>
  </si>
  <si>
    <t>g</t>
  </si>
  <si>
    <t>Wtd. Cost of Long Term Debt</t>
  </si>
  <si>
    <t>h</t>
  </si>
  <si>
    <t>Wtd.Cost of Preferred Stock</t>
  </si>
  <si>
    <t>i</t>
  </si>
  <si>
    <t>Wtd.Cost of Common Stock</t>
  </si>
  <si>
    <t>j</t>
  </si>
  <si>
    <t>Calculation of Equity Rate of Return Including Common and Preferred Stock:</t>
  </si>
  <si>
    <t>k</t>
  </si>
  <si>
    <t xml:space="preserve">2) Beginning with the True Up Adjustment calculation for 2012 utilizing the True Up TRR for 2012, exclude from CWIP recovery the capital cost of </t>
  </si>
  <si>
    <t xml:space="preserve">facilities that were purchased for the portion of Tehachapi Segment 8 near the Chino Airport, but due to the April 25, 2011 Notice of Presumed </t>
  </si>
  <si>
    <t xml:space="preserve">Hazard issued to SCE by the FAA are not used in the construction of Tehachapi or in any other CWIP incentive project.  Additionally, </t>
  </si>
  <si>
    <t>SCE will permanently exclude from Plant In Service, Rate Base, and transmission rates these capital costs if the facilities are not used in the</t>
  </si>
  <si>
    <t xml:space="preserve">construction of any SCE transmission project. </t>
  </si>
  <si>
    <t>Col 1</t>
  </si>
  <si>
    <t>Col 2</t>
  </si>
  <si>
    <t>Col 3</t>
  </si>
  <si>
    <t>Col 4</t>
  </si>
  <si>
    <t>Franchise Requirements</t>
  </si>
  <si>
    <t>See Note 3</t>
  </si>
  <si>
    <t xml:space="preserve">One Time Adjustment for Revised 2013 True Up TRR </t>
  </si>
  <si>
    <t>27a</t>
  </si>
  <si>
    <t>PBOPs True Up TRR Adjustment</t>
  </si>
  <si>
    <t>TO9 TUTRR</t>
  </si>
  <si>
    <t>Jan 1, 2013</t>
  </si>
  <si>
    <t>Dec 31, 2013</t>
  </si>
  <si>
    <t>Inputs are shaded yellow</t>
  </si>
  <si>
    <t>Data</t>
  </si>
  <si>
    <t>Total:</t>
  </si>
  <si>
    <t>Calculation of Administrative and General Expense</t>
  </si>
  <si>
    <t>See Note 1</t>
  </si>
  <si>
    <t>FERC Form 1</t>
  </si>
  <si>
    <t>Total Amount</t>
  </si>
  <si>
    <t>Acct.</t>
  </si>
  <si>
    <t>Excluded</t>
  </si>
  <si>
    <t>A&amp;G Salaries</t>
  </si>
  <si>
    <t>FF1 323.181b</t>
  </si>
  <si>
    <t>Office Supplies and Expenses</t>
  </si>
  <si>
    <t>FF1 323.182b</t>
  </si>
  <si>
    <t>A&amp;G Expenses Transferred</t>
  </si>
  <si>
    <t>FF1 323.183b</t>
  </si>
  <si>
    <t>Credit</t>
  </si>
  <si>
    <t>Outside Services Employed</t>
  </si>
  <si>
    <t>FF1 323.184b</t>
  </si>
  <si>
    <t>Property Insurance</t>
  </si>
  <si>
    <t>FF1 323.185b</t>
  </si>
  <si>
    <t>Injuries and Damages</t>
  </si>
  <si>
    <t>FF1 323.186b</t>
  </si>
  <si>
    <t>Employee Pensions and Benefits</t>
  </si>
  <si>
    <t>FF1 323.187b</t>
  </si>
  <si>
    <t>FF1 323.188b</t>
  </si>
  <si>
    <t>Regulatory Commission Expenses</t>
  </si>
  <si>
    <t>FF1 323.189b</t>
  </si>
  <si>
    <t>Duplicate Charges</t>
  </si>
  <si>
    <t>FF1 323.190b</t>
  </si>
  <si>
    <t>General Advertising Expense</t>
  </si>
  <si>
    <t>FF1 323.191b</t>
  </si>
  <si>
    <t>Miscellaneous General Expense</t>
  </si>
  <si>
    <t>FF1 323.192b</t>
  </si>
  <si>
    <t>Rents</t>
  </si>
  <si>
    <t>FF1 323.193b</t>
  </si>
  <si>
    <t>Maintenance of General Plant</t>
  </si>
  <si>
    <t>FF1 323.196b</t>
  </si>
  <si>
    <t>Total A&amp;G Expenses:</t>
  </si>
  <si>
    <t>Remaining A&amp;G after exclusions &amp; NOIC Adjustment:</t>
  </si>
  <si>
    <t>Less Account  924:</t>
  </si>
  <si>
    <t>Amount to apply the Transmission W&amp;S AF:</t>
  </si>
  <si>
    <t>Transmission Wages and Salaries Allocation Factor:</t>
  </si>
  <si>
    <t>Transmission W&amp;S AF Portion of A&amp;G:</t>
  </si>
  <si>
    <t>Transmission Plant Allocation Factor:</t>
  </si>
  <si>
    <t>Property Insurance portion of A&amp;G:</t>
  </si>
  <si>
    <t>Administrative and General Expenses:</t>
  </si>
  <si>
    <t>Note 1: Itemization of exclusions</t>
  </si>
  <si>
    <t>Shareholder</t>
  </si>
  <si>
    <t>Exclusions</t>
  </si>
  <si>
    <t>Total Amount Excluded</t>
  </si>
  <si>
    <t>or Other</t>
  </si>
  <si>
    <t>Franchise</t>
  </si>
  <si>
    <t>(Sum of Col 1 to Col 4)</t>
  </si>
  <si>
    <t>Adjustments</t>
  </si>
  <si>
    <t>Requirements</t>
  </si>
  <si>
    <t>NOIC</t>
  </si>
  <si>
    <t>PBOPs</t>
  </si>
  <si>
    <t>See Instructions 2b, 3, and Note 2</t>
  </si>
  <si>
    <t>See Note 4</t>
  </si>
  <si>
    <t xml:space="preserve">Note 2: Non-Officer Incentive Compensation ("NOIC") Adjustment </t>
  </si>
  <si>
    <t>(NOIC includes Results Sharing, Management Incentive Program, and Non-Officer Executive Incentive Compensation).</t>
  </si>
  <si>
    <t xml:space="preserve">Adjust NOIC by excluding accrued NOIC Amount and replacing with the </t>
  </si>
  <si>
    <t>actual non-capitalized A&amp;G NOIC payout.</t>
  </si>
  <si>
    <t>Accrued NOIC Amount:</t>
  </si>
  <si>
    <t>SCE Records</t>
  </si>
  <si>
    <t>Actual A&amp;G NOIC payout:</t>
  </si>
  <si>
    <t>Adjustment:</t>
  </si>
  <si>
    <t>Actual non-capitalized NOIC Payouts:</t>
  </si>
  <si>
    <t>Department</t>
  </si>
  <si>
    <t>A&amp;G</t>
  </si>
  <si>
    <t>SCE Records and Workpapers</t>
  </si>
  <si>
    <t>Other</t>
  </si>
  <si>
    <t>Trans. And Dist. Business Unit</t>
  </si>
  <si>
    <t>Note 3: PBOPs Exclusion Calculation</t>
  </si>
  <si>
    <t>Note:</t>
  </si>
  <si>
    <t>Authorized PBOPs expense amount:</t>
  </si>
  <si>
    <t>See instruction #4</t>
  </si>
  <si>
    <t>Prior Year FF1 PBOPs expense:</t>
  </si>
  <si>
    <t>PBOPs Expense Exclusion:</t>
  </si>
  <si>
    <t xml:space="preserve">Note 4: </t>
  </si>
  <si>
    <t>Franchise Fees Expenses component of the Prior Year TRR are based on Franchise Fee Factors.</t>
  </si>
  <si>
    <t>2) Fill out "Itemization of Exclusions" table for all input cells. NOIC amount in</t>
  </si>
  <si>
    <t>a) Exclude amount of any Shareholder Adjustments, costs incurred on behalf of SCE shareholders, from relevant account in Column 1.</t>
  </si>
  <si>
    <t>b) Include as an adjustment in Column 1 for Account 920 any amount excluded from Accounts 569.100, 569.200, and 569.300</t>
  </si>
  <si>
    <t>in Schedule 19 (OandM) related to Order 668 costs transferred.</t>
  </si>
  <si>
    <t xml:space="preserve">c) Exclude entire amount of account 927 "Franchise Requirements" in Column 2, as those costs are recovered </t>
  </si>
  <si>
    <t>through the Franchise Fees Expense item.</t>
  </si>
  <si>
    <t xml:space="preserve">d) Exclude any amount of Account 930.1 "General Advertising Expense" not related to advertising for safety, </t>
  </si>
  <si>
    <t>siting, or informational purposes in column 1.</t>
  </si>
  <si>
    <t>e) Exclude any amount of expense relating to secondary land use and audit expenses not directly benefitting utility customers.</t>
  </si>
  <si>
    <t>f) Exclude from account 930.2:</t>
  </si>
  <si>
    <t>1) Nuclear Power Research Expenses.</t>
  </si>
  <si>
    <t>2) Write Off of Abandoned Project Expenses.</t>
  </si>
  <si>
    <t>3) Any advertising expenses within the Consultants/Professional Services category.</t>
  </si>
  <si>
    <t>g) Exclude the following costs included in any account 920-935:</t>
  </si>
  <si>
    <t xml:space="preserve">1) Any amount of "Provision for Doubtful Accounts" costs. </t>
  </si>
  <si>
    <t>2) Any amount of "Accounting Suspense" costs.</t>
  </si>
  <si>
    <t>3) Any penalties of fines.</t>
  </si>
  <si>
    <t>4) Any amount of costs recovered 100% through California Public Utilities Commission ("CPUC") rates.</t>
  </si>
  <si>
    <t>h) Exclude the following amounts of employee incentive compensation from any account 920-935:</t>
  </si>
  <si>
    <t>1) Any Long Term Incentive Compensation ("LTI") costs.</t>
  </si>
  <si>
    <t xml:space="preserve">2) Beginning with Prior Year 2012, any amount of Officer Executive Incentive Compensation ("OEIC")  in excess of the amount </t>
  </si>
  <si>
    <t xml:space="preserve">    authorized by the CPUC in Decision D.12-11-051 or subsequent decision.</t>
  </si>
  <si>
    <t xml:space="preserve">3) Beginning with Prior Year 2012, any amount of Supplemental Executive Retirement Plan ("SERP") in excess of the amount </t>
  </si>
  <si>
    <t>4) Beginning with Prior Year 2012, any amount of NOIC in excess of the amount authorized by the CPUC in Decision D.12-11-051 or subsequent decision.</t>
  </si>
  <si>
    <t>5) Any Spot Bonus costs.</t>
  </si>
  <si>
    <t>6) Any Awards to Celebrate Excellence  ("ACE") costs.</t>
  </si>
  <si>
    <r>
      <t>3) NOIC adjustment in Column 3</t>
    </r>
    <r>
      <rPr>
        <b/>
        <sz val="10"/>
        <rFont val="Arial"/>
        <family val="2"/>
      </rPr>
      <t xml:space="preserve">, </t>
    </r>
    <r>
      <rPr>
        <sz val="10"/>
        <rFont val="Arial"/>
        <family val="2"/>
      </rPr>
      <t xml:space="preserve">Line 24 is made by determining the difference between the total accrued NOIC amount </t>
    </r>
  </si>
  <si>
    <t>included in the FERC Form 1 recorded cost amounts and the actual A&amp;G NOIC payout (see note 2).</t>
  </si>
  <si>
    <t>NOIC adjustment in column 3, Line 26 is made by entering the amount of accrued NOIC that is capitalized.</t>
  </si>
  <si>
    <t>pursuant to Commission acceptance of an SCE FPA Section 205 filing to revise the authorized PBOPs expense,</t>
  </si>
  <si>
    <t>in accordance with the tariff protocols.  Accordingly, any amount different than the authorized PBOPs</t>
  </si>
  <si>
    <t>expense is excluded from account 926 (see note 3).  Docket or Decision approving authorized PBOPs amount:</t>
  </si>
  <si>
    <t>ER14-2788, Order dated October 22, 2014</t>
  </si>
  <si>
    <t>5) SCE shall make no adjustments to recorded labor amounts related to non-labor labor and/or Indirect labor in Schedule 20.</t>
  </si>
  <si>
    <t>TUTRR Change</t>
  </si>
  <si>
    <t>Changes to 2013</t>
  </si>
  <si>
    <t>A</t>
  </si>
  <si>
    <t>One-Time Adj*</t>
  </si>
  <si>
    <t>Jan 1, 2014</t>
  </si>
  <si>
    <t>Dec 31, 2014</t>
  </si>
  <si>
    <t>* Variance Includes Adjustment for:</t>
  </si>
  <si>
    <t xml:space="preserve">One Time Adjustment for Revised 2014 True Up TRR </t>
  </si>
  <si>
    <t>TO10 TUTRR</t>
  </si>
  <si>
    <t>One Time Adjustment for Revised 2014 True Up TRR</t>
  </si>
  <si>
    <t>2014</t>
  </si>
  <si>
    <t>Revised TO9 True Up TRR in TO11 Filing</t>
  </si>
  <si>
    <t>Changes to 2014</t>
  </si>
  <si>
    <t>Explanation of One Time Adjustment to Prior Period</t>
  </si>
  <si>
    <t>B</t>
  </si>
  <si>
    <t>2.</t>
  </si>
  <si>
    <t>Prior Year:</t>
  </si>
  <si>
    <t>Line</t>
  </si>
  <si>
    <t>Notes:</t>
  </si>
  <si>
    <t>One Time Adjustment for Revised 2012 True Up TRR</t>
  </si>
  <si>
    <t>2012</t>
  </si>
  <si>
    <t xml:space="preserve">One Time Adjustment for Revised 2012 True Up TRR </t>
  </si>
  <si>
    <t>Revised TO8 True Up TRR in TO11 Filing</t>
  </si>
  <si>
    <t>TO8 TUTRR</t>
  </si>
  <si>
    <t>Jan 1, 2012</t>
  </si>
  <si>
    <t>Dec 31, 2012</t>
  </si>
  <si>
    <t>Changes to 2012</t>
  </si>
  <si>
    <t>3.</t>
  </si>
  <si>
    <t>C</t>
  </si>
  <si>
    <t>E</t>
  </si>
  <si>
    <t>G</t>
  </si>
  <si>
    <t>TO12</t>
  </si>
  <si>
    <t>TO8/TO9/TO10/TO11</t>
  </si>
  <si>
    <t>Changes to 2015</t>
  </si>
  <si>
    <t>I</t>
  </si>
  <si>
    <t>J</t>
  </si>
  <si>
    <t>K</t>
  </si>
  <si>
    <t>*  The TO12 One-Time Adjustment is equal to the TO8/TO9/TO10/TO11 TUTRR Change, plus interest through December 31, 2015.</t>
  </si>
  <si>
    <t>One Time Adjustment for Revised 2015 True Up TRR</t>
  </si>
  <si>
    <t xml:space="preserve">One Time Adjustment for Revised 2015 True Up TRR </t>
  </si>
  <si>
    <t xml:space="preserve">Filed TO11 True Up TRR </t>
  </si>
  <si>
    <t>TO11 Revised True Up TRR</t>
  </si>
  <si>
    <t>Revised TO8 True Up TRR in TO12 Draft Posting</t>
  </si>
  <si>
    <t>Transmission Plant Study</t>
  </si>
  <si>
    <t>Input cells are shaded yellow</t>
  </si>
  <si>
    <t>A) Plant Classified as Transmission in  FERC Form 1 for Prior Year:</t>
  </si>
  <si>
    <t>Total</t>
  </si>
  <si>
    <t xml:space="preserve">Transmission </t>
  </si>
  <si>
    <t>ISO %</t>
  </si>
  <si>
    <t>Account</t>
  </si>
  <si>
    <t>Plant</t>
  </si>
  <si>
    <t>Data Source</t>
  </si>
  <si>
    <t>Plant - ISO</t>
  </si>
  <si>
    <t>of Total</t>
  </si>
  <si>
    <t>Substation</t>
  </si>
  <si>
    <t>FF1 207.49g</t>
  </si>
  <si>
    <t>FF1 207.50g</t>
  </si>
  <si>
    <t>Total Substation</t>
  </si>
  <si>
    <t>Land</t>
  </si>
  <si>
    <t>FF1 207.48g</t>
  </si>
  <si>
    <t>Total Substation and Land</t>
  </si>
  <si>
    <t>Lines</t>
  </si>
  <si>
    <t>FF1 207.51g</t>
  </si>
  <si>
    <t>FF1 207.52g</t>
  </si>
  <si>
    <t>FF1 207.53g</t>
  </si>
  <si>
    <t>FF1 207.54g</t>
  </si>
  <si>
    <t>FF1 207.55g</t>
  </si>
  <si>
    <t>FF1 207.56g</t>
  </si>
  <si>
    <t>Total Lines</t>
  </si>
  <si>
    <t>Total Transmission</t>
  </si>
  <si>
    <t>Note 1</t>
  </si>
  <si>
    <t>B) Plant Classified as Distribution in  FERC Form 1:</t>
  </si>
  <si>
    <t>Distribution</t>
  </si>
  <si>
    <t>Land:</t>
  </si>
  <si>
    <t>FF1 207.60g</t>
  </si>
  <si>
    <t>Structures:</t>
  </si>
  <si>
    <t>FF1 207.61g</t>
  </si>
  <si>
    <t>FF1 207.62g</t>
  </si>
  <si>
    <t>Total Structures</t>
  </si>
  <si>
    <t>Total Distribution</t>
  </si>
  <si>
    <t>Note 2</t>
  </si>
  <si>
    <t>1) Total transmission does not include account 359.1 "Asset Retirement Costs for Transmission Plant"</t>
  </si>
  <si>
    <t>Total on this line is also equal to FF1 207.58g (Total Transmission Plant)</t>
  </si>
  <si>
    <t>less FF1 207.57g (Asset Retirement Costs for Transmission Plant).</t>
  </si>
  <si>
    <t>2) Only accounts 360-362 included as there is no ISO plant in any other Distribution accounts.</t>
  </si>
  <si>
    <t>1) Perform annual Transmission Study pursuant to instructions in tariff.</t>
  </si>
  <si>
    <t>2) Enter total amounts of plant from FERC Form 1 in Column 1, "Total Plant".</t>
  </si>
  <si>
    <t>3) Enter ISO portion of plant in Column 2, "Transmission Plant - ISO, or "Distribution Plant - ISO".</t>
  </si>
  <si>
    <t xml:space="preserve">Prior Year CWIP and Forecast Period Incremental CWIP by Project </t>
  </si>
  <si>
    <t>Prior Year CWIP is the amount of Construction Work In Progress for projects that have received Commission approval</t>
  </si>
  <si>
    <t>to include CWIP in Rate Base.</t>
  </si>
  <si>
    <t>1) Prior Year CWIP, Total and by Project</t>
  </si>
  <si>
    <t>Col 5</t>
  </si>
  <si>
    <t>Col 6</t>
  </si>
  <si>
    <t xml:space="preserve"> = Sum of all</t>
  </si>
  <si>
    <t>columns</t>
  </si>
  <si>
    <t>Devers to</t>
  </si>
  <si>
    <t>Eldorado</t>
  </si>
  <si>
    <t>Total CWIP</t>
  </si>
  <si>
    <t>Tehachapi</t>
  </si>
  <si>
    <t>Colorado River</t>
  </si>
  <si>
    <t>Ivanpah</t>
  </si>
  <si>
    <t>Lugo-Pisgah/</t>
  </si>
  <si>
    <t>Red Bluff</t>
  </si>
  <si>
    <t xml:space="preserve">June </t>
  </si>
  <si>
    <t xml:space="preserve">October </t>
  </si>
  <si>
    <t>13 Month Averages:</t>
  </si>
  <si>
    <t>Col 7</t>
  </si>
  <si>
    <t>Col 8</t>
  </si>
  <si>
    <t>Col 9</t>
  </si>
  <si>
    <t>Col 10</t>
  </si>
  <si>
    <t>Col 11</t>
  </si>
  <si>
    <t>Col 12</t>
  </si>
  <si>
    <t xml:space="preserve">Colorado </t>
  </si>
  <si>
    <t>Whirlwind</t>
  </si>
  <si>
    <t>River</t>
  </si>
  <si>
    <t>South of</t>
  </si>
  <si>
    <t>West of</t>
  </si>
  <si>
    <t>Expansion</t>
  </si>
  <si>
    <t>Kramer</t>
  </si>
  <si>
    <t>Devers</t>
  </si>
  <si>
    <t>---</t>
  </si>
  <si>
    <t>2) Total Forecast Period CWIP Expenditures (see Note 1)</t>
  </si>
  <si>
    <t>See Note 2</t>
  </si>
  <si>
    <t>Unloaded</t>
  </si>
  <si>
    <t>Forecast</t>
  </si>
  <si>
    <t>Corporate</t>
  </si>
  <si>
    <t xml:space="preserve">Total </t>
  </si>
  <si>
    <t>Prior Period</t>
  </si>
  <si>
    <t>Over Heads</t>
  </si>
  <si>
    <t>Forecast Period</t>
  </si>
  <si>
    <t>Expenditures</t>
  </si>
  <si>
    <t>Overheads</t>
  </si>
  <si>
    <t>CWIP Exp</t>
  </si>
  <si>
    <t>Plant Adds</t>
  </si>
  <si>
    <t>CWIP Closed</t>
  </si>
  <si>
    <t>Closed to PIS</t>
  </si>
  <si>
    <t>Period CWIP</t>
  </si>
  <si>
    <t>Incremental CWIP</t>
  </si>
  <si>
    <t>13-Month Averages:</t>
  </si>
  <si>
    <t>3) Forecast Period CWIP Expenditures by Project (see Note 1)</t>
  </si>
  <si>
    <t>3a) Project:</t>
  </si>
  <si>
    <t>= C1 * 
16-Plnt Add Line 74</t>
  </si>
  <si>
    <t>= C1 + C2</t>
  </si>
  <si>
    <t>= (C4 - C5) *
16-Plnt Add Line 74</t>
  </si>
  <si>
    <t>= Prior Month C7
+ C3 - C4 - C6</t>
  </si>
  <si>
    <t>= C7 - 
Dec Prior Year C7</t>
  </si>
  <si>
    <t>3b) Project:</t>
  </si>
  <si>
    <t>Devers to Colorado River</t>
  </si>
  <si>
    <t>3c) Project:</t>
  </si>
  <si>
    <t>Eldorado Ivanpah</t>
  </si>
  <si>
    <t>3d) Project:</t>
  </si>
  <si>
    <t>Lugo Pisgah</t>
  </si>
  <si>
    <t>3e) Project:</t>
  </si>
  <si>
    <t>3f) Project:</t>
  </si>
  <si>
    <t>Whirlwind Substation Expansion</t>
  </si>
  <si>
    <t>Unload</t>
  </si>
  <si>
    <t>3g) Project:</t>
  </si>
  <si>
    <t>Colorado River Substation Expansion</t>
  </si>
  <si>
    <t>3h) Project:</t>
  </si>
  <si>
    <t>South of Kramer</t>
  </si>
  <si>
    <t>3i) Project:</t>
  </si>
  <si>
    <t>West of Devers</t>
  </si>
  <si>
    <t>3j) Project:</t>
  </si>
  <si>
    <t>add additional projects below this line (See Instruction 3)</t>
  </si>
  <si>
    <t xml:space="preserve">1) Forecast Period is the calendar year two years after the Prior Year (i.e., PY+2).   </t>
  </si>
  <si>
    <t>2) Sum of project specific values from lines 55-79, 81-105, 107-131, 133-157, 159-183, 185-209, 211-235, 237-261, 263-287, 289-313,…</t>
  </si>
  <si>
    <t>1) Enter recorded amounts of CWIP during Prior Year on Lines 1-13, 15-27 (including December of year previous to Prior Year).</t>
  </si>
  <si>
    <t>2) Enter forecast project specific values on lines 55-79, 81-105, 107-131, 133-157, 159-183, 185-209, 211-235, 237-261, 263-287, 289-313,...</t>
  </si>
  <si>
    <t>3) If Commission approval is granted to include CWIP in Rate Base for additional projects, include additional tables for each of those additional projects.</t>
  </si>
  <si>
    <t>Distribution Voltage Control Equip. Pct. ISO</t>
  </si>
  <si>
    <t>Total Distribution Voltage Control Equipment</t>
  </si>
  <si>
    <t>Non-ISO Distribution Voltage Control Equip.</t>
  </si>
  <si>
    <t>592 - Maintenance of Distribution Voltage Control Equipment</t>
  </si>
  <si>
    <t>ISO Distribution Voltage Control Equipment</t>
  </si>
  <si>
    <t>Applied to Accounts</t>
  </si>
  <si>
    <t>Values</t>
  </si>
  <si>
    <t>p) Distribution Voltage Control Equipment</t>
  </si>
  <si>
    <t>Distribution Circuit Breakers Percent ISO</t>
  </si>
  <si>
    <t>Total Distribution Circuit Breakers</t>
  </si>
  <si>
    <t>Non-ISO Distribution Circuit Breakers</t>
  </si>
  <si>
    <t>592 - Maintenance of Distribution Circuit Breakers</t>
  </si>
  <si>
    <t>ISO Distribution Circuit Breakers</t>
  </si>
  <si>
    <t>o) Distribution Circuit Breakers</t>
  </si>
  <si>
    <t>Distribution Transformers Percent ISO</t>
  </si>
  <si>
    <t>Total Distribution Transformers</t>
  </si>
  <si>
    <t>Non-ISO Distribution Transformers</t>
  </si>
  <si>
    <t>592 - Maintenance of Distribution Transformers</t>
  </si>
  <si>
    <t>ISO Distribution Transformers</t>
  </si>
  <si>
    <t>n) Distribution Transformers</t>
  </si>
  <si>
    <t>Trans. Fac. Property Damage Percent ISO</t>
  </si>
  <si>
    <t>Total Transmission Facility Property Damage</t>
  </si>
  <si>
    <t>Non-ISO Transmission Fac. Property Damage</t>
  </si>
  <si>
    <t>573 - Provision for Property Damage Expense to Trans. Fac.</t>
  </si>
  <si>
    <t>ISO Transmission Fac. Property Damage</t>
  </si>
  <si>
    <t>m) Transmission Facility Property Damage</t>
  </si>
  <si>
    <t>Transmission Work Order Costs Percent ISO</t>
  </si>
  <si>
    <t>Total Transmission Work Order Costs</t>
  </si>
  <si>
    <t>Non-ISO Transmission Work Order Costs</t>
  </si>
  <si>
    <t>571 - Transmission Work Order Related Expense</t>
  </si>
  <si>
    <t>ISO Transmission Work Order Costs</t>
  </si>
  <si>
    <t>l) Transmission Work Order Cost</t>
  </si>
  <si>
    <t>Substation Work Order Costs Percent ISO</t>
  </si>
  <si>
    <t>Total Substation Work Order Costs</t>
  </si>
  <si>
    <t>Non-ISO Substation Work Order Costs</t>
  </si>
  <si>
    <t>570 - Substation Work Order Related Expense</t>
  </si>
  <si>
    <t>ISO Substation Work Order Costs</t>
  </si>
  <si>
    <t>k) Substation Work Order Cost</t>
  </si>
  <si>
    <t>Voltage Control Equipment Percent ISO</t>
  </si>
  <si>
    <t>Total Voltage Control Equipment</t>
  </si>
  <si>
    <t>Non-ISO Voltage Control Equipment</t>
  </si>
  <si>
    <t>570 - Maintenance of Transmission Voltage Equipment</t>
  </si>
  <si>
    <t>ISO Voltage Control Equipment</t>
  </si>
  <si>
    <t>j) Voltage Control Equipment</t>
  </si>
  <si>
    <t>Circuit Breakers Percent ISO</t>
  </si>
  <si>
    <t>Total Circuit Breakers</t>
  </si>
  <si>
    <t>Non-ISO Breakers</t>
  </si>
  <si>
    <t>570 - Maintenance of Transmission Circuit Breakers</t>
  </si>
  <si>
    <t>ISO Circuit Breakers</t>
  </si>
  <si>
    <t>i) Circuit Breakers</t>
  </si>
  <si>
    <t>Transformers Percent ISO</t>
  </si>
  <si>
    <t>Total Transformers</t>
  </si>
  <si>
    <t>Non-ISO Transformers</t>
  </si>
  <si>
    <t>570 - Maintenance of Power Transformers</t>
  </si>
  <si>
    <t>ISO Transformers</t>
  </si>
  <si>
    <t>h) Transformers</t>
  </si>
  <si>
    <t>Morongo Acres Percent ISO</t>
  </si>
  <si>
    <t>Total Morongo Acres</t>
  </si>
  <si>
    <t>Non-ISO Morongo Acres</t>
  </si>
  <si>
    <t>567 - Morongo Lease</t>
  </si>
  <si>
    <t>ISO Morongo Acres</t>
  </si>
  <si>
    <t>g) Morongo Acres</t>
  </si>
  <si>
    <t>Line Rent Costs Percent ISO</t>
  </si>
  <si>
    <t>Total Line Rent Costs</t>
  </si>
  <si>
    <t>Non-ISO Line Rent Costs</t>
  </si>
  <si>
    <t>567 - Line Rents</t>
  </si>
  <si>
    <t>ISO Line Rent Costs</t>
  </si>
  <si>
    <t>f) Line Rents Costs</t>
  </si>
  <si>
    <t>Underground Line MIles Percent ISO</t>
  </si>
  <si>
    <t>Total Undergound Line Miles</t>
  </si>
  <si>
    <t>572 - Maintenance of Underground Transmission Lines</t>
  </si>
  <si>
    <t>Non-ISO Underground Line Miles</t>
  </si>
  <si>
    <t>564 - Underground Line Expense</t>
  </si>
  <si>
    <t>ISO Underground Line Miles</t>
  </si>
  <si>
    <t>e) Underground Line Miles</t>
  </si>
  <si>
    <t xml:space="preserve">571 - Transmission Line Rights of Way </t>
  </si>
  <si>
    <t>Line MIles Percent ISO</t>
  </si>
  <si>
    <t>571 - Insulators and Conductors</t>
  </si>
  <si>
    <t>Total Line Miles</t>
  </si>
  <si>
    <t>571 - Poles and Structures</t>
  </si>
  <si>
    <t>Non-ISO Line Miles</t>
  </si>
  <si>
    <t>563 - Inspect and Patrol Line</t>
  </si>
  <si>
    <t>ISO Line Miles</t>
  </si>
  <si>
    <t>d) Line Miles</t>
  </si>
  <si>
    <t>Relay Routines Percent ISO</t>
  </si>
  <si>
    <t>Total Relay Routines</t>
  </si>
  <si>
    <t>Non-ISO Relay Routines</t>
  </si>
  <si>
    <t>562 - Routine Testing and Inspection</t>
  </si>
  <si>
    <t>ISO Relay Routines</t>
  </si>
  <si>
    <t>c) Relay Routines</t>
  </si>
  <si>
    <t>Circuits Percent ISO</t>
  </si>
  <si>
    <t>Total Circuits</t>
  </si>
  <si>
    <t>Non-ISO Circuits</t>
  </si>
  <si>
    <t>562 - Operating Transmission Stations</t>
  </si>
  <si>
    <t>ISO Circuits</t>
  </si>
  <si>
    <t>b) Circuits</t>
  </si>
  <si>
    <t>Outages Percent ISO</t>
  </si>
  <si>
    <t>561.200 Load Dispatch Monitor and Operate Trans. System</t>
  </si>
  <si>
    <t>Total Outages</t>
  </si>
  <si>
    <t>561.100 Load Dispatch-Reliability</t>
  </si>
  <si>
    <t>Non-ISO Outages</t>
  </si>
  <si>
    <t>561.000 Load Dispatching</t>
  </si>
  <si>
    <t>ISO Outages</t>
  </si>
  <si>
    <t>a) Outages</t>
  </si>
  <si>
    <t>3) Schedule 19 "Percent ISO" Allocation Factors (Input values are from SCE Records)</t>
  </si>
  <si>
    <t>Transmission Plant Allocation Factor</t>
  </si>
  <si>
    <t>FF1 207.104g</t>
  </si>
  <si>
    <t>Total Plant In Service</t>
  </si>
  <si>
    <t>General Plant</t>
  </si>
  <si>
    <t>Total General Plant</t>
  </si>
  <si>
    <t>Electric Miscellaneous Intangible Plant</t>
  </si>
  <si>
    <t>Total Electric Miscellaneous Intangible Plant</t>
  </si>
  <si>
    <t>Distribution Plant - ISO</t>
  </si>
  <si>
    <t>Transmission Plant - ISO</t>
  </si>
  <si>
    <t>Value</t>
  </si>
  <si>
    <t>Prior Year</t>
  </si>
  <si>
    <t>2) Calculation of Transmission Plant Allocation Factor</t>
  </si>
  <si>
    <t>Transmission Wages and Salary Allocation Factor</t>
  </si>
  <si>
    <t>Total non-A&amp;G W&amp;S with NOIC</t>
  </si>
  <si>
    <t>NOIC wo A&amp;G NOIC</t>
  </si>
  <si>
    <t>Less A&amp;G NOIC</t>
  </si>
  <si>
    <t>Total NOIC (Non-Officer Incentive Compensation)</t>
  </si>
  <si>
    <t xml:space="preserve">Total Wages and Salaries wo A&amp;G </t>
  </si>
  <si>
    <t>FF1 354.27b</t>
  </si>
  <si>
    <t>Less Total A&amp;G Wages and Salaries</t>
  </si>
  <si>
    <t>FF1 354.28b</t>
  </si>
  <si>
    <t>Total Wages and Salaries</t>
  </si>
  <si>
    <t>ISO Transmission Wages and Salaries</t>
  </si>
  <si>
    <t>1) Calculation of Transmission Wages and Salaries Allocation Factor</t>
  </si>
  <si>
    <t>Calculation of Allocation Factors</t>
  </si>
  <si>
    <t xml:space="preserve"> </t>
  </si>
  <si>
    <t>Revised TO9 True Up TRR in TO12 Draft Posting</t>
  </si>
  <si>
    <t>2015</t>
  </si>
  <si>
    <t>TO11 TUTRR</t>
  </si>
  <si>
    <t>Jan 1, 2015</t>
  </si>
  <si>
    <t>Dec 31, 2015</t>
  </si>
  <si>
    <t>Calculation of 13-Month Average Capitalization Balances</t>
  </si>
  <si>
    <t>Col 13</t>
  </si>
  <si>
    <t>Col 14</t>
  </si>
  <si>
    <t>Item</t>
  </si>
  <si>
    <t>= Sum (Cols. 2-14)/13</t>
  </si>
  <si>
    <t>Bonds -- Account 221 (Note 1):</t>
  </si>
  <si>
    <t>Reacquired Bonds -- Account 222 (Note 2): enter - of FF1</t>
  </si>
  <si>
    <t xml:space="preserve"> Long Term Debt Advances from Associated Companies (Note 2a):</t>
  </si>
  <si>
    <t>2a</t>
  </si>
  <si>
    <t>Other Long Term Debt -- Account 224 (Note 3):</t>
  </si>
  <si>
    <t>NOT USED</t>
  </si>
  <si>
    <t>Preferred Stock Amount -- Account 204 (Note 8):</t>
  </si>
  <si>
    <t xml:space="preserve">Unamortized Issuance Costs (Note 9): enter negative </t>
  </si>
  <si>
    <t>Net Gain (Loss) From Purchase and Tender Offers Note 10):</t>
  </si>
  <si>
    <t>Total Proprietary Capital (Note 11):</t>
  </si>
  <si>
    <t>Unappropriated Undist. Sub. Earnings -- Acct. 216.1 (Note 12): enter - of FF1</t>
  </si>
  <si>
    <t>Accumulated Other Comprehensive Loss -- Account 219 (Note 13): enter - of FF1</t>
  </si>
  <si>
    <t xml:space="preserve">1) Enter 13 months of balances for capital structure for Prior Year and December previous to Prior Year in Columns 2-14.  </t>
  </si>
  <si>
    <t>Beginning and End of year amounts in Columns 2 and 14 are from FERC Form 1, as referenced in below notes.</t>
  </si>
  <si>
    <t xml:space="preserve">2) </t>
  </si>
  <si>
    <t>3) Update notes 9 and 10 as necessary.</t>
  </si>
  <si>
    <t xml:space="preserve">1) Amount in Column 2 from FF1 112.18d, amount in Column 14 from FF1 112.18c, amounts in columns 3-13 from SCE internal records. </t>
  </si>
  <si>
    <t xml:space="preserve">2) Amount in Column 2 from FF1 112.19d, amount in Column 14 from FF1 112.19c, amounts in columns 3-13 from SCE internal records. </t>
  </si>
  <si>
    <t xml:space="preserve">2a) Amount in Column 2 from FF1 112.20d, amount in Column 14 from FF1 112.20c, amounts in columns 3-13 from SCE internal records. </t>
  </si>
  <si>
    <t xml:space="preserve">3) Amount in Column 2 from FF1 112.21d, amount in Column 14 from FF1 112.21c, amounts in columns 3-13 from SCE internal records. </t>
  </si>
  <si>
    <t xml:space="preserve">4) </t>
  </si>
  <si>
    <t xml:space="preserve">5) </t>
  </si>
  <si>
    <t xml:space="preserve">6) </t>
  </si>
  <si>
    <t xml:space="preserve">7) </t>
  </si>
  <si>
    <t xml:space="preserve">8) Amount in Column 2 from FF1 112.3d, amount in Column 14 from FF1 112.3c, amounts in columns 3-13 from SCE internal records. </t>
  </si>
  <si>
    <t>9) Amounts in columns 2-14 are from SCE internal records.</t>
  </si>
  <si>
    <t>List associated securities, Face Amount, Issuance Date, Issuance Costs, Amortization Period, and Annual Amortization:</t>
  </si>
  <si>
    <t>Amortization</t>
  </si>
  <si>
    <t>Face</t>
  </si>
  <si>
    <t>Issuance</t>
  </si>
  <si>
    <t>Period</t>
  </si>
  <si>
    <t>Annual</t>
  </si>
  <si>
    <t>Issue</t>
  </si>
  <si>
    <t>Date</t>
  </si>
  <si>
    <t>Costs</t>
  </si>
  <si>
    <t>(Years)</t>
  </si>
  <si>
    <t>Series A Pref., 5.349% initial rate</t>
  </si>
  <si>
    <t>Dividend rate is variable after 4/30/2010.  Fully amortized.</t>
  </si>
  <si>
    <t>Series B Pref., 6.125%</t>
  </si>
  <si>
    <t>Series C Pref., 6.000%</t>
  </si>
  <si>
    <t>Series D Pref., 6.500%</t>
  </si>
  <si>
    <t>Series E Pref., 6.250%</t>
  </si>
  <si>
    <t>Eleven months amortization in 2012</t>
  </si>
  <si>
    <t>Series F Pref., 5.625%</t>
  </si>
  <si>
    <t>Seven months amortization in 2012</t>
  </si>
  <si>
    <t>…</t>
  </si>
  <si>
    <t>Total Annual Amortization (sum of "Issues" listed above)</t>
  </si>
  <si>
    <t>10) Amounts in columns 2-14 are from SCE internal records.</t>
  </si>
  <si>
    <t>List associated securities and event, Event Date, Amortization Amount, Amortization Period, and Annual Amortization:</t>
  </si>
  <si>
    <t>Event</t>
  </si>
  <si>
    <t>Issue/Event</t>
  </si>
  <si>
    <t>8.540% Preferred, premium</t>
  </si>
  <si>
    <t>November 1985</t>
  </si>
  <si>
    <t>Net gain from open-market purchase of 67,400 shares in November 1985</t>
  </si>
  <si>
    <t>12.000% Preferred, redemption</t>
  </si>
  <si>
    <t>February 1986</t>
  </si>
  <si>
    <t>Redemption premium paid to holders (so loss to company)</t>
  </si>
  <si>
    <t>Initial issue discount</t>
  </si>
  <si>
    <t>Total Annual Amortization (sum of "Issues/Events" listed above)</t>
  </si>
  <si>
    <t xml:space="preserve">11) Amount in Column 2 from FF1 112.16d, amount in Column 14 from FF1 112.16c, amounts in columns 3-13 from SCE internal records. </t>
  </si>
  <si>
    <t xml:space="preserve">12) Amount in Column 2 from FF1 112.12d (opposite sign), amount in Column 14 from FF1 112.12c (opposite sign), amounts in columns 3-13 from SCE internal records. </t>
  </si>
  <si>
    <t>13) Amount in Column 2 from FF1 112.15d (opposite sign), amount in Column 14 from FF1 112.15c (opposite sign), amounts in columns 3-13 from SCE internal records.</t>
  </si>
  <si>
    <t>Calculation of Components of Cost of Capital Rate</t>
  </si>
  <si>
    <t>Cells shaded yellow are input cells</t>
  </si>
  <si>
    <t>RETURN AND CAPITALIZATION CALCULATIONS</t>
  </si>
  <si>
    <t>Calculation of Long Term Debt Amount</t>
  </si>
  <si>
    <t>Bonds -- Account 221</t>
  </si>
  <si>
    <t>13-month avg.</t>
  </si>
  <si>
    <t>Less Reacquired Bonds -- Account 222</t>
  </si>
  <si>
    <t>Long Term Debt Advances from Associated Companies -- Account 223</t>
  </si>
  <si>
    <t>Other Long Term Debt -- Account 224</t>
  </si>
  <si>
    <t>Not Used</t>
  </si>
  <si>
    <t>Long Term Debt Amount</t>
  </si>
  <si>
    <t>Calculation of Cost of Long-Term Debt</t>
  </si>
  <si>
    <t>Interest on Long-Term Debt -- Account 427</t>
  </si>
  <si>
    <t>FF1 117.62c</t>
  </si>
  <si>
    <t>Amortization of Debt Discount and Expense -- Account 428</t>
  </si>
  <si>
    <t>FF1 117.63c</t>
  </si>
  <si>
    <t>Amortization of Loss on Reacquired Debt -- Account 428.1</t>
  </si>
  <si>
    <t>FF1 117.64c</t>
  </si>
  <si>
    <t>Less Amortization of Premium on Debt -- Account 429</t>
  </si>
  <si>
    <t>Enter negative</t>
  </si>
  <si>
    <t>FF1 117.65c</t>
  </si>
  <si>
    <t>Less Amort. of Gain on Reacquired Debt -- Account 429.1</t>
  </si>
  <si>
    <t>FF1 117.66c</t>
  </si>
  <si>
    <t>13a</t>
  </si>
  <si>
    <t>Interest on Debt to Associated Companies -- Account 430</t>
  </si>
  <si>
    <t>FF1 117.67c</t>
  </si>
  <si>
    <t>Cost of Long Term Debt</t>
  </si>
  <si>
    <t>Long-Term Debt Cost Percentage</t>
  </si>
  <si>
    <t>Calculation of Preferred Stock Amount</t>
  </si>
  <si>
    <t>Preferred Stock Amount -- Account 204</t>
  </si>
  <si>
    <t>Unamortized Issuance Costs</t>
  </si>
  <si>
    <t>Net Gain (Loss) From Purchase and Tender Offers</t>
  </si>
  <si>
    <t>Preferred Stock Amount</t>
  </si>
  <si>
    <t>Calculation of Cost of Preferred Stock</t>
  </si>
  <si>
    <t>Cost of Preferred Stock -- Account 437</t>
  </si>
  <si>
    <t xml:space="preserve">Enter positive </t>
  </si>
  <si>
    <t>FF1 118.29c</t>
  </si>
  <si>
    <t>Amortization of Net Gain (Loss)  From Purchases and Tender Offers</t>
  </si>
  <si>
    <t>Amortization Issuance Costs</t>
  </si>
  <si>
    <t>Preferred Stock Cost Percentage</t>
  </si>
  <si>
    <t>Calculation of Common Stock Equity Amount</t>
  </si>
  <si>
    <t>Total Proprietary Capital</t>
  </si>
  <si>
    <t>Less Preferred Stock Amount -- Account 204</t>
  </si>
  <si>
    <t>Minus Net Gain (Loss) From Purchase and Tender Offers</t>
  </si>
  <si>
    <t>See Note 5</t>
  </si>
  <si>
    <t>Less Unappropriated Undist. Sub. Earnings -- Acct. 216.1</t>
  </si>
  <si>
    <t>Less Accumulated Other Comprehensive Loss -- Account 219</t>
  </si>
  <si>
    <t>Common Stock Equity Amount</t>
  </si>
  <si>
    <t>1) Not Used</t>
  </si>
  <si>
    <t>2) Not Used</t>
  </si>
  <si>
    <t>3) Total annual amortization associated with events listed in note 10 on 5-ROR-2.</t>
  </si>
  <si>
    <t>4) Total annual amortization associated with preferred equity issues listed in note 9 on 5-ROR-2.</t>
  </si>
  <si>
    <t xml:space="preserve">Year </t>
  </si>
  <si>
    <t>Two months amortization in 2013</t>
  </si>
  <si>
    <t>Series G Pref., 5.100%</t>
  </si>
  <si>
    <t>Eleven months amortization in 2013</t>
  </si>
  <si>
    <t>Series B</t>
  </si>
  <si>
    <t>Redeemed by Series G</t>
  </si>
  <si>
    <t>Series C</t>
  </si>
  <si>
    <t>Plant In Service</t>
  </si>
  <si>
    <t>1) Transmission Plant - ISO</t>
  </si>
  <si>
    <t>Balances for Transmission Plant - ISO during the Prior Year, including December of previous year (See Note 1):</t>
  </si>
  <si>
    <t>Sum C2 - C11</t>
  </si>
  <si>
    <t>Mo/YR</t>
  </si>
  <si>
    <t>Dec 2012</t>
  </si>
  <si>
    <t>Jan 2013</t>
  </si>
  <si>
    <t>Feb 2013</t>
  </si>
  <si>
    <t>Mar 2013</t>
  </si>
  <si>
    <t xml:space="preserve">Apr 2013 </t>
  </si>
  <si>
    <t>May 2013</t>
  </si>
  <si>
    <t>Jun 2013</t>
  </si>
  <si>
    <t>Jul 2013</t>
  </si>
  <si>
    <t>Aug 2013</t>
  </si>
  <si>
    <t>Sep 2013</t>
  </si>
  <si>
    <t>Oct 2013</t>
  </si>
  <si>
    <t>Nov 2013</t>
  </si>
  <si>
    <t>Dec 2013</t>
  </si>
  <si>
    <t>13-Mo. Avg:</t>
  </si>
  <si>
    <t>2) Distribution Plant - ISO</t>
  </si>
  <si>
    <t>Balances for Distribution Plant - ISO for December of Prior Year and year before Prior Year (See Note 2)</t>
  </si>
  <si>
    <t>Sum C2 - C4</t>
  </si>
  <si>
    <t>Average:</t>
  </si>
  <si>
    <t>3) ISO Transmission Plant</t>
  </si>
  <si>
    <t>ISO Transmission Plant is the sum of "Transmission Plant - ISO" and "Distribution Plant - ISO"</t>
  </si>
  <si>
    <t>Average value:</t>
  </si>
  <si>
    <t>EOY Value:</t>
  </si>
  <si>
    <t>4) General Plant + Electric Miscellaneous Intangible Plant ("G&amp;I Plant")</t>
  </si>
  <si>
    <t>General and Intangible Plant is an allocated portion of Total G&amp;I Plant based on the Trans. W&amp;S Allocation Factor</t>
  </si>
  <si>
    <t>Prior</t>
  </si>
  <si>
    <t>General</t>
  </si>
  <si>
    <t>Intangible</t>
  </si>
  <si>
    <t>G&amp;I Plant</t>
  </si>
  <si>
    <t>Balances</t>
  </si>
  <si>
    <t>FF1 206.99.b and 204.5b</t>
  </si>
  <si>
    <t>BOY amount from previous PY</t>
  </si>
  <si>
    <t>FF1 207.99.g and 205.5g</t>
  </si>
  <si>
    <t>End of year ("EOY") amount</t>
  </si>
  <si>
    <t xml:space="preserve">a) BOY/EOY Average G&amp;I Plant </t>
  </si>
  <si>
    <t>Average BOY/EOY Value:</t>
  </si>
  <si>
    <t>Transmission W&amp;S Allocation Factor:</t>
  </si>
  <si>
    <t>General + Intangible Plant:</t>
  </si>
  <si>
    <t>b) EOY G&amp;I Plant</t>
  </si>
  <si>
    <t>Transmission Activity Used to Determine Monthly Transmission Plant - ISO Balances</t>
  </si>
  <si>
    <t>1) Total Transmission Activity by Account (See Note 3)</t>
  </si>
  <si>
    <t>Apr 2013</t>
  </si>
  <si>
    <t>2) ISO Incentive Plant Activity (See Note 4)</t>
  </si>
  <si>
    <t>3) Total Transmission Activity Not Including Incentive Plant Activity (See Note 5):</t>
  </si>
  <si>
    <t>4) Calculation of change in Non-Incentive ISO Plant:</t>
  </si>
  <si>
    <t>A) Change in ISO Plant Balance December to December (See Note 6)</t>
  </si>
  <si>
    <t>B) Change in Incentive ISO Plant (See Note 7)</t>
  </si>
  <si>
    <t>C) Change in Non-Incentive ISO Plant (See Note 8)</t>
  </si>
  <si>
    <t>5) Other ISO Transmission Activity without Incentive Plant Activity (See Note 9):</t>
  </si>
  <si>
    <t xml:space="preserve">1) Amounts on Line 13 from corresponding account Schedule 7, column 2.  </t>
  </si>
  <si>
    <t>Amounts on Line 1 must match corresponding account Schedule 7, Column 2 for previous year.</t>
  </si>
  <si>
    <t xml:space="preserve">The amounts for each month on the remaining lines are calculated by summing the following values: </t>
  </si>
  <si>
    <t>a) Other ISO Transmission Activity without Incentive Plant Activity on Lines 70-81 for the same month;</t>
  </si>
  <si>
    <t>b) ISO Incentive Plant Activity on Lines 41 to 52 for the same month; and</t>
  </si>
  <si>
    <t xml:space="preserve">c) The previous month balance of the Transmission Plant - ISO amounts on Lines 1-13.  </t>
  </si>
  <si>
    <t xml:space="preserve">For instance, the amount for May of the Prior Year (on Line 6) for Account 353 (Column 5) is the sum of the following values: </t>
  </si>
  <si>
    <t>a) the "Other ISO Transmission Activity without Incentive Plant Activity" for May of the Prior Year (on Line 74, Column 5);</t>
  </si>
  <si>
    <t>b) the "ISO Incentive Plant Activity" for May of the Prior Year (on Line 45, Column 5),</t>
  </si>
  <si>
    <t>c) and the "Transmission Plant - ISO" amount for April of the Prior Year (on Line 5, Column 5)."</t>
  </si>
  <si>
    <t>3) Includes recorded Transmission Plant-In-Service additions, retirements, transfers and adjustments.  From SCE internal acounting records.</t>
  </si>
  <si>
    <t>1) Transmission Depreciation Reserve - ISO</t>
  </si>
  <si>
    <t>Balances for Transmission Depreciation Reserve - ISO during the Prior Year, including December of previous year (See Note 1):</t>
  </si>
  <si>
    <t>=Sum C2 to C11</t>
  </si>
  <si>
    <t>FERC</t>
  </si>
  <si>
    <t>Account:</t>
  </si>
  <si>
    <t>2) Distribution Depreciation Reserve - ISO (See Note 2)</t>
  </si>
  <si>
    <t>=Sum C2 to C4</t>
  </si>
  <si>
    <t>Beginning of Year ("BOY") amount</t>
  </si>
  <si>
    <t>End of Year ("EOY") amount</t>
  </si>
  <si>
    <t>BOY/EOY Average:</t>
  </si>
  <si>
    <t>3) General and Intangible Depreciation Reserve</t>
  </si>
  <si>
    <t>=C4+C5</t>
  </si>
  <si>
    <t>Gen. and Int.</t>
  </si>
  <si>
    <t xml:space="preserve">Depreciation </t>
  </si>
  <si>
    <t>Reserve</t>
  </si>
  <si>
    <t>BOY:</t>
  </si>
  <si>
    <t>FF1 219.28c and 200.21c for previous year</t>
  </si>
  <si>
    <t>EOY:</t>
  </si>
  <si>
    <t>FF1 219.28c and 200.21c</t>
  </si>
  <si>
    <t>a) Average BOY/EOY General and Intangible Depreciation Reserve</t>
  </si>
  <si>
    <t>Total G+I Dep. Reserve on Average BOY/EOY basis:</t>
  </si>
  <si>
    <t>G + I Plant Dep. Reserve (BOY/EOY Average):</t>
  </si>
  <si>
    <t xml:space="preserve">b) EOY General and Intangible Depreciation Reserve </t>
  </si>
  <si>
    <t>Total G+I Dep. Reserve on Average EOY basis:</t>
  </si>
  <si>
    <t>G + I Plant Dep. Reserve (EOY):</t>
  </si>
  <si>
    <t>Transmission Activity Used to Determine Monthly Transmission Depreciation Reserve - ISO Balances</t>
  </si>
  <si>
    <t>2) Depreciation Expense (See Note 4)</t>
  </si>
  <si>
    <t>3) Total Transmission Activity less Depreciation Expense (See Note 5)</t>
  </si>
  <si>
    <t>4) Calculation of Other Transmission Activity</t>
  </si>
  <si>
    <t>A) Change in Depreciation Reserve - ISO (See Note 6)</t>
  </si>
  <si>
    <t>B) Total Depreciation Expense (See Note 7)</t>
  </si>
  <si>
    <t>C) Other Activity (See Note 8)</t>
  </si>
  <si>
    <t>5) Other Transmission Activity (See Note 9)</t>
  </si>
  <si>
    <t xml:space="preserve">1) Amounts on Line 13 based on current year Plant Study.  Amounts on Line 1 shall be based previous year Plant Study, and </t>
  </si>
  <si>
    <t>shall match amounts on Line 13 in previous year Annual Update.</t>
  </si>
  <si>
    <t>The amounts for each month on the remaining lines are calculated by summing the following values:</t>
  </si>
  <si>
    <t>a) Depreciation Expense (on Lines 40 to 51) for the same month;</t>
  </si>
  <si>
    <t xml:space="preserve">b) Other Transmission Activity (on Lines 69 to 80) for the same month; and </t>
  </si>
  <si>
    <t>c) Balances for Transmission Depreciation Reserve (on Lines 1 to 13) for the previous month.</t>
  </si>
  <si>
    <t>For instance, the amount for May of the Prior Year (on Line 6) for Account 353 (Column 5) is the sum of the following values:</t>
  </si>
  <si>
    <t>a) Depreciaiton Expense for May of the Prior Year (on Line 44, Column 5);</t>
  </si>
  <si>
    <t xml:space="preserve">b) Other Transmission Activity for May of the Prior Year (on Line 73, Column 5); and </t>
  </si>
  <si>
    <t>c) The balances for Transmission Depreciation Reserve for April of the Prior Yeaer (on Line 5, column 5).</t>
  </si>
  <si>
    <t>3) Total Transmission Activity by Account represents accumulated depreciation changes for all Transmission plant.</t>
  </si>
  <si>
    <t>Plant Balances For Incentive Projects Receiving either ROE Incentives ("Transmission Incentive Plant")</t>
  </si>
  <si>
    <t>or CWIP ("CWIP Plant")</t>
  </si>
  <si>
    <t>Input data is shaded yellow</t>
  </si>
  <si>
    <t>A) Summary of Incentive Project plant balances receiving ROE incentives</t>
  </si>
  <si>
    <t>("Transmission Incentive Plant") and/or CWIP ("CWIP Plant") and calculation</t>
  </si>
  <si>
    <t>of balances needed to determine the following:</t>
  </si>
  <si>
    <t>1) Rate Base in Prior Year</t>
  </si>
  <si>
    <t>2) Prior Year Incentive Rate Base - End of Year</t>
  </si>
  <si>
    <t>3) Prior Year Incentive Rate Base - 13-Month Average</t>
  </si>
  <si>
    <t xml:space="preserve">Transmission Incentive Project plant balances and CWIP Plant may affect the following: </t>
  </si>
  <si>
    <t>a) CWIP Plant during the Prior Year is included in Rate Base (used in Prior Year TRR and True Up TRR).</t>
  </si>
  <si>
    <t xml:space="preserve">b) Forecast Period Incremental CWIP contributes to Incremental Forecast Period TRR </t>
  </si>
  <si>
    <t xml:space="preserve">c) CWIP Plant receiving an ROE adder contributes to Prior Year Incentive Rate Base - EOY, </t>
  </si>
  <si>
    <t>or Prior Year Incentive Rate Base - 13 Month Average as appropriate.</t>
  </si>
  <si>
    <t>d) "TIP Net Plant In Service" at EOY Prior Year is used to calculate the PY Incentive Rate Base (on EOY basis).</t>
  </si>
  <si>
    <t>e) "TIP Net Plant In Service" in PY is used to calculate the Prior Year Incentive Rate Base (on 13-month average basis).</t>
  </si>
  <si>
    <t>1) Summary of CWIP Plant in Prior Year and Forecast Period</t>
  </si>
  <si>
    <t>13-Month</t>
  </si>
  <si>
    <t>Incremental</t>
  </si>
  <si>
    <t>End-of-Year</t>
  </si>
  <si>
    <t>Average</t>
  </si>
  <si>
    <t>CWIP</t>
  </si>
  <si>
    <t>Incentive</t>
  </si>
  <si>
    <t>Project</t>
  </si>
  <si>
    <t>1) Tehachapi</t>
  </si>
  <si>
    <t>2) Devers-Colorado River</t>
  </si>
  <si>
    <t>3) Eldorado-Ivanpah</t>
  </si>
  <si>
    <t>4) Lugo-Pisgah</t>
  </si>
  <si>
    <t>5) Red Bluff</t>
  </si>
  <si>
    <t>6) Whirlwind Substation Exp.</t>
  </si>
  <si>
    <t>7) Colorado River Sub. Exp.</t>
  </si>
  <si>
    <t>8) South of Kramer</t>
  </si>
  <si>
    <t>9) West of Devers</t>
  </si>
  <si>
    <t>Totals:</t>
  </si>
  <si>
    <t>2) Summary of Prior Year Incentive Rate Base amounts (EOY Values)</t>
  </si>
  <si>
    <t>= C2 + C3</t>
  </si>
  <si>
    <t>EOY</t>
  </si>
  <si>
    <t>TIP Net Plant</t>
  </si>
  <si>
    <t>Portion</t>
  </si>
  <si>
    <t>In Service</t>
  </si>
  <si>
    <t>1) Rancho Vista</t>
  </si>
  <si>
    <t>2) Tehachapi</t>
  </si>
  <si>
    <t>3) Devers-Colorado River</t>
  </si>
  <si>
    <t>Total PY Incentive Net Plant:</t>
  </si>
  <si>
    <t xml:space="preserve">End of Year </t>
  </si>
  <si>
    <t>3) Summary of Prior Year Incentive Rate Base amounts (13-Month Average values)</t>
  </si>
  <si>
    <t>3) Devers-Colorado R</t>
  </si>
  <si>
    <t>13 Month Average</t>
  </si>
  <si>
    <t>4) Prior Year TIP Net Plant In Service</t>
  </si>
  <si>
    <t xml:space="preserve">Prior </t>
  </si>
  <si>
    <t xml:space="preserve">Total TIP </t>
  </si>
  <si>
    <t xml:space="preserve">Net Plant </t>
  </si>
  <si>
    <t>Rancho</t>
  </si>
  <si>
    <t>Vista</t>
  </si>
  <si>
    <t>←December of</t>
  </si>
  <si>
    <t>year previous</t>
  </si>
  <si>
    <t>to Prior Year</t>
  </si>
  <si>
    <t>5) Total Transmission Activity for Incentive Projects</t>
  </si>
  <si>
    <t>= C1 - C2</t>
  </si>
  <si>
    <t>Account 350-359</t>
  </si>
  <si>
    <t>Activity for</t>
  </si>
  <si>
    <t>360-362</t>
  </si>
  <si>
    <t>Projects</t>
  </si>
  <si>
    <t>Activity</t>
  </si>
  <si>
    <t xml:space="preserve">Source </t>
  </si>
  <si>
    <t>C1: Sum of below projects</t>
  </si>
  <si>
    <t>for each month</t>
  </si>
  <si>
    <t>6) Calculation of Prior Year Net Plant in Service amounts for each Incentive Project</t>
  </si>
  <si>
    <t>a) Tehachapi</t>
  </si>
  <si>
    <t>= C1 - Previous</t>
  </si>
  <si>
    <t>Month C1</t>
  </si>
  <si>
    <t>Accumulated</t>
  </si>
  <si>
    <t>Net Plant</t>
  </si>
  <si>
    <t>In-Service</t>
  </si>
  <si>
    <t>Depreciation</t>
  </si>
  <si>
    <t>b) Rancho Vista</t>
  </si>
  <si>
    <t>c) Devers to Colorado River</t>
  </si>
  <si>
    <t>d) Eldorado Ivanpah</t>
  </si>
  <si>
    <t>e) Lugo Pisgah</t>
  </si>
  <si>
    <t>f) Red Bluff</t>
  </si>
  <si>
    <t>g) Whirlwind Substation Expansion</t>
  </si>
  <si>
    <t>h) Colorado River Substation Expansion</t>
  </si>
  <si>
    <t>i) South of Kramer</t>
  </si>
  <si>
    <t>j) West of Devers</t>
  </si>
  <si>
    <t>6) Summary of Incentive Projects and incentives granted</t>
  </si>
  <si>
    <t>A) Rancho Vista Incentives Received:</t>
  </si>
  <si>
    <t>Cite:</t>
  </si>
  <si>
    <t>CWIP:</t>
  </si>
  <si>
    <t>Yes</t>
  </si>
  <si>
    <t>121 FERC ¶ 61,168 at P 57</t>
  </si>
  <si>
    <t>ROE adder:</t>
  </si>
  <si>
    <t>121 FERC ¶ 61,168 at P 129</t>
  </si>
  <si>
    <t>100% Abandoned Plant:</t>
  </si>
  <si>
    <t>No</t>
  </si>
  <si>
    <t>-------</t>
  </si>
  <si>
    <t>B) Tehachapi Incentives Received:</t>
  </si>
  <si>
    <t>121 FERC ¶ 61,168 at P 71</t>
  </si>
  <si>
    <t>C) Devers to  Colorado River Incentives Received:</t>
  </si>
  <si>
    <t>121 FERC ¶ 61,168 at 129; modified by ER10-160 Settlement, see</t>
  </si>
  <si>
    <t>P2 and P3</t>
  </si>
  <si>
    <t>D) Devers to  Palo Verde 2 Incentives Received:</t>
  </si>
  <si>
    <t>121 FERC ¶ 61,168 at P 57; modified by ER10-160 Settlement, see</t>
  </si>
  <si>
    <t xml:space="preserve">121 FERC ¶ 61,168 at P 129; modified by ER10-160 Settlement, see </t>
  </si>
  <si>
    <t>P 3 and P 7</t>
  </si>
  <si>
    <t>E) Eldorado Ivanpah Incentives Received:</t>
  </si>
  <si>
    <t>129 FERC ¶ 61,246 at P 55, and 133 FERC ¶ 61,108 at P 92</t>
  </si>
  <si>
    <t>133 FERC ¶ 61,108 at P 98</t>
  </si>
  <si>
    <t>129 FERC ¶ 61,246 at PP 68-69, and 133 FERC ¶ 61,108 at PP 85-86</t>
  </si>
  <si>
    <t>F) Lugo Pisgah Incentives Received:</t>
  </si>
  <si>
    <t>133 FERC ¶ 61,107 at P 76</t>
  </si>
  <si>
    <t>133 FERC ¶ 61,107 at P 102</t>
  </si>
  <si>
    <t>133 FERC ¶ 61,107 at P 88</t>
  </si>
  <si>
    <t>G) Red Bluff Incentives Received:</t>
  </si>
  <si>
    <t>H) Whirlwind Substation Expansion Incentives Received:</t>
  </si>
  <si>
    <t>134 FERC ¶ 61,181 at P 79</t>
  </si>
  <si>
    <t>I) Colorado River Substation Expansion Incentives Received:</t>
  </si>
  <si>
    <t>J) South of Kramer Incentives Received:</t>
  </si>
  <si>
    <t>K) West of Devers Incentives Received:</t>
  </si>
  <si>
    <t>L) Future Incentive Projects</t>
  </si>
  <si>
    <t xml:space="preserve">1) Upon Commission approval of any incentives for additional projects, add additional projects and provide cite to the </t>
  </si>
  <si>
    <t>Commission decision.</t>
  </si>
  <si>
    <t>Fully amortized</t>
  </si>
  <si>
    <t xml:space="preserve">Proceeds from the sale of Series G were used to redeem all outstanding shares of Series B and C preference stock. </t>
  </si>
  <si>
    <t>Series H, Pref., 5.75%</t>
  </si>
  <si>
    <t>Ten months amortization in 2014</t>
  </si>
  <si>
    <t>Jan 2014</t>
  </si>
  <si>
    <t>Feb 2014</t>
  </si>
  <si>
    <t>Mar 2014</t>
  </si>
  <si>
    <t>Apr 2014</t>
  </si>
  <si>
    <t>May 2014</t>
  </si>
  <si>
    <t>Jun 2014</t>
  </si>
  <si>
    <t>Jul 2014</t>
  </si>
  <si>
    <t>Aug 2014</t>
  </si>
  <si>
    <t>Sep 2014</t>
  </si>
  <si>
    <t>Oct 2014</t>
  </si>
  <si>
    <t>Nov 2014</t>
  </si>
  <si>
    <t>Dec 2014</t>
  </si>
  <si>
    <t>Series J., Pref., 5.375%</t>
  </si>
  <si>
    <t>Four months amortization in 2015</t>
  </si>
  <si>
    <t>Series A</t>
  </si>
  <si>
    <t>Jan 2015</t>
  </si>
  <si>
    <t>Feb 2015</t>
  </si>
  <si>
    <t>Mar 2015</t>
  </si>
  <si>
    <t>Apr 2015</t>
  </si>
  <si>
    <t>May 2015</t>
  </si>
  <si>
    <t>Jun 2015</t>
  </si>
  <si>
    <t>Jul 2015</t>
  </si>
  <si>
    <t>Aug 2015</t>
  </si>
  <si>
    <t>Sep 2015</t>
  </si>
  <si>
    <t>Oct 2015</t>
  </si>
  <si>
    <t>Nov 2015</t>
  </si>
  <si>
    <t>Dec 2015</t>
  </si>
  <si>
    <t>ER16-2433, Order dated September 28, 2016</t>
  </si>
  <si>
    <t>Total One-Time Adjustment for 2016:</t>
  </si>
  <si>
    <t>4.</t>
  </si>
  <si>
    <t>D</t>
  </si>
  <si>
    <t>5.</t>
  </si>
  <si>
    <t>H</t>
  </si>
  <si>
    <t>L = G + H + I + J + K</t>
  </si>
  <si>
    <t>F = A + B + C + D + E</t>
  </si>
  <si>
    <t>M</t>
  </si>
  <si>
    <t>N</t>
  </si>
  <si>
    <t>O</t>
  </si>
  <si>
    <t>P</t>
  </si>
  <si>
    <t>Q</t>
  </si>
  <si>
    <t>R = M + N + O + P + Q</t>
  </si>
  <si>
    <t>S</t>
  </si>
  <si>
    <t>T</t>
  </si>
  <si>
    <t>U</t>
  </si>
  <si>
    <t>V</t>
  </si>
  <si>
    <t>W</t>
  </si>
  <si>
    <t>X = S + T + U + V + W</t>
  </si>
  <si>
    <t>Y = F + L + R + X</t>
  </si>
  <si>
    <t>Total One-Time Adjustment for 2012 Reflected in December TO12 Posting</t>
  </si>
  <si>
    <t>Total One-Time Adjustment for 2013 Reflected in December TO12 Posting</t>
  </si>
  <si>
    <t>Total One-Time Adjustment for 2014 Reflected in December TO12 Posting</t>
  </si>
  <si>
    <t>Total One-Time Adjustment for 2015 Reflected in December TO12 Posting</t>
  </si>
  <si>
    <t>Total One-Time Adjustment for 2012 through 2015 Reflected in December TO12 Posting</t>
  </si>
  <si>
    <t>In preparing the TO12 Draft Annual Update, SCE discovered a correction for CWIP projects, CRS and DCR, that was misclassified material during final work order closing and removed from these two CWIP projects.  SCE has incorporated this correction that changes the TO8 Schedule 10-CWIP and the impact of this change is a decrease in the 2012 True Up TRR of $17,793.</t>
  </si>
  <si>
    <t>In preparing the TO12 Draft Annual Update, SCE discovered an additional A&amp;G exclusion related to outside services.  SCE has incorporated this correction that changes the TO8 Schedule 20-A&amp;G and the impact of this change is a decrease in the 2012 True Up TRR of $5,346.</t>
  </si>
  <si>
    <t>In preparing the TO12 Draft Annual Update, SCE discovered that the Unamortized Issuance Costs were based on estimated issuance cost instead of actual.  SCE has incorporated this correction that changes the TO8 Schedules 5-ROR1 and 5-ROR2 and the impact of this change is an increase in the 2012 True Up TRR of $2,276.</t>
  </si>
  <si>
    <t>In preparing the TO12 Draft Annual Update, SCE discovered a correction for CWIP projects, CRS and DCR, that was misclassified material during final work order closing and removed from these two CWIP projects.  SCE has incorporated this correction that changes the TO9 Schedules 6-PlantInService, 8-AccDep, 10-CWIP and 14-IncentivePlantand the impact of this change is a decrease in the 2013 True Up TRR of $15,608.</t>
  </si>
  <si>
    <t>In preparing the TO12 Draft Annual Update, SCE discovered an additional A&amp;G exclusion related to outside services.  SCE has incorporated this correction that changes the TO9 Schedule 20-A&amp;G and the impact of this change is a decrease in the 2013 True Up TRR of $29,121.</t>
  </si>
  <si>
    <t>In preparing the TO12 Draft Annual Update, SCE discovered that the Unamortized Issuance Costs and the Net Gain From Purchase and Tender Offers were based on estimated issuance cost instead of actual.  SCE has incorporated this correction that changes the TO9 Schedules 5-ROR1 and 5-ROR2 and the impact of this change is an increase in the 2013 True Up TRR of $47,304.</t>
  </si>
  <si>
    <t>In preparing the TO12 Draft Annual Update, SCE discovered a correction for CWIP projects, CRS and DCR, that was misclassified material during final work order closing and removed from these two CWIP projects.  SCE has incorporated this correction that changes the TO10 Schedules 6-PlantInService, 8-AccDep, and 14-IncentivePlantand the impact of this change is a decrease in the 2014 True Up TRR of $4,834.</t>
  </si>
  <si>
    <t>In preparing the TO12 Draft Annual Update, SCE discovered an additional A&amp;G exclusion related to outside services.  SCE has incorporated this correction that changes the TO10 Schedule 20-A&amp;G and the impact of this change is a decrease in the 2014 True Up TRR of $9,905.</t>
  </si>
  <si>
    <t>In preparing the TO12 Draft Annual Update, SCE discovered that the Unamortized Issuance Costs and the Net Gain From Purchase and Tender Offers were based on estimated issuance cost instead of actual.  SCE has incorporated this correction that changes the TO10 Schedules 5-ROR1 and 5-ROR2 and the impact of this change is an increase in the 2014 True Up TRR of $139,820.</t>
  </si>
  <si>
    <t>In preparing the TO12 Draft Annual Update, SCE discovered a correction for CWIP projects, CRS and DCR, that was misclassified material during final work order closing and removed from these two CWIP projects.  SCE has incorporated this correction that changes the TO11 Schedule 10-CWIP and the impact of this change is a decrease in the 2015 True Up TRR of $2,677.</t>
  </si>
  <si>
    <t>In preparing the TO12 Draft Annual Update, SCE discovered an additional A&amp;G exclusion related to outside services.  SCE has incorporated this correction that changes the TO11 Schedule 20-A&amp;G and the impact of this change is a decrease in the 2015 True Up TRR of $4,913.</t>
  </si>
  <si>
    <t>In preparing the TO12 Draft Annual Update, SCE discovered that the Unamortized Issuance Costs and the Net Gain From Purchase and Tender Offers were based on estimated issuance cost instead of actual.  SCE has incorporated this correction that changes the TO11 Schedules 5-ROR1 and 5-ROR2 and the impact of this change is an increase in the 2015 True Up TRR of $140,887.</t>
  </si>
  <si>
    <t>6-PlantInService, Line 18</t>
  </si>
  <si>
    <t>6-PlantInService, Line 24</t>
  </si>
  <si>
    <t>6-PlantInService, Line 21, C2</t>
  </si>
  <si>
    <t>6-PlantInService, Line 21, C1</t>
  </si>
  <si>
    <t>11-PHFU, Line 9</t>
  </si>
  <si>
    <t>12-AbandonedPlant Line 4</t>
  </si>
  <si>
    <t>13-WorkCap, Line 17</t>
  </si>
  <si>
    <t>13-WorkCap, Line 33</t>
  </si>
  <si>
    <t>1-Base TRR Line 7</t>
  </si>
  <si>
    <t>1-Base TRR L 58</t>
  </si>
  <si>
    <t>1-Base TRR L 62</t>
  </si>
  <si>
    <t>1-Base TRR L 64</t>
  </si>
  <si>
    <t>1-Base TRR L 65</t>
  </si>
  <si>
    <t>1-Base TRR L 66</t>
  </si>
  <si>
    <t>1-Base TRR L 67</t>
  </si>
  <si>
    <t>1-Base TRR L 68</t>
  </si>
  <si>
    <t>1-Base TRR L 69</t>
  </si>
  <si>
    <t>1-Base TRR L 70</t>
  </si>
  <si>
    <t>1-Base TRR L 71</t>
  </si>
  <si>
    <t>1-Base TRR L 74</t>
  </si>
  <si>
    <t>1-Base TRR L 75</t>
  </si>
  <si>
    <t>1-Base TRR L 49</t>
  </si>
  <si>
    <t>1-Base TRR L 50</t>
  </si>
  <si>
    <t>1-Base TRR L 51</t>
  </si>
  <si>
    <t>1-Base TRR L 46 * Line d</t>
  </si>
  <si>
    <t>8-AccDep, Line 14, Col. 12</t>
  </si>
  <si>
    <t>8-AccDep, Line 17, Col. 5</t>
  </si>
  <si>
    <t>8-AccDep, Line 23</t>
  </si>
  <si>
    <t>9-ADIT, Line 15</t>
  </si>
  <si>
    <t>14-IncentivePlant, L 12, C2</t>
  </si>
  <si>
    <t>4) Column 12 matches 'Activity for Incentive Projects' on 14-IncentivePlant, Lines 39 to 52.  Other columns from SCE internal accounting records.</t>
  </si>
  <si>
    <t>22-NUCs, Line 9</t>
  </si>
  <si>
    <t>34-UnfundedReserves, Line 7</t>
  </si>
  <si>
    <t>23-RegAssets, Line 15</t>
  </si>
  <si>
    <t>35-PBOPs L 14</t>
  </si>
  <si>
    <t>15-IncentiveAdder L 20</t>
  </si>
  <si>
    <t>28-FFU, L 5</t>
  </si>
  <si>
    <t>5-ROR-2, Line 1</t>
  </si>
  <si>
    <t>5-ROR-2, Line 2</t>
  </si>
  <si>
    <t>5-ROR-2, Line 2a</t>
  </si>
  <si>
    <t>5-ROR-2, Line 3</t>
  </si>
  <si>
    <t>5-ROR-2, Line 18</t>
  </si>
  <si>
    <t>5-ROR-2, Line 19</t>
  </si>
  <si>
    <t>5-ROR-2, Line 20</t>
  </si>
  <si>
    <t>5-ROR-2, Line 27</t>
  </si>
  <si>
    <t>5-ROR-2, Line 30</t>
  </si>
  <si>
    <t>5-ROR-2, Line 31</t>
  </si>
  <si>
    <t>7-PlantStudy, Line 21</t>
  </si>
  <si>
    <t>7-PlantStudy, Line 30</t>
  </si>
  <si>
    <t>27-Allocators, Line 9</t>
  </si>
  <si>
    <t>27-Allocators, Line 22</t>
  </si>
  <si>
    <t>4) From 17-Depreciation, Lines 24 to 35.</t>
  </si>
  <si>
    <t>10-CWIP Lines 13, 14, and 80</t>
  </si>
  <si>
    <t>10-CWIP Lines 13, 14, and 106</t>
  </si>
  <si>
    <t>10-CWIP Lines 13, 14, and 132</t>
  </si>
  <si>
    <t>10-CWIP Lines 13, 14, and 158</t>
  </si>
  <si>
    <t>10-CWIP Lines 13, 14, and 184</t>
  </si>
  <si>
    <t>10-CWIP Lines 27, 28, and 210</t>
  </si>
  <si>
    <t>10-CWIP Lines 27, 28, and 236</t>
  </si>
  <si>
    <t>10-CWIP Lines 27, 28, and 262</t>
  </si>
  <si>
    <t>10-CWIP Lines 27, 28, and 288</t>
  </si>
  <si>
    <t>19-OandM Line 137, Col. 7</t>
  </si>
  <si>
    <t>In preparing the TO12 Draft Annual Update, SCE discovered the Hoover-Mead No. 2 and No. 3 lines were misclassified as ISO.  SCE has incorporated this correction that changes the TO10 Schedules 7-Plant Study and 27-Allocators and the impact of this change is a decrease in the 2014 True Up TRR of $282,292.</t>
  </si>
  <si>
    <t>In preparing the TO12 Draft Annual Update, SCE discovered the Hoover-Mead No. 2 and No. 3 lines were misclassified as ISO.  SCE has incorporated this correction that changes the TO8 Schedules 7-Plant Study and 27-Allocators and the impact of this change is a decrease in the 2012 True Up TRR of $197,382.</t>
  </si>
  <si>
    <t>In preparing the TO12 Draft Annual Update, SCE discovered the Hoover-Mead No. 2 and No. 3 lines were misclassified as ISO.  SCE has incorporated this correction that changes the TO9 Schedules 7-Plant Study and 27-Allocators and the impact of this change is a decrease in the 2013 True Up TRR of $239,149.</t>
  </si>
  <si>
    <t>In preparing the TO12 Draft Annual Update, SCE discovered the Hoover-Mead No. 2 and No. 3 lines were misclassified as ISO.  SCE has incorporated this correction that changes the TO11 Schedules 7-Plant Study and 27-Allocators and the impact of this change is a decrease in the 2015 True Up TRR of $267,978.</t>
  </si>
  <si>
    <t>(2) 2012 ISO Allocator Miscounting Adjustment</t>
  </si>
  <si>
    <t>In preparing the TO12 Draft Annual Update, SCE discovered that one ISO allocator was incorrect due to the miscounting of voltage control equiment.  SCE has incorporated this correction that changes the TO8 Schedule 27-Allocators and the impact of this change is a decrease in the 2012 True Up TRR of $100,204.</t>
  </si>
  <si>
    <t>(3) 2012 CWIP Misclassification Adjustment</t>
  </si>
  <si>
    <t>(4) 2012 A&amp;G Exclusion Adjustment</t>
  </si>
  <si>
    <t>(5) 2012 True up of Estimated Issuance Cost Adjustment</t>
  </si>
  <si>
    <t>(2) 2013 ISO Allocator Miscounting Adjustment</t>
  </si>
  <si>
    <t>(3) 2013 CWIP Misclassification Adjustment</t>
  </si>
  <si>
    <t>(4) 2013 A&amp;G Exclusion Adjustment</t>
  </si>
  <si>
    <t>(5) 2013 True up of Estimated Issuance Cost Adjustment</t>
  </si>
  <si>
    <t>(1) 2012 Hoover-Mead No. 2 and 3 Lines Misclassification Adjustment</t>
  </si>
  <si>
    <t>(1) 2013 Hoover-Mead No. 2 and 3 Lines Misclassification Adjustment</t>
  </si>
  <si>
    <t>(1) 2014 Hoover-Mead No. 2 and 3 Lines Misclassification Adjustment</t>
  </si>
  <si>
    <t>(2) 2014 ISO Allocator Miscounting Adjustment</t>
  </si>
  <si>
    <t>(3) 2014 CWIP Misclassification Adjustment</t>
  </si>
  <si>
    <t>(4) 2014 A&amp;G Exclusion Adjustment</t>
  </si>
  <si>
    <t>(5) 2014 True up of Estimated Issuance Cost Adjustment</t>
  </si>
  <si>
    <t>(1) 2015 Hoover-Mead No. 2 and 3 Lines Misclassification Adjustment</t>
  </si>
  <si>
    <t>(2) 2015 ISO Allocator Miscounting Adjustment</t>
  </si>
  <si>
    <t>(3) 2015 CWIP Misclassification Adjustment</t>
  </si>
  <si>
    <t>(4) 2015 A&amp;G Exclusion Adjustment</t>
  </si>
  <si>
    <t>(5) 2015 True up of Estimated Issuance Cost Adjustment</t>
  </si>
  <si>
    <r>
      <t>TO12 Draft Posting - WP Schedule 3 - One Time Adj True Up Adj, Page</t>
    </r>
    <r>
      <rPr>
        <sz val="11"/>
        <rFont val="Calibri"/>
        <family val="2"/>
        <scheme val="minor"/>
      </rPr>
      <t xml:space="preserve"> 7</t>
    </r>
    <r>
      <rPr>
        <sz val="11"/>
        <color theme="1"/>
        <rFont val="Calibri"/>
        <family val="2"/>
        <scheme val="minor"/>
      </rPr>
      <t>, Line 45.</t>
    </r>
  </si>
  <si>
    <t>TO11 Annual Update Filing - Attachment 1 - Schedule 4 , Page 14, Line 45.</t>
  </si>
  <si>
    <t>TO11 Annual Update Filing - WP Schedule 3 - One Time Adj True Up Adj, Page 13, Line 45.</t>
  </si>
  <si>
    <t>TO11 Annual Update Filing - WP Schedule 3 - One Time Adj True Up Adj, Page 20, Line 45.</t>
  </si>
  <si>
    <t>TO11 Annual Update Filing - WP Schedule 3 - One Time Adj True Up Adj, Page 6, Line 45.</t>
  </si>
  <si>
    <r>
      <t>TO12 Draft Annual Update - WP Schedule 3 - One Time Adj True Up Adj, Page</t>
    </r>
    <r>
      <rPr>
        <sz val="11"/>
        <rFont val="Calibri"/>
        <family val="2"/>
        <scheme val="minor"/>
      </rPr>
      <t xml:space="preserve"> 28</t>
    </r>
    <r>
      <rPr>
        <sz val="11"/>
        <color theme="1"/>
        <rFont val="Calibri"/>
        <family val="2"/>
        <scheme val="minor"/>
      </rPr>
      <t>, Line 45.</t>
    </r>
  </si>
  <si>
    <t>TO12 Draft Annual Update - WP Schedule 3 - One Time Adj True Up Adj, Page 63, Line 45.</t>
  </si>
  <si>
    <r>
      <t>TO12 Draft Annual Update - WP Schedule 3 - One Time Adj True Up Adj, Page</t>
    </r>
    <r>
      <rPr>
        <sz val="11"/>
        <rFont val="Calibri"/>
        <family val="2"/>
        <scheme val="minor"/>
      </rPr>
      <t xml:space="preserve"> 91</t>
    </r>
    <r>
      <rPr>
        <sz val="11"/>
        <color theme="1"/>
        <rFont val="Calibri"/>
        <family val="2"/>
        <scheme val="minor"/>
      </rPr>
      <t>, Line 45.</t>
    </r>
  </si>
  <si>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TO10 Schedule 27-Allocators and the impact of this change is an increase in the 2014 True Up TRR of $401,720.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</si>
  <si>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TO11 Schedule 27-Allocators and the impact of this change is a decrease in the 2015 True Up TRR of $18,850.</t>
  </si>
  <si>
    <t>In preparing the TO12 Draft Annual Update, SCE discovered that seven ISO allocators were incorrect due to the miscounting of transformers, circuit breakers, voltage control equiment, and transmission facility property damages.  SCE has incorporated this correction that changes the TO9 Schedule 27-Allocators and the impact of this change is an increase in the 2013 True Up TRR of $405,382.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</si>
</sst>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5" formatCode="&quot;$&quot;#,##0_);\(&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quot;$&quot;#,##0"/>
    <numFmt numFmtId="165" formatCode="_-* #,##0.00\ _D_M_-;\-* #,##0.00\ _D_M_-;_-* &quot;-&quot;??\ _D_M_-;_-@_-"/>
    <numFmt numFmtId="166" formatCode="_(* #,##0_);_(* \(#,##0\);_(* &quot;-&quot;??_);_(@_)"/>
    <numFmt numFmtId="167" formatCode="0.0000%"/>
    <numFmt numFmtId="168" formatCode="0.000%"/>
    <numFmt numFmtId="169" formatCode="&quot;$&quot;#,##0;[Red]&quot;$&quot;#,##0"/>
    <numFmt numFmtId="170" formatCode="&quot;$&quot;#,##0.00"/>
    <numFmt numFmtId="171" formatCode="_(&quot;$&quot;* #,##0_);_(&quot;$&quot;* \(#,##0\);_(&quot;$&quot;* &quot;-&quot;??_);_(@_)"/>
    <numFmt numFmtId="172" formatCode="0.0%"/>
    <numFmt numFmtId="173" formatCode="_(&quot;$&quot;* #,##0.00_);_(&quot;$&quot;* \(#,##0.00\);_(&quot;$&quot;* &quot;-&quot;_);_(@_)"/>
    <numFmt numFmtId="174" formatCode="#,##0.000"/>
    <numFmt numFmtId="175" formatCode="m/d/yy;@"/>
    <numFmt numFmtId="176" formatCode="0_);\(0\)"/>
    <numFmt numFmtId="177" formatCode="&quot;$&quot;#,##0.000000"/>
  </numFmts>
  <fonts count="7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u/>
      <sz val="10"/>
      <name val="Arial"/>
      <family val="2"/>
    </font>
    <font>
      <sz val="11"/>
      <color indexed="8"/>
      <name val="Calibri"/>
      <family val="2"/>
    </font>
    <font>
      <sz val="11"/>
      <color indexed="9"/>
      <name val="Calibri"/>
      <family val="2"/>
    </font>
    <font>
      <b/>
      <sz val="11"/>
      <color indexed="8"/>
      <name val="Calibri"/>
      <family val="2"/>
    </font>
    <font>
      <sz val="10"/>
      <color indexed="8"/>
      <name val="Arial"/>
      <family val="2"/>
    </font>
    <font>
      <sz val="10"/>
      <color indexed="10"/>
      <name val="Arial"/>
      <family val="2"/>
    </font>
    <font>
      <b/>
      <sz val="10"/>
      <color indexed="8"/>
      <name val="Arial"/>
      <family val="2"/>
    </font>
    <font>
      <sz val="10"/>
      <name val="MS Sans Serif"/>
      <family val="2"/>
    </font>
    <font>
      <b/>
      <sz val="10"/>
      <color indexed="39"/>
      <name val="Arial"/>
      <family val="2"/>
    </font>
    <font>
      <b/>
      <sz val="12"/>
      <color indexed="8"/>
      <name val="Arial"/>
      <family val="2"/>
    </font>
    <font>
      <sz val="10"/>
      <color indexed="39"/>
      <name val="Arial"/>
      <family val="2"/>
    </font>
    <font>
      <sz val="19"/>
      <color indexed="48"/>
      <name val="Arial"/>
      <family val="2"/>
    </font>
    <font>
      <b/>
      <sz val="18"/>
      <color indexed="62"/>
      <name val="Cambria"/>
      <family val="2"/>
    </font>
    <font>
      <b/>
      <sz val="11"/>
      <color theme="1"/>
      <name val="Calibri"/>
      <family val="2"/>
      <scheme val="minor"/>
    </font>
    <font>
      <sz val="10"/>
      <color theme="1"/>
      <name val="Arial"/>
      <family val="2"/>
    </font>
    <font>
      <b/>
      <sz val="10"/>
      <color theme="1"/>
      <name val="Arial"/>
      <family val="2"/>
    </font>
    <font>
      <b/>
      <u/>
      <sz val="11"/>
      <color theme="1"/>
      <name val="Calibri"/>
      <family val="2"/>
      <scheme val="minor"/>
    </font>
    <font>
      <sz val="10"/>
      <name val="Arial"/>
      <family val="2"/>
    </font>
    <font>
      <sz val="10"/>
      <color rgb="FF000000"/>
      <name val="Times New Roman"/>
      <family val="1"/>
    </font>
    <font>
      <b/>
      <sz val="12"/>
      <name val="Calibri"/>
      <family val="2"/>
      <scheme val="minor"/>
    </font>
    <font>
      <sz val="12"/>
      <name val="Calibri"/>
      <family val="2"/>
      <scheme val="minor"/>
    </font>
    <font>
      <sz val="10"/>
      <name val="Arial"/>
      <family val="2"/>
    </font>
    <font>
      <b/>
      <sz val="16"/>
      <color theme="1"/>
      <name val="Calibri"/>
      <family val="2"/>
      <scheme val="minor"/>
    </font>
    <font>
      <b/>
      <sz val="16"/>
      <name val="Calibri"/>
      <family val="2"/>
      <scheme val="minor"/>
    </font>
    <font>
      <b/>
      <sz val="12"/>
      <color theme="1"/>
      <name val="Calibri"/>
      <family val="2"/>
      <scheme val="minor"/>
    </font>
    <font>
      <u/>
      <sz val="10"/>
      <name val="Arial"/>
      <family val="2"/>
    </font>
    <font>
      <sz val="9"/>
      <name val="Arial"/>
      <family val="2"/>
    </font>
    <font>
      <u/>
      <sz val="9"/>
      <name val="Arial"/>
      <family val="2"/>
    </font>
    <font>
      <sz val="10"/>
      <color rgb="FFFF0000"/>
      <name val="Arial"/>
      <family val="2"/>
    </font>
    <font>
      <strike/>
      <sz val="10"/>
      <name val="Arial"/>
      <family val="2"/>
    </font>
    <font>
      <sz val="10"/>
      <name val="Arial"/>
      <family val="2"/>
    </font>
    <font>
      <sz val="10"/>
      <name val="Times New Roman"/>
      <family val="1"/>
    </font>
    <font>
      <b/>
      <sz val="10"/>
      <name val="Times New Roman"/>
      <family val="1"/>
    </font>
    <font>
      <b/>
      <sz val="9"/>
      <color indexed="81"/>
      <name val="Tahoma"/>
      <family val="2"/>
    </font>
    <font>
      <sz val="9"/>
      <color indexed="81"/>
      <name val="Tahoma"/>
      <family val="2"/>
    </font>
    <font>
      <sz val="11"/>
      <name val="Calibri"/>
      <family val="2"/>
      <scheme val="minor"/>
    </font>
    <font>
      <b/>
      <sz val="16"/>
      <name val="Times New Roman"/>
      <family val="1"/>
    </font>
    <font>
      <sz val="10"/>
      <name val="Calibri"/>
      <family val="2"/>
    </font>
    <font>
      <u/>
      <sz val="10"/>
      <color rgb="FFFF0000"/>
      <name val="Arial"/>
      <family val="2"/>
    </font>
    <font>
      <b/>
      <sz val="10"/>
      <name val="Calibri"/>
      <family val="2"/>
    </font>
    <font>
      <sz val="8"/>
      <name val="Arial"/>
      <family val="2"/>
    </font>
    <font>
      <b/>
      <sz val="10"/>
      <color rgb="FFFF0000"/>
      <name val="Arial"/>
      <family val="2"/>
    </font>
    <font>
      <b/>
      <sz val="10"/>
      <color indexed="13"/>
      <name val="Arial"/>
      <family val="2"/>
    </font>
    <font>
      <sz val="10"/>
      <color indexed="13"/>
      <name val="Arial"/>
      <family val="2"/>
    </font>
    <font>
      <b/>
      <sz val="9"/>
      <color indexed="81"/>
      <name val="Tahoma"/>
      <charset val="1"/>
    </font>
    <font>
      <u/>
      <sz val="10"/>
      <color theme="1"/>
      <name val="Arial"/>
      <family val="2"/>
    </font>
    <font>
      <b/>
      <u/>
      <sz val="10"/>
      <color theme="1"/>
      <name val="Arial"/>
      <family val="2"/>
    </font>
    <font>
      <sz val="8"/>
      <name val="Times New Roman"/>
      <family val="1"/>
    </font>
    <font>
      <sz val="10"/>
      <color rgb="FF000000"/>
      <name val="Arial"/>
      <family val="2"/>
    </font>
  </fonts>
  <fills count="43">
    <fill>
      <patternFill patternType="none"/>
    </fill>
    <fill>
      <patternFill patternType="gray125"/>
    </fill>
    <fill>
      <patternFill patternType="solid">
        <fgColor indexed="45"/>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10"/>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57"/>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53"/>
      </patternFill>
    </fill>
    <fill>
      <patternFill patternType="solid">
        <fgColor indexed="26"/>
        <bgColor indexed="26"/>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3"/>
      </patternFill>
    </fill>
    <fill>
      <patternFill patternType="solid">
        <fgColor indexed="26"/>
      </patternFill>
    </fill>
    <fill>
      <patternFill patternType="solid">
        <fgColor indexed="40"/>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patternFill>
    </fill>
    <fill>
      <patternFill patternType="solid">
        <fgColor indexed="9"/>
      </patternFill>
    </fill>
    <fill>
      <patternFill patternType="solid">
        <fgColor indexed="15"/>
      </patternFill>
    </fill>
    <fill>
      <patternFill patternType="solid">
        <fgColor rgb="FFFFFF00"/>
        <bgColor indexed="64"/>
      </patternFill>
    </fill>
    <fill>
      <patternFill patternType="solid">
        <fgColor theme="3" tint="0.59996337778862885"/>
        <bgColor indexed="64"/>
      </patternFill>
    </fill>
    <fill>
      <patternFill patternType="solid">
        <fgColor rgb="FFFFFFFF"/>
      </patternFill>
    </fill>
    <fill>
      <patternFill patternType="solid">
        <fgColor rgb="FFFFCCCC"/>
        <bgColor indexed="64"/>
      </patternFill>
    </fill>
    <fill>
      <patternFill patternType="solid">
        <fgColor rgb="FF99CCFF"/>
        <bgColor indexed="64"/>
      </patternFill>
    </fill>
    <fill>
      <patternFill patternType="solid">
        <fgColor indexed="13"/>
        <bgColor indexed="64"/>
      </patternFill>
    </fill>
    <fill>
      <patternFill patternType="solid">
        <fgColor theme="3" tint="0.59999389629810485"/>
        <bgColor indexed="64"/>
      </patternFill>
    </fill>
    <fill>
      <patternFill patternType="solid">
        <fgColor indexed="8"/>
        <bgColor indexed="64"/>
      </patternFill>
    </fill>
    <fill>
      <patternFill patternType="solid">
        <fgColor theme="1"/>
        <bgColor indexed="64"/>
      </patternFill>
    </fill>
  </fills>
  <borders count="46">
    <border>
      <left/>
      <right/>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indexed="41"/>
      </left>
      <right style="thin">
        <color indexed="48"/>
      </right>
      <top style="medium">
        <color indexed="41"/>
      </top>
      <bottom style="thin">
        <color indexed="4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rgb="FFFF0000"/>
      </right>
      <top style="medium">
        <color rgb="FFFF0000"/>
      </top>
      <bottom style="medium">
        <color rgb="FFFF0000"/>
      </bottom>
      <diagonal/>
    </border>
    <border>
      <left style="medium">
        <color rgb="FFFF0000"/>
      </left>
      <right style="medium">
        <color rgb="FFFF0000"/>
      </right>
      <top style="medium">
        <color rgb="FFFF0000"/>
      </top>
      <bottom/>
      <diagonal/>
    </border>
    <border>
      <left/>
      <right style="medium">
        <color rgb="FFFF0000"/>
      </right>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indexed="64"/>
      </bottom>
      <diagonal/>
    </border>
    <border>
      <left/>
      <right/>
      <top/>
      <bottom style="medium">
        <color rgb="FFFF0000"/>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theme="1"/>
      </top>
      <bottom style="thin">
        <color theme="1"/>
      </bottom>
      <diagonal/>
    </border>
    <border>
      <left style="thin">
        <color indexed="64"/>
      </left>
      <right/>
      <top style="thin">
        <color indexed="64"/>
      </top>
      <bottom/>
      <diagonal/>
    </border>
    <border>
      <left style="thin">
        <color theme="1"/>
      </left>
      <right/>
      <top style="thin">
        <color theme="1"/>
      </top>
      <bottom style="thin">
        <color theme="1"/>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top style="thin">
        <color auto="1"/>
      </top>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style="medium">
        <color rgb="FFFF0000"/>
      </right>
      <top/>
      <bottom style="medium">
        <color rgb="FFFF0000"/>
      </bottom>
      <diagonal/>
    </border>
    <border>
      <left style="medium">
        <color rgb="FFFF0000"/>
      </left>
      <right/>
      <top/>
      <bottom/>
      <diagonal/>
    </border>
  </borders>
  <cellStyleXfs count="225">
    <xf numFmtId="0" fontId="0" fillId="0" borderId="0"/>
    <xf numFmtId="0" fontId="29" fillId="8" borderId="0" applyNumberFormat="0" applyBorder="0" applyAlignment="0" applyProtection="0"/>
    <xf numFmtId="0" fontId="29" fillId="9" borderId="0" applyNumberFormat="0" applyBorder="0" applyAlignment="0" applyProtection="0"/>
    <xf numFmtId="0" fontId="30" fillId="10" borderId="0" applyNumberFormat="0" applyBorder="0" applyAlignment="0" applyProtection="0"/>
    <xf numFmtId="0" fontId="29" fillId="12" borderId="0" applyNumberFormat="0" applyBorder="0" applyAlignment="0" applyProtection="0"/>
    <xf numFmtId="0" fontId="29" fillId="13" borderId="0" applyNumberFormat="0" applyBorder="0" applyAlignment="0" applyProtection="0"/>
    <xf numFmtId="0" fontId="30" fillId="14" borderId="0" applyNumberFormat="0" applyBorder="0" applyAlignment="0" applyProtection="0"/>
    <xf numFmtId="0" fontId="29" fillId="16" borderId="0" applyNumberFormat="0" applyBorder="0" applyAlignment="0" applyProtection="0"/>
    <xf numFmtId="0" fontId="29" fillId="17" borderId="0" applyNumberFormat="0" applyBorder="0" applyAlignment="0" applyProtection="0"/>
    <xf numFmtId="0" fontId="30" fillId="18"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30" fillId="18"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30" fillId="9" borderId="0" applyNumberFormat="0" applyBorder="0" applyAlignment="0" applyProtection="0"/>
    <xf numFmtId="0" fontId="29" fillId="20" borderId="0" applyNumberFormat="0" applyBorder="0" applyAlignment="0" applyProtection="0"/>
    <xf numFmtId="0" fontId="29" fillId="13" borderId="0" applyNumberFormat="0" applyBorder="0" applyAlignment="0" applyProtection="0"/>
    <xf numFmtId="0" fontId="30" fillId="21" borderId="0" applyNumberFormat="0" applyBorder="0" applyAlignment="0" applyProtection="0"/>
    <xf numFmtId="43" fontId="27" fillId="0" borderId="0" applyFont="0" applyFill="0" applyBorder="0" applyAlignment="0" applyProtection="0"/>
    <xf numFmtId="43" fontId="27" fillId="0" borderId="0" applyFont="0" applyFill="0" applyBorder="0" applyAlignment="0" applyProtection="0"/>
    <xf numFmtId="165" fontId="27" fillId="0" borderId="0" applyFont="0" applyFill="0" applyBorder="0" applyAlignment="0" applyProtection="0"/>
    <xf numFmtId="0" fontId="31" fillId="22" borderId="0" applyNumberFormat="0" applyBorder="0" applyAlignment="0" applyProtection="0"/>
    <xf numFmtId="0" fontId="31" fillId="23" borderId="0" applyNumberFormat="0" applyBorder="0" applyAlignment="0" applyProtection="0"/>
    <xf numFmtId="0" fontId="31" fillId="24" borderId="0" applyNumberFormat="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9" fontId="35" fillId="0" borderId="0" applyFont="0" applyFill="0" applyBorder="0" applyAlignment="0" applyProtection="0"/>
    <xf numFmtId="9" fontId="27" fillId="0" borderId="0" applyFont="0" applyFill="0" applyBorder="0" applyAlignment="0" applyProtection="0"/>
    <xf numFmtId="4" fontId="34" fillId="25" borderId="1" applyNumberFormat="0" applyProtection="0">
      <alignment vertical="center"/>
    </xf>
    <xf numFmtId="4" fontId="36" fillId="25" borderId="1" applyNumberFormat="0" applyProtection="0">
      <alignment vertical="center"/>
    </xf>
    <xf numFmtId="4" fontId="34" fillId="25" borderId="1" applyNumberFormat="0" applyProtection="0">
      <alignment horizontal="left" vertical="center" indent="1"/>
    </xf>
    <xf numFmtId="0" fontId="34" fillId="25" borderId="1" applyNumberFormat="0" applyProtection="0">
      <alignment horizontal="left" vertical="top" indent="1"/>
    </xf>
    <xf numFmtId="4" fontId="34" fillId="27" borderId="0" applyNumberFormat="0" applyProtection="0">
      <alignment horizontal="left" vertical="center" indent="1"/>
    </xf>
    <xf numFmtId="4" fontId="32" fillId="2" borderId="1" applyNumberFormat="0" applyProtection="0">
      <alignment horizontal="right" vertical="center"/>
    </xf>
    <xf numFmtId="4" fontId="32" fillId="4" borderId="1" applyNumberFormat="0" applyProtection="0">
      <alignment horizontal="right" vertical="center"/>
    </xf>
    <xf numFmtId="4" fontId="32" fillId="11" borderId="1" applyNumberFormat="0" applyProtection="0">
      <alignment horizontal="right" vertical="center"/>
    </xf>
    <xf numFmtId="4" fontId="32" fillId="6" borderId="1" applyNumberFormat="0" applyProtection="0">
      <alignment horizontal="right" vertical="center"/>
    </xf>
    <xf numFmtId="4" fontId="32" fillId="7" borderId="1" applyNumberFormat="0" applyProtection="0">
      <alignment horizontal="right" vertical="center"/>
    </xf>
    <xf numFmtId="4" fontId="32" fillId="19" borderId="1" applyNumberFormat="0" applyProtection="0">
      <alignment horizontal="right" vertical="center"/>
    </xf>
    <xf numFmtId="4" fontId="32" fillId="15" borderId="1" applyNumberFormat="0" applyProtection="0">
      <alignment horizontal="right" vertical="center"/>
    </xf>
    <xf numFmtId="4" fontId="32" fillId="28" borderId="1" applyNumberFormat="0" applyProtection="0">
      <alignment horizontal="right" vertical="center"/>
    </xf>
    <xf numFmtId="4" fontId="32" fillId="5" borderId="1" applyNumberFormat="0" applyProtection="0">
      <alignment horizontal="right" vertical="center"/>
    </xf>
    <xf numFmtId="4" fontId="34" fillId="29" borderId="2" applyNumberFormat="0" applyProtection="0">
      <alignment horizontal="left" vertical="center" indent="1"/>
    </xf>
    <xf numFmtId="4" fontId="32" fillId="30" borderId="0" applyNumberFormat="0" applyProtection="0">
      <alignment horizontal="left" vertical="center" indent="1"/>
    </xf>
    <xf numFmtId="4" fontId="37" fillId="31" borderId="0" applyNumberFormat="0" applyProtection="0">
      <alignment horizontal="left" vertical="center" indent="1"/>
    </xf>
    <xf numFmtId="4" fontId="32" fillId="27" borderId="1" applyNumberFormat="0" applyProtection="0">
      <alignment horizontal="right" vertical="center"/>
    </xf>
    <xf numFmtId="4" fontId="32" fillId="30" borderId="0" applyNumberFormat="0" applyProtection="0">
      <alignment horizontal="left" vertical="center" indent="1"/>
    </xf>
    <xf numFmtId="4" fontId="32" fillId="27" borderId="0" applyNumberFormat="0" applyProtection="0">
      <alignment horizontal="left" vertical="center" indent="1"/>
    </xf>
    <xf numFmtId="0" fontId="27" fillId="31" borderId="1" applyNumberFormat="0" applyProtection="0">
      <alignment horizontal="left" vertical="center" indent="1"/>
    </xf>
    <xf numFmtId="0" fontId="27" fillId="31" borderId="1" applyNumberFormat="0" applyProtection="0">
      <alignment horizontal="left" vertical="top" indent="1"/>
    </xf>
    <xf numFmtId="0" fontId="27" fillId="27" borderId="1" applyNumberFormat="0" applyProtection="0">
      <alignment horizontal="left" vertical="center" indent="1"/>
    </xf>
    <xf numFmtId="0" fontId="27" fillId="27" borderId="1" applyNumberFormat="0" applyProtection="0">
      <alignment horizontal="left" vertical="top" indent="1"/>
    </xf>
    <xf numFmtId="0" fontId="27" fillId="3" borderId="1" applyNumberFormat="0" applyProtection="0">
      <alignment horizontal="left" vertical="center" indent="1"/>
    </xf>
    <xf numFmtId="0" fontId="27" fillId="3" borderId="1" applyNumberFormat="0" applyProtection="0">
      <alignment horizontal="left" vertical="top" indent="1"/>
    </xf>
    <xf numFmtId="0" fontId="27" fillId="30" borderId="1" applyNumberFormat="0" applyProtection="0">
      <alignment horizontal="left" vertical="center" indent="1"/>
    </xf>
    <xf numFmtId="0" fontId="27" fillId="30" borderId="1" applyNumberFormat="0" applyProtection="0">
      <alignment horizontal="left" vertical="top" indent="1"/>
    </xf>
    <xf numFmtId="0" fontId="27" fillId="32" borderId="3" applyNumberFormat="0">
      <protection locked="0"/>
    </xf>
    <xf numFmtId="4" fontId="32" fillId="26" borderId="1" applyNumberFormat="0" applyProtection="0">
      <alignment vertical="center"/>
    </xf>
    <xf numFmtId="4" fontId="38" fillId="26" borderId="1" applyNumberFormat="0" applyProtection="0">
      <alignment vertical="center"/>
    </xf>
    <xf numFmtId="4" fontId="32" fillId="26" borderId="1" applyNumberFormat="0" applyProtection="0">
      <alignment horizontal="left" vertical="center" indent="1"/>
    </xf>
    <xf numFmtId="0" fontId="32" fillId="26" borderId="1" applyNumberFormat="0" applyProtection="0">
      <alignment horizontal="left" vertical="top" indent="1"/>
    </xf>
    <xf numFmtId="4" fontId="32" fillId="30" borderId="1" applyNumberFormat="0" applyProtection="0">
      <alignment horizontal="right" vertical="center"/>
    </xf>
    <xf numFmtId="4" fontId="38" fillId="30" borderId="1" applyNumberFormat="0" applyProtection="0">
      <alignment horizontal="right" vertical="center"/>
    </xf>
    <xf numFmtId="4" fontId="32" fillId="27" borderId="1" applyNumberFormat="0" applyProtection="0">
      <alignment horizontal="left" vertical="center" indent="1"/>
    </xf>
    <xf numFmtId="0" fontId="32" fillId="27" borderId="1" applyNumberFormat="0" applyProtection="0">
      <alignment horizontal="left" vertical="top" indent="1"/>
    </xf>
    <xf numFmtId="4" fontId="39" fillId="33" borderId="0" applyNumberFormat="0" applyProtection="0">
      <alignment horizontal="left" vertical="center" indent="1"/>
    </xf>
    <xf numFmtId="4" fontId="33" fillId="30" borderId="1" applyNumberFormat="0" applyProtection="0">
      <alignment horizontal="right" vertical="center"/>
    </xf>
    <xf numFmtId="0" fontId="40" fillId="0" borderId="0" applyNumberFormat="0" applyFill="0" applyBorder="0" applyAlignment="0" applyProtection="0"/>
    <xf numFmtId="0" fontId="25" fillId="0" borderId="0"/>
    <xf numFmtId="0" fontId="24" fillId="0" borderId="0"/>
    <xf numFmtId="0" fontId="24" fillId="0" borderId="0"/>
    <xf numFmtId="165" fontId="25" fillId="0" borderId="0" applyFont="0" applyFill="0" applyBorder="0" applyAlignment="0" applyProtection="0"/>
    <xf numFmtId="0" fontId="25" fillId="31" borderId="1" applyNumberFormat="0" applyProtection="0">
      <alignment horizontal="left" vertical="center" indent="1"/>
    </xf>
    <xf numFmtId="0" fontId="25" fillId="31" borderId="1" applyNumberFormat="0" applyProtection="0">
      <alignment horizontal="left" vertical="top" indent="1"/>
    </xf>
    <xf numFmtId="0" fontId="25" fillId="27" borderId="1" applyNumberFormat="0" applyProtection="0">
      <alignment horizontal="left" vertical="center" indent="1"/>
    </xf>
    <xf numFmtId="0" fontId="25" fillId="27" borderId="1" applyNumberFormat="0" applyProtection="0">
      <alignment horizontal="left" vertical="top" indent="1"/>
    </xf>
    <xf numFmtId="0" fontId="25" fillId="3" borderId="1" applyNumberFormat="0" applyProtection="0">
      <alignment horizontal="left" vertical="center" indent="1"/>
    </xf>
    <xf numFmtId="0" fontId="25" fillId="3" borderId="1" applyNumberFormat="0" applyProtection="0">
      <alignment horizontal="left" vertical="top" indent="1"/>
    </xf>
    <xf numFmtId="0" fontId="25" fillId="30" borderId="1" applyNumberFormat="0" applyProtection="0">
      <alignment horizontal="left" vertical="center" indent="1"/>
    </xf>
    <xf numFmtId="0" fontId="25" fillId="30" borderId="1" applyNumberFormat="0" applyProtection="0">
      <alignment horizontal="left" vertical="top" indent="1"/>
    </xf>
    <xf numFmtId="0" fontId="25" fillId="32" borderId="3" applyNumberFormat="0">
      <protection locked="0"/>
    </xf>
    <xf numFmtId="0" fontId="45" fillId="0" borderId="0"/>
    <xf numFmtId="43" fontId="25" fillId="0" borderId="0" applyFont="0" applyFill="0" applyBorder="0" applyAlignment="0" applyProtection="0"/>
    <xf numFmtId="43" fontId="25" fillId="0" borderId="0" applyFont="0" applyFill="0" applyBorder="0" applyAlignment="0" applyProtection="0"/>
    <xf numFmtId="43" fontId="25" fillId="0" borderId="0" applyFont="0" applyFill="0" applyBorder="0" applyAlignment="0" applyProtection="0"/>
    <xf numFmtId="165" fontId="25" fillId="0" borderId="0" applyFont="0" applyFill="0" applyBorder="0" applyAlignment="0" applyProtection="0"/>
    <xf numFmtId="44" fontId="25" fillId="0" borderId="0" applyFont="0" applyFill="0" applyBorder="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9" fontId="25" fillId="0" borderId="0" applyFont="0" applyFill="0" applyBorder="0" applyAlignment="0" applyProtection="0"/>
    <xf numFmtId="9" fontId="25" fillId="0" borderId="0" applyFont="0" applyFill="0" applyBorder="0" applyAlignment="0" applyProtection="0"/>
    <xf numFmtId="0" fontId="25" fillId="0" borderId="0"/>
    <xf numFmtId="0" fontId="25" fillId="0" borderId="0"/>
    <xf numFmtId="0" fontId="23" fillId="0" borderId="0"/>
    <xf numFmtId="0" fontId="23" fillId="0" borderId="0"/>
    <xf numFmtId="0" fontId="22" fillId="0" borderId="0"/>
    <xf numFmtId="0" fontId="22" fillId="0" borderId="0"/>
    <xf numFmtId="0" fontId="21" fillId="0" borderId="0"/>
    <xf numFmtId="0" fontId="21" fillId="0" borderId="0"/>
    <xf numFmtId="0" fontId="21" fillId="0" borderId="0"/>
    <xf numFmtId="0" fontId="21"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25" fillId="0" borderId="0"/>
    <xf numFmtId="0" fontId="25" fillId="0" borderId="0"/>
    <xf numFmtId="0" fontId="25" fillId="0" borderId="0"/>
    <xf numFmtId="0" fontId="35" fillId="0" borderId="0"/>
    <xf numFmtId="0" fontId="35" fillId="0" borderId="0"/>
    <xf numFmtId="0" fontId="35" fillId="0" borderId="0"/>
    <xf numFmtId="0" fontId="35" fillId="0" borderId="0"/>
    <xf numFmtId="0" fontId="35" fillId="0" borderId="0"/>
    <xf numFmtId="43" fontId="42" fillId="0" borderId="0" applyFont="0" applyFill="0" applyBorder="0" applyAlignment="0" applyProtection="0"/>
    <xf numFmtId="9" fontId="25" fillId="0" borderId="0" applyFont="0" applyFill="0" applyBorder="0" applyAlignment="0" applyProtection="0"/>
    <xf numFmtId="0" fontId="25" fillId="0" borderId="0"/>
    <xf numFmtId="0" fontId="18" fillId="0" borderId="0"/>
    <xf numFmtId="0" fontId="18" fillId="0" borderId="0"/>
    <xf numFmtId="0" fontId="18" fillId="0" borderId="0"/>
    <xf numFmtId="43" fontId="25"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7" fillId="0" borderId="0"/>
    <xf numFmtId="9" fontId="17" fillId="0" borderId="0" applyFont="0" applyFill="0" applyBorder="0" applyAlignment="0" applyProtection="0"/>
    <xf numFmtId="0" fontId="16" fillId="0" borderId="0"/>
    <xf numFmtId="43" fontId="16" fillId="0" borderId="0" applyFont="0" applyFill="0" applyBorder="0" applyAlignment="0" applyProtection="0"/>
    <xf numFmtId="9" fontId="16" fillId="0" borderId="0" applyFont="0" applyFill="0" applyBorder="0" applyAlignment="0" applyProtection="0"/>
    <xf numFmtId="4" fontId="34" fillId="29" borderId="9" applyNumberFormat="0" applyProtection="0">
      <alignment horizontal="left" vertical="center" indent="1"/>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9" fontId="15" fillId="0" borderId="0" applyFon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xf numFmtId="0" fontId="13" fillId="0" borderId="0"/>
    <xf numFmtId="0" fontId="13" fillId="0" borderId="0"/>
    <xf numFmtId="0" fontId="46" fillId="0" borderId="0"/>
    <xf numFmtId="43" fontId="25" fillId="0" borderId="0" applyFont="0" applyFill="0" applyBorder="0" applyAlignment="0" applyProtection="0"/>
    <xf numFmtId="43" fontId="49" fillId="0" borderId="0" applyFont="0" applyFill="0" applyBorder="0" applyAlignment="0" applyProtection="0"/>
    <xf numFmtId="0" fontId="12" fillId="0" borderId="0"/>
    <xf numFmtId="43" fontId="12" fillId="0" borderId="0" applyFont="0" applyFill="0" applyBorder="0" applyAlignment="0" applyProtection="0"/>
    <xf numFmtId="0" fontId="12" fillId="0" borderId="0"/>
    <xf numFmtId="0" fontId="12" fillId="0" borderId="0"/>
    <xf numFmtId="44" fontId="58" fillId="0" borderId="0" applyFont="0" applyFill="0" applyBorder="0" applyAlignment="0" applyProtection="0"/>
    <xf numFmtId="0" fontId="8" fillId="0" borderId="0"/>
    <xf numFmtId="9" fontId="8" fillId="0" borderId="0" applyFont="0" applyFill="0" applyBorder="0" applyAlignment="0" applyProtection="0"/>
    <xf numFmtId="43" fontId="8" fillId="0" borderId="0" applyFont="0" applyFill="0" applyBorder="0" applyAlignment="0" applyProtection="0"/>
    <xf numFmtId="44" fontId="25" fillId="0" borderId="0" applyFont="0" applyFill="0" applyBorder="0" applyAlignment="0" applyProtection="0"/>
    <xf numFmtId="0" fontId="25" fillId="0" borderId="0"/>
    <xf numFmtId="0" fontId="3" fillId="0" borderId="0"/>
    <xf numFmtId="38" fontId="75" fillId="0" borderId="0"/>
    <xf numFmtId="0" fontId="3" fillId="0" borderId="0"/>
  </cellStyleXfs>
  <cellXfs count="765">
    <xf numFmtId="0" fontId="0" fillId="0" borderId="0" xfId="0"/>
    <xf numFmtId="0" fontId="16" fillId="0" borderId="0" xfId="157"/>
    <xf numFmtId="0" fontId="41" fillId="35" borderId="4" xfId="157" applyFont="1" applyFill="1" applyBorder="1"/>
    <xf numFmtId="0" fontId="16" fillId="35" borderId="5" xfId="157" applyFill="1" applyBorder="1"/>
    <xf numFmtId="0" fontId="16" fillId="0" borderId="0" xfId="157" applyBorder="1"/>
    <xf numFmtId="0" fontId="26" fillId="0" borderId="0" xfId="157" applyFont="1" applyBorder="1" applyAlignment="1">
      <alignment horizontal="center"/>
    </xf>
    <xf numFmtId="0" fontId="28" fillId="0" borderId="0" xfId="157" quotePrefix="1" applyFont="1" applyBorder="1" applyAlignment="1">
      <alignment horizontal="center"/>
    </xf>
    <xf numFmtId="0" fontId="28" fillId="0" borderId="8" xfId="157" quotePrefix="1" applyFont="1" applyBorder="1" applyAlignment="1">
      <alignment horizontal="center"/>
    </xf>
    <xf numFmtId="0" fontId="41" fillId="0" borderId="0" xfId="157" applyFont="1" applyBorder="1" applyAlignment="1">
      <alignment horizontal="center" vertical="top" wrapText="1"/>
    </xf>
    <xf numFmtId="0" fontId="42" fillId="0" borderId="0" xfId="157" applyFont="1" applyBorder="1"/>
    <xf numFmtId="0" fontId="26" fillId="0" borderId="8" xfId="157" applyFont="1" applyBorder="1" applyAlignment="1">
      <alignment horizontal="center"/>
    </xf>
    <xf numFmtId="0" fontId="41" fillId="0" borderId="0" xfId="157" applyFont="1" applyBorder="1" applyAlignment="1">
      <alignment horizontal="center"/>
    </xf>
    <xf numFmtId="0" fontId="43" fillId="0" borderId="0" xfId="157" applyFont="1" applyBorder="1" applyAlignment="1">
      <alignment horizontal="center"/>
    </xf>
    <xf numFmtId="0" fontId="16" fillId="0" borderId="7" xfId="157" applyBorder="1"/>
    <xf numFmtId="10" fontId="0" fillId="0" borderId="0" xfId="159" applyNumberFormat="1" applyFont="1" applyBorder="1"/>
    <xf numFmtId="164" fontId="42" fillId="34" borderId="0" xfId="157" applyNumberFormat="1" applyFont="1" applyFill="1" applyBorder="1"/>
    <xf numFmtId="164" fontId="42" fillId="0" borderId="0" xfId="157" applyNumberFormat="1" applyFont="1" applyBorder="1" applyAlignment="1">
      <alignment horizontal="right"/>
    </xf>
    <xf numFmtId="164" fontId="42" fillId="0" borderId="0" xfId="157" applyNumberFormat="1" applyFont="1" applyFill="1" applyBorder="1" applyAlignment="1">
      <alignment horizontal="right"/>
    </xf>
    <xf numFmtId="164" fontId="42" fillId="0" borderId="8" xfId="157" applyNumberFormat="1" applyFont="1" applyBorder="1" applyAlignment="1">
      <alignment horizontal="right"/>
    </xf>
    <xf numFmtId="0" fontId="41" fillId="0" borderId="0" xfId="157" applyFont="1" applyAlignment="1">
      <alignment horizontal="center"/>
    </xf>
    <xf numFmtId="0" fontId="41" fillId="0" borderId="0" xfId="157" applyFont="1"/>
    <xf numFmtId="0" fontId="26" fillId="0" borderId="0" xfId="157" applyFont="1" applyAlignment="1">
      <alignment horizontal="center"/>
    </xf>
    <xf numFmtId="0" fontId="16" fillId="0" borderId="0" xfId="157" quotePrefix="1"/>
    <xf numFmtId="164" fontId="16" fillId="0" borderId="0" xfId="157" applyNumberFormat="1"/>
    <xf numFmtId="0" fontId="16" fillId="0" borderId="0" xfId="157" applyAlignment="1">
      <alignment horizontal="right"/>
    </xf>
    <xf numFmtId="164" fontId="16" fillId="0" borderId="0" xfId="157" applyNumberFormat="1" applyFont="1"/>
    <xf numFmtId="0" fontId="28" fillId="0" borderId="0" xfId="157" applyFont="1" applyBorder="1" applyAlignment="1">
      <alignment horizontal="center" vertical="top"/>
    </xf>
    <xf numFmtId="0" fontId="44" fillId="0" borderId="0" xfId="157" applyFont="1" applyBorder="1" applyAlignment="1">
      <alignment horizontal="center" vertical="top"/>
    </xf>
    <xf numFmtId="0" fontId="44" fillId="0" borderId="7" xfId="157" applyFont="1" applyBorder="1" applyAlignment="1">
      <alignment horizontal="center" vertical="top"/>
    </xf>
    <xf numFmtId="0" fontId="28" fillId="0" borderId="8" xfId="157" applyFont="1" applyBorder="1" applyAlignment="1">
      <alignment horizontal="center" vertical="top"/>
    </xf>
    <xf numFmtId="0" fontId="41" fillId="35" borderId="13" xfId="157" applyFont="1" applyFill="1" applyBorder="1"/>
    <xf numFmtId="0" fontId="16" fillId="35" borderId="14" xfId="157" applyFill="1" applyBorder="1"/>
    <xf numFmtId="0" fontId="14" fillId="0" borderId="0" xfId="157" quotePrefix="1" applyFont="1" applyBorder="1" applyAlignment="1">
      <alignment horizontal="center"/>
    </xf>
    <xf numFmtId="0" fontId="48" fillId="36" borderId="0" xfId="209" applyFont="1" applyFill="1" applyBorder="1" applyAlignment="1">
      <alignment horizontal="left" vertical="top" wrapText="1"/>
    </xf>
    <xf numFmtId="0" fontId="51" fillId="36" borderId="0" xfId="209" applyFont="1" applyFill="1" applyBorder="1" applyAlignment="1">
      <alignment vertical="top"/>
    </xf>
    <xf numFmtId="0" fontId="50" fillId="0" borderId="10" xfId="157" applyFont="1" applyBorder="1" applyAlignment="1"/>
    <xf numFmtId="0" fontId="50" fillId="0" borderId="11" xfId="157" applyFont="1" applyBorder="1" applyAlignment="1"/>
    <xf numFmtId="0" fontId="16" fillId="0" borderId="13" xfId="157" applyBorder="1"/>
    <xf numFmtId="0" fontId="16" fillId="0" borderId="14" xfId="157" applyBorder="1"/>
    <xf numFmtId="0" fontId="26" fillId="0" borderId="14" xfId="157" applyFont="1" applyBorder="1" applyAlignment="1">
      <alignment horizontal="center"/>
    </xf>
    <xf numFmtId="0" fontId="28" fillId="0" borderId="14" xfId="157" quotePrefix="1" applyFont="1" applyBorder="1" applyAlignment="1">
      <alignment horizontal="center"/>
    </xf>
    <xf numFmtId="0" fontId="28" fillId="0" borderId="15" xfId="157" quotePrefix="1" applyFont="1" applyBorder="1" applyAlignment="1">
      <alignment horizontal="center"/>
    </xf>
    <xf numFmtId="166" fontId="16" fillId="0" borderId="0" xfId="211" applyNumberFormat="1" applyFont="1"/>
    <xf numFmtId="0" fontId="12" fillId="0" borderId="0" xfId="212"/>
    <xf numFmtId="0" fontId="41" fillId="38" borderId="3" xfId="212" applyFont="1" applyFill="1" applyBorder="1" applyAlignment="1">
      <alignment horizontal="center"/>
    </xf>
    <xf numFmtId="0" fontId="12" fillId="0" borderId="0" xfId="212" applyFill="1"/>
    <xf numFmtId="166" fontId="12" fillId="0" borderId="24" xfId="212" applyNumberFormat="1" applyBorder="1"/>
    <xf numFmtId="166" fontId="41" fillId="0" borderId="29" xfId="212" applyNumberFormat="1" applyFont="1" applyFill="1" applyBorder="1"/>
    <xf numFmtId="0" fontId="26" fillId="0" borderId="0" xfId="93" applyNumberFormat="1" applyFont="1" applyFill="1" applyBorder="1" applyAlignment="1">
      <alignment horizontal="left"/>
    </xf>
    <xf numFmtId="0" fontId="25" fillId="0" borderId="0" xfId="93" applyFont="1" applyFill="1" applyBorder="1" applyAlignment="1">
      <alignment horizontal="left" indent="1"/>
    </xf>
    <xf numFmtId="0" fontId="25" fillId="0" borderId="0" xfId="101" applyFont="1" applyFill="1"/>
    <xf numFmtId="0" fontId="25" fillId="0" borderId="0" xfId="101" applyFill="1"/>
    <xf numFmtId="0" fontId="25" fillId="0" borderId="0" xfId="93" applyFill="1"/>
    <xf numFmtId="0" fontId="25" fillId="0" borderId="0" xfId="93" applyNumberFormat="1" applyFont="1" applyFill="1" applyBorder="1" applyAlignment="1">
      <alignment horizontal="left"/>
    </xf>
    <xf numFmtId="1" fontId="25" fillId="0" borderId="0" xfId="93" applyNumberFormat="1" applyFont="1" applyFill="1" applyBorder="1" applyAlignment="1">
      <alignment horizontal="center"/>
    </xf>
    <xf numFmtId="0" fontId="28" fillId="0" borderId="0" xfId="93" applyFont="1" applyFill="1" applyBorder="1" applyAlignment="1">
      <alignment horizontal="center"/>
    </xf>
    <xf numFmtId="0" fontId="25" fillId="0" borderId="0" xfId="93" applyNumberFormat="1" applyFont="1" applyFill="1" applyBorder="1" applyAlignment="1">
      <alignment horizontal="right"/>
    </xf>
    <xf numFmtId="0" fontId="28" fillId="0" borderId="0" xfId="93" applyFont="1" applyBorder="1" applyAlignment="1">
      <alignment horizontal="center"/>
    </xf>
    <xf numFmtId="0" fontId="25" fillId="0" borderId="0" xfId="93" applyFont="1" applyBorder="1" applyAlignment="1">
      <alignment horizontal="left"/>
    </xf>
    <xf numFmtId="1" fontId="25" fillId="0" borderId="0" xfId="93" applyNumberFormat="1" applyFont="1" applyFill="1" applyBorder="1" applyAlignment="1">
      <alignment horizontal="right"/>
    </xf>
    <xf numFmtId="164" fontId="25" fillId="34" borderId="0" xfId="93" applyNumberFormat="1" applyFont="1" applyFill="1"/>
    <xf numFmtId="0" fontId="25" fillId="0" borderId="0" xfId="93" applyFont="1" applyFill="1"/>
    <xf numFmtId="0" fontId="26" fillId="0" borderId="0" xfId="93" applyFont="1" applyAlignment="1">
      <alignment horizontal="center"/>
    </xf>
    <xf numFmtId="0" fontId="28" fillId="0" borderId="0" xfId="118" applyFont="1" applyFill="1" applyAlignment="1">
      <alignment horizontal="center"/>
    </xf>
    <xf numFmtId="0" fontId="25" fillId="0" borderId="0" xfId="118"/>
    <xf numFmtId="3" fontId="12" fillId="0" borderId="3" xfId="212" applyNumberFormat="1" applyBorder="1" applyAlignment="1">
      <alignment horizontal="center"/>
    </xf>
    <xf numFmtId="164" fontId="56" fillId="0" borderId="0" xfId="93" applyNumberFormat="1" applyFont="1" applyFill="1"/>
    <xf numFmtId="164" fontId="53" fillId="34" borderId="0" xfId="93" applyNumberFormat="1" applyFont="1" applyFill="1"/>
    <xf numFmtId="0" fontId="25" fillId="0" borderId="0" xfId="93" applyFont="1" applyFill="1" applyAlignment="1">
      <alignment horizontal="left" indent="2"/>
    </xf>
    <xf numFmtId="0" fontId="25" fillId="0" borderId="0" xfId="93" applyFont="1" applyFill="1" applyAlignment="1">
      <alignment horizontal="left"/>
    </xf>
    <xf numFmtId="43" fontId="0" fillId="0" borderId="0" xfId="210" applyFont="1"/>
    <xf numFmtId="0" fontId="59" fillId="36" borderId="0" xfId="209" applyFont="1" applyFill="1" applyBorder="1" applyAlignment="1">
      <alignment horizontal="left" vertical="top"/>
    </xf>
    <xf numFmtId="0" fontId="59" fillId="36" borderId="0" xfId="209" applyFont="1" applyFill="1" applyBorder="1" applyAlignment="1">
      <alignment horizontal="left" vertical="top" wrapText="1"/>
    </xf>
    <xf numFmtId="0" fontId="59" fillId="36" borderId="0" xfId="209" applyFont="1" applyFill="1" applyBorder="1" applyAlignment="1">
      <alignment horizontal="center" vertical="center"/>
    </xf>
    <xf numFmtId="171" fontId="59" fillId="0" borderId="0" xfId="216" applyNumberFormat="1" applyFont="1" applyFill="1" applyBorder="1" applyAlignment="1">
      <alignment horizontal="left" vertical="center"/>
    </xf>
    <xf numFmtId="171" fontId="60" fillId="0" borderId="0" xfId="216" applyNumberFormat="1" applyFont="1" applyFill="1" applyBorder="1" applyAlignment="1">
      <alignment horizontal="center" vertical="center"/>
    </xf>
    <xf numFmtId="171" fontId="60" fillId="0" borderId="0" xfId="216" applyNumberFormat="1" applyFont="1" applyFill="1" applyBorder="1" applyAlignment="1">
      <alignment horizontal="center" vertical="center" wrapText="1"/>
    </xf>
    <xf numFmtId="0" fontId="48" fillId="36" borderId="0" xfId="209" applyFont="1" applyFill="1" applyBorder="1" applyAlignment="1">
      <alignment horizontal="left" vertical="top"/>
    </xf>
    <xf numFmtId="0" fontId="48" fillId="36" borderId="0" xfId="209" applyFont="1" applyFill="1" applyBorder="1" applyAlignment="1">
      <alignment horizontal="center" vertical="top" wrapText="1"/>
    </xf>
    <xf numFmtId="0" fontId="48" fillId="36" borderId="0" xfId="209" quotePrefix="1" applyFont="1" applyFill="1" applyBorder="1" applyAlignment="1">
      <alignment horizontal="right" vertical="top"/>
    </xf>
    <xf numFmtId="164" fontId="25" fillId="0" borderId="0" xfId="157" applyNumberFormat="1" applyFont="1" applyFill="1" applyBorder="1" applyAlignment="1">
      <alignment horizontal="center" vertical="center"/>
    </xf>
    <xf numFmtId="0" fontId="48" fillId="36" borderId="0" xfId="209" applyFont="1" applyFill="1" applyBorder="1" applyAlignment="1">
      <alignment vertical="top" wrapText="1"/>
    </xf>
    <xf numFmtId="164" fontId="42" fillId="34" borderId="7" xfId="157" applyNumberFormat="1" applyFont="1" applyFill="1" applyBorder="1"/>
    <xf numFmtId="164" fontId="42" fillId="0" borderId="8" xfId="157" applyNumberFormat="1" applyFont="1" applyFill="1" applyBorder="1" applyAlignment="1">
      <alignment horizontal="right"/>
    </xf>
    <xf numFmtId="0" fontId="41" fillId="0" borderId="0" xfId="157" applyFont="1" applyFill="1" applyBorder="1" applyAlignment="1">
      <alignment horizontal="right"/>
    </xf>
    <xf numFmtId="164" fontId="41" fillId="0" borderId="8" xfId="157" applyNumberFormat="1" applyFont="1" applyFill="1" applyBorder="1"/>
    <xf numFmtId="0" fontId="16" fillId="0" borderId="0" xfId="157" applyFill="1"/>
    <xf numFmtId="0" fontId="12" fillId="0" borderId="0" xfId="212" applyAlignment="1">
      <alignment horizontal="left" wrapText="1"/>
    </xf>
    <xf numFmtId="0" fontId="11" fillId="0" borderId="0" xfId="212" applyFont="1"/>
    <xf numFmtId="0" fontId="25" fillId="39" borderId="0" xfId="118" applyFill="1"/>
    <xf numFmtId="0" fontId="25" fillId="34" borderId="0" xfId="118" applyFill="1"/>
    <xf numFmtId="0" fontId="25" fillId="0" borderId="0" xfId="118" applyAlignment="1">
      <alignment horizontal="center"/>
    </xf>
    <xf numFmtId="0" fontId="28" fillId="0" borderId="0" xfId="118" quotePrefix="1" applyFont="1" applyAlignment="1">
      <alignment horizontal="center"/>
    </xf>
    <xf numFmtId="0" fontId="26" fillId="0" borderId="0" xfId="118" applyFont="1" applyAlignment="1">
      <alignment horizontal="center"/>
    </xf>
    <xf numFmtId="0" fontId="28" fillId="0" borderId="0" xfId="118" applyFont="1" applyAlignment="1">
      <alignment horizontal="left"/>
    </xf>
    <xf numFmtId="0" fontId="28" fillId="0" borderId="0" xfId="118" applyFont="1" applyAlignment="1">
      <alignment horizontal="center"/>
    </xf>
    <xf numFmtId="164" fontId="25" fillId="39" borderId="0" xfId="118" applyNumberFormat="1" applyFill="1" applyAlignment="1"/>
    <xf numFmtId="164" fontId="25" fillId="0" borderId="0" xfId="118" applyNumberFormat="1" applyFill="1"/>
    <xf numFmtId="164" fontId="25" fillId="0" borderId="0" xfId="118" applyNumberFormat="1"/>
    <xf numFmtId="0" fontId="25" fillId="0" borderId="0" xfId="118" applyFont="1"/>
    <xf numFmtId="0" fontId="25" fillId="0" borderId="0" xfId="118" applyFill="1" applyAlignment="1">
      <alignment horizontal="left" indent="1"/>
    </xf>
    <xf numFmtId="164" fontId="53" fillId="39" borderId="0" xfId="118" applyNumberFormat="1" applyFont="1" applyFill="1" applyAlignment="1"/>
    <xf numFmtId="164" fontId="53" fillId="0" borderId="0" xfId="118" applyNumberFormat="1" applyFont="1"/>
    <xf numFmtId="0" fontId="25" fillId="0" borderId="0" xfId="118" applyAlignment="1">
      <alignment horizontal="right"/>
    </xf>
    <xf numFmtId="0" fontId="25" fillId="0" borderId="0" xfId="118" applyFont="1" applyFill="1" applyAlignment="1">
      <alignment horizontal="right"/>
    </xf>
    <xf numFmtId="0" fontId="25" fillId="0" borderId="0" xfId="118" applyFont="1" applyFill="1" applyAlignment="1">
      <alignment horizontal="left" indent="1"/>
    </xf>
    <xf numFmtId="0" fontId="25" fillId="0" borderId="0" xfId="118" applyFill="1"/>
    <xf numFmtId="164" fontId="53" fillId="0" borderId="0" xfId="118" applyNumberFormat="1" applyFont="1" applyFill="1"/>
    <xf numFmtId="0" fontId="25" fillId="0" borderId="0" xfId="118" applyFill="1" applyAlignment="1">
      <alignment horizontal="right"/>
    </xf>
    <xf numFmtId="0" fontId="26" fillId="0" borderId="0" xfId="118" applyFont="1"/>
    <xf numFmtId="0" fontId="28" fillId="0" borderId="0" xfId="118" quotePrefix="1" applyFont="1" applyFill="1" applyAlignment="1">
      <alignment horizontal="center"/>
    </xf>
    <xf numFmtId="0" fontId="26" fillId="0" borderId="0" xfId="118" applyFont="1" applyFill="1" applyAlignment="1">
      <alignment horizontal="center"/>
    </xf>
    <xf numFmtId="164" fontId="25" fillId="0" borderId="0" xfId="118" applyNumberFormat="1" applyAlignment="1">
      <alignment horizontal="right" indent="1"/>
    </xf>
    <xf numFmtId="164" fontId="25" fillId="34" borderId="0" xfId="118" applyNumberFormat="1" applyFont="1" applyFill="1"/>
    <xf numFmtId="164" fontId="25" fillId="34" borderId="0" xfId="118" applyNumberFormat="1" applyFill="1"/>
    <xf numFmtId="0" fontId="25" fillId="0" borderId="0" xfId="118" applyAlignment="1">
      <alignment horizontal="left" indent="1"/>
    </xf>
    <xf numFmtId="0" fontId="25" fillId="0" borderId="0" xfId="118" applyFont="1" applyAlignment="1">
      <alignment horizontal="left" indent="1"/>
    </xf>
    <xf numFmtId="164" fontId="25" fillId="0" borderId="0" xfId="118" applyNumberFormat="1" applyFill="1" applyAlignment="1"/>
    <xf numFmtId="164" fontId="25" fillId="0" borderId="0" xfId="118" applyNumberFormat="1" applyFont="1"/>
    <xf numFmtId="0" fontId="26" fillId="0" borderId="0" xfId="118" applyFont="1" applyFill="1"/>
    <xf numFmtId="0" fontId="25" fillId="0" borderId="0" xfId="118" applyFont="1" applyFill="1"/>
    <xf numFmtId="0" fontId="25" fillId="0" borderId="0" xfId="118" applyFont="1" applyAlignment="1">
      <alignment horizontal="right"/>
    </xf>
    <xf numFmtId="0" fontId="28" fillId="0" borderId="0" xfId="118" applyFont="1"/>
    <xf numFmtId="0" fontId="28" fillId="0" borderId="0" xfId="118" applyFont="1" applyBorder="1" applyAlignment="1">
      <alignment horizontal="center"/>
    </xf>
    <xf numFmtId="0" fontId="25" fillId="0" borderId="0" xfId="118" applyBorder="1"/>
    <xf numFmtId="164" fontId="25" fillId="0" borderId="0" xfId="118" applyNumberFormat="1" applyAlignment="1"/>
    <xf numFmtId="0" fontId="57" fillId="0" borderId="0" xfId="118" applyFont="1" applyFill="1"/>
    <xf numFmtId="0" fontId="25" fillId="0" borderId="0" xfId="118" applyFont="1" applyFill="1" applyAlignment="1">
      <alignment horizontal="left" indent="2"/>
    </xf>
    <xf numFmtId="3" fontId="41" fillId="0" borderId="3" xfId="212" applyNumberFormat="1" applyFont="1" applyFill="1" applyBorder="1" applyAlignment="1">
      <alignment horizontal="center"/>
    </xf>
    <xf numFmtId="0" fontId="10" fillId="0" borderId="0" xfId="157" quotePrefix="1" applyFont="1" applyBorder="1" applyAlignment="1">
      <alignment horizontal="center"/>
    </xf>
    <xf numFmtId="0" fontId="50" fillId="0" borderId="10" xfId="157" applyFont="1" applyFill="1" applyBorder="1" applyAlignment="1">
      <alignment horizontal="right"/>
    </xf>
    <xf numFmtId="0" fontId="26" fillId="0" borderId="0" xfId="118" applyFont="1" applyAlignment="1">
      <alignment horizontal="left"/>
    </xf>
    <xf numFmtId="0" fontId="25" fillId="0" borderId="0" xfId="118" applyFill="1" applyAlignment="1">
      <alignment horizontal="left"/>
    </xf>
    <xf numFmtId="0" fontId="28" fillId="0" borderId="0" xfId="118" applyFont="1" applyFill="1" applyAlignment="1">
      <alignment horizontal="left"/>
    </xf>
    <xf numFmtId="164" fontId="25" fillId="0" borderId="0" xfId="118" applyNumberFormat="1" applyFill="1" applyBorder="1"/>
    <xf numFmtId="164" fontId="25" fillId="37" borderId="0" xfId="118" applyNumberFormat="1" applyFill="1" applyBorder="1"/>
    <xf numFmtId="0" fontId="28" fillId="0" borderId="0" xfId="118" applyFont="1" applyFill="1"/>
    <xf numFmtId="0" fontId="25" fillId="34" borderId="0" xfId="118" applyFont="1" applyFill="1"/>
    <xf numFmtId="0" fontId="25" fillId="0" borderId="0" xfId="118" applyFont="1" applyFill="1" applyAlignment="1">
      <alignment horizontal="center"/>
    </xf>
    <xf numFmtId="0" fontId="26" fillId="0" borderId="0" xfId="118" quotePrefix="1" applyFont="1" applyAlignment="1">
      <alignment horizontal="center"/>
    </xf>
    <xf numFmtId="167" fontId="25" fillId="0" borderId="0" xfId="118" applyNumberFormat="1"/>
    <xf numFmtId="164" fontId="25" fillId="34" borderId="33" xfId="118" applyNumberFormat="1" applyFont="1" applyFill="1" applyBorder="1"/>
    <xf numFmtId="164" fontId="25" fillId="34" borderId="0" xfId="93" applyNumberFormat="1" applyFont="1" applyFill="1" applyBorder="1"/>
    <xf numFmtId="164" fontId="53" fillId="34" borderId="0" xfId="93" applyNumberFormat="1" applyFont="1" applyFill="1" applyBorder="1"/>
    <xf numFmtId="0" fontId="64" fillId="36" borderId="0" xfId="209" applyFont="1" applyFill="1" applyBorder="1" applyAlignment="1">
      <alignment horizontal="center" vertical="center"/>
    </xf>
    <xf numFmtId="0" fontId="59" fillId="36" borderId="0" xfId="209" applyFont="1" applyFill="1" applyBorder="1" applyAlignment="1">
      <alignment horizontal="center" vertical="center" wrapText="1"/>
    </xf>
    <xf numFmtId="0" fontId="48" fillId="0" borderId="0" xfId="209" applyFont="1" applyFill="1" applyBorder="1" applyAlignment="1">
      <alignment horizontal="left" vertical="top" wrapText="1"/>
    </xf>
    <xf numFmtId="164" fontId="25" fillId="37" borderId="0" xfId="118" applyNumberFormat="1" applyFont="1" applyFill="1" applyAlignment="1">
      <alignment horizontal="right"/>
    </xf>
    <xf numFmtId="164" fontId="25" fillId="0" borderId="0" xfId="118" applyNumberFormat="1" applyFont="1" applyFill="1" applyAlignment="1">
      <alignment horizontal="right"/>
    </xf>
    <xf numFmtId="3" fontId="25" fillId="0" borderId="0" xfId="118" applyNumberForma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7" fillId="0" borderId="0" xfId="157" quotePrefix="1" applyFont="1" applyBorder="1" applyAlignment="1">
      <alignment horizontal="center"/>
    </xf>
    <xf numFmtId="0" fontId="26" fillId="0" borderId="7" xfId="157" applyFont="1" applyBorder="1" applyAlignment="1">
      <alignment horizontal="center"/>
    </xf>
    <xf numFmtId="0" fontId="28" fillId="0" borderId="7" xfId="157" applyFont="1" applyBorder="1" applyAlignment="1">
      <alignment horizontal="center" vertical="top"/>
    </xf>
    <xf numFmtId="0" fontId="41" fillId="0" borderId="0" xfId="157" applyFont="1" applyFill="1" applyBorder="1"/>
    <xf numFmtId="0" fontId="16" fillId="0" borderId="11" xfId="157" applyBorder="1"/>
    <xf numFmtId="0" fontId="50" fillId="0" borderId="11" xfId="157" applyFont="1" applyFill="1" applyBorder="1" applyAlignment="1"/>
    <xf numFmtId="166" fontId="12" fillId="0" borderId="24" xfId="212" applyNumberFormat="1" applyFill="1" applyBorder="1"/>
    <xf numFmtId="164" fontId="53" fillId="0" borderId="0" xfId="118" applyNumberFormat="1" applyFont="1" applyFill="1" applyBorder="1"/>
    <xf numFmtId="164" fontId="25" fillId="37" borderId="0" xfId="118" applyNumberFormat="1" applyFont="1" applyFill="1" applyBorder="1"/>
    <xf numFmtId="164" fontId="53" fillId="34" borderId="0" xfId="118" applyNumberFormat="1" applyFont="1" applyFill="1" applyAlignment="1"/>
    <xf numFmtId="0" fontId="26" fillId="0" borderId="0" xfId="0" applyFont="1"/>
    <xf numFmtId="0" fontId="0" fillId="0" borderId="0" xfId="0" applyFill="1"/>
    <xf numFmtId="0" fontId="26" fillId="0" borderId="0" xfId="0" applyFont="1" applyAlignment="1">
      <alignment horizontal="left"/>
    </xf>
    <xf numFmtId="0" fontId="26" fillId="0" borderId="0" xfId="0" applyFont="1" applyAlignment="1">
      <alignment horizontal="left" indent="1"/>
    </xf>
    <xf numFmtId="0" fontId="26" fillId="0" borderId="0" xfId="0" applyFont="1" applyAlignment="1">
      <alignment horizontal="center"/>
    </xf>
    <xf numFmtId="0" fontId="28" fillId="0" borderId="0" xfId="0" applyFont="1" applyAlignment="1">
      <alignment horizontal="left"/>
    </xf>
    <xf numFmtId="0" fontId="0" fillId="0" borderId="0" xfId="0" applyAlignment="1">
      <alignment horizontal="left" indent="1"/>
    </xf>
    <xf numFmtId="0" fontId="28" fillId="0" borderId="0" xfId="0" applyFont="1"/>
    <xf numFmtId="0" fontId="28" fillId="0" borderId="0" xfId="0" applyFont="1" applyAlignment="1">
      <alignment horizontal="center"/>
    </xf>
    <xf numFmtId="0" fontId="26" fillId="0" borderId="0" xfId="0" applyFont="1" applyFill="1" applyAlignment="1">
      <alignment horizontal="center"/>
    </xf>
    <xf numFmtId="0" fontId="25" fillId="0" borderId="0" xfId="0" applyFont="1" applyFill="1" applyAlignment="1">
      <alignment horizontal="left"/>
    </xf>
    <xf numFmtId="164" fontId="0" fillId="0" borderId="0" xfId="0" applyNumberFormat="1" applyFill="1"/>
    <xf numFmtId="0" fontId="25" fillId="0" borderId="0" xfId="0" applyFont="1" applyFill="1"/>
    <xf numFmtId="0" fontId="53" fillId="0" borderId="0" xfId="0" applyFont="1" applyFill="1"/>
    <xf numFmtId="0" fontId="25" fillId="0" borderId="0" xfId="0" applyFont="1" applyFill="1" applyAlignment="1">
      <alignment horizontal="left" indent="1"/>
    </xf>
    <xf numFmtId="0" fontId="0" fillId="0" borderId="0" xfId="0" applyFill="1" applyAlignment="1">
      <alignment horizontal="left" indent="1"/>
    </xf>
    <xf numFmtId="164" fontId="53" fillId="37" borderId="0" xfId="0" applyNumberFormat="1" applyFont="1" applyFill="1"/>
    <xf numFmtId="164" fontId="0" fillId="37" borderId="0" xfId="0" applyNumberFormat="1" applyFill="1"/>
    <xf numFmtId="0" fontId="53" fillId="0" borderId="0" xfId="0" applyFont="1" applyFill="1" applyAlignment="1">
      <alignment horizontal="left"/>
    </xf>
    <xf numFmtId="164" fontId="53" fillId="0" borderId="0" xfId="0" applyNumberFormat="1" applyFont="1" applyFill="1"/>
    <xf numFmtId="0" fontId="0" fillId="0" borderId="0" xfId="0" applyFill="1" applyAlignment="1">
      <alignment horizontal="left"/>
    </xf>
    <xf numFmtId="0" fontId="26" fillId="0" borderId="0" xfId="0" applyFont="1" applyFill="1"/>
    <xf numFmtId="0" fontId="28" fillId="0" borderId="0" xfId="0" applyFont="1" applyFill="1" applyAlignment="1">
      <alignment horizontal="left"/>
    </xf>
    <xf numFmtId="167" fontId="25" fillId="0" borderId="0" xfId="0" applyNumberFormat="1" applyFont="1" applyFill="1"/>
    <xf numFmtId="164" fontId="25" fillId="37" borderId="0" xfId="0" applyNumberFormat="1" applyFont="1" applyFill="1"/>
    <xf numFmtId="167" fontId="0" fillId="0" borderId="0" xfId="0" applyNumberFormat="1" applyFill="1"/>
    <xf numFmtId="164" fontId="25" fillId="0" borderId="0" xfId="0" applyNumberFormat="1" applyFont="1" applyFill="1"/>
    <xf numFmtId="0" fontId="26" fillId="0" borderId="0" xfId="0" applyFont="1" applyFill="1" applyBorder="1" applyAlignment="1">
      <alignment horizontal="center"/>
    </xf>
    <xf numFmtId="0" fontId="0" fillId="0" borderId="0" xfId="0" applyFill="1" applyBorder="1" applyAlignment="1">
      <alignment horizontal="left" indent="1"/>
    </xf>
    <xf numFmtId="0" fontId="25" fillId="0" borderId="0" xfId="0" applyFont="1" applyFill="1" applyBorder="1"/>
    <xf numFmtId="0" fontId="0" fillId="0" borderId="0" xfId="0" applyFill="1" applyBorder="1"/>
    <xf numFmtId="164" fontId="0" fillId="0" borderId="0" xfId="0" applyNumberFormat="1" applyFill="1" applyBorder="1"/>
    <xf numFmtId="164" fontId="0" fillId="37" borderId="0" xfId="0" applyNumberFormat="1" applyFill="1" applyBorder="1"/>
    <xf numFmtId="0" fontId="26" fillId="0" borderId="0" xfId="0" applyFont="1" applyFill="1" applyAlignment="1">
      <alignment horizontal="left"/>
    </xf>
    <xf numFmtId="0" fontId="0" fillId="0" borderId="0" xfId="0" applyAlignment="1">
      <alignment horizontal="left"/>
    </xf>
    <xf numFmtId="0" fontId="25" fillId="0" borderId="0" xfId="0" applyFont="1" applyFill="1" applyAlignment="1">
      <alignment horizontal="right"/>
    </xf>
    <xf numFmtId="0" fontId="26" fillId="37" borderId="17" xfId="0" applyFont="1" applyFill="1" applyBorder="1" applyAlignment="1">
      <alignment horizontal="center"/>
    </xf>
    <xf numFmtId="168" fontId="0" fillId="0" borderId="0" xfId="0" applyNumberFormat="1" applyFill="1"/>
    <xf numFmtId="0" fontId="26" fillId="37" borderId="19" xfId="0" applyFont="1" applyFill="1" applyBorder="1" applyAlignment="1">
      <alignment horizontal="center"/>
    </xf>
    <xf numFmtId="170" fontId="0" fillId="0" borderId="0" xfId="0" applyNumberFormat="1"/>
    <xf numFmtId="0" fontId="0" fillId="0" borderId="0" xfId="0" applyFill="1" applyAlignment="1">
      <alignment horizontal="right"/>
    </xf>
    <xf numFmtId="164" fontId="25" fillId="37" borderId="19" xfId="0" applyNumberFormat="1" applyFont="1" applyFill="1" applyBorder="1"/>
    <xf numFmtId="169" fontId="53" fillId="37" borderId="19" xfId="0" applyNumberFormat="1" applyFont="1" applyFill="1" applyBorder="1"/>
    <xf numFmtId="164" fontId="42" fillId="37" borderId="20" xfId="0" applyNumberFormat="1" applyFont="1" applyFill="1" applyBorder="1"/>
    <xf numFmtId="0" fontId="26" fillId="0" borderId="0" xfId="0" applyNumberFormat="1" applyFont="1" applyFill="1" applyAlignment="1">
      <alignment horizontal="left"/>
    </xf>
    <xf numFmtId="0" fontId="28" fillId="0" borderId="0" xfId="0" applyFont="1" applyFill="1" applyAlignment="1">
      <alignment horizontal="center"/>
    </xf>
    <xf numFmtId="0" fontId="28" fillId="0" borderId="0" xfId="0" applyFont="1" applyFill="1"/>
    <xf numFmtId="0" fontId="26" fillId="0" borderId="0" xfId="0" quotePrefix="1" applyFont="1" applyFill="1" applyAlignment="1">
      <alignment horizontal="center"/>
    </xf>
    <xf numFmtId="10" fontId="0" fillId="0" borderId="0" xfId="0" applyNumberFormat="1" applyFill="1"/>
    <xf numFmtId="15" fontId="25" fillId="34" borderId="0" xfId="0" quotePrefix="1" applyNumberFormat="1" applyFont="1" applyFill="1" applyAlignment="1">
      <alignment horizontal="center"/>
    </xf>
    <xf numFmtId="0" fontId="25" fillId="34" borderId="0" xfId="0" quotePrefix="1" applyFont="1" applyFill="1" applyAlignment="1">
      <alignment horizontal="center"/>
    </xf>
    <xf numFmtId="0" fontId="25" fillId="34" borderId="0" xfId="0" applyFont="1" applyFill="1"/>
    <xf numFmtId="10" fontId="25" fillId="34" borderId="0" xfId="0" quotePrefix="1" applyNumberFormat="1" applyFont="1" applyFill="1" applyAlignment="1">
      <alignment horizontal="right"/>
    </xf>
    <xf numFmtId="0" fontId="25" fillId="0" borderId="0" xfId="0" applyFont="1" applyFill="1" applyAlignment="1"/>
    <xf numFmtId="10" fontId="25" fillId="0" borderId="0" xfId="0" quotePrefix="1" applyNumberFormat="1" applyFont="1" applyFill="1" applyAlignment="1">
      <alignment horizontal="right"/>
    </xf>
    <xf numFmtId="0" fontId="25" fillId="0" borderId="0" xfId="0" quotePrefix="1" applyFont="1" applyFill="1" applyAlignment="1">
      <alignment horizontal="center"/>
    </xf>
    <xf numFmtId="0" fontId="0" fillId="34" borderId="0" xfId="0" applyFill="1"/>
    <xf numFmtId="0" fontId="25" fillId="0" borderId="0" xfId="0" applyFont="1" applyFill="1" applyAlignment="1">
      <alignment horizontal="center"/>
    </xf>
    <xf numFmtId="3" fontId="0" fillId="0" borderId="0" xfId="0" applyNumberFormat="1" applyFill="1" applyAlignment="1">
      <alignment horizontal="center"/>
    </xf>
    <xf numFmtId="164" fontId="0" fillId="0" borderId="0" xfId="0" applyNumberFormat="1"/>
    <xf numFmtId="3" fontId="0" fillId="0" borderId="0" xfId="0" applyNumberFormat="1" applyAlignment="1">
      <alignment horizontal="center"/>
    </xf>
    <xf numFmtId="0" fontId="25" fillId="0" borderId="0" xfId="0" applyFont="1"/>
    <xf numFmtId="0" fontId="25" fillId="0" borderId="0" xfId="0" applyFont="1" applyAlignment="1">
      <alignment horizontal="right"/>
    </xf>
    <xf numFmtId="164" fontId="53" fillId="0" borderId="0" xfId="0" applyNumberFormat="1" applyFont="1"/>
    <xf numFmtId="0" fontId="26" fillId="0" borderId="0" xfId="0" quotePrefix="1" applyFont="1" applyAlignment="1">
      <alignment horizontal="center"/>
    </xf>
    <xf numFmtId="0" fontId="28" fillId="0" borderId="0" xfId="0" quotePrefix="1" applyFont="1" applyAlignment="1">
      <alignment horizontal="center"/>
    </xf>
    <xf numFmtId="170" fontId="0" fillId="0" borderId="0" xfId="0" applyNumberFormat="1" applyFill="1"/>
    <xf numFmtId="170" fontId="25" fillId="0" borderId="0" xfId="0" applyNumberFormat="1" applyFont="1" applyFill="1" applyAlignment="1">
      <alignment horizontal="left" indent="1"/>
    </xf>
    <xf numFmtId="0" fontId="0" fillId="0" borderId="0" xfId="0" applyAlignment="1">
      <alignment horizontal="right"/>
    </xf>
    <xf numFmtId="170" fontId="25" fillId="0" borderId="0" xfId="0" applyNumberFormat="1" applyFont="1" applyAlignment="1">
      <alignment horizontal="left" indent="1"/>
    </xf>
    <xf numFmtId="167" fontId="54" fillId="0" borderId="0" xfId="0" applyNumberFormat="1" applyFont="1"/>
    <xf numFmtId="167" fontId="0" fillId="0" borderId="0" xfId="0" applyNumberFormat="1"/>
    <xf numFmtId="167" fontId="55" fillId="0" borderId="0" xfId="0" applyNumberFormat="1" applyFont="1"/>
    <xf numFmtId="167" fontId="53" fillId="0" borderId="0" xfId="0" applyNumberFormat="1" applyFont="1"/>
    <xf numFmtId="164" fontId="26" fillId="0" borderId="0" xfId="0" applyNumberFormat="1" applyFont="1" applyFill="1" applyAlignment="1">
      <alignment horizontal="left"/>
    </xf>
    <xf numFmtId="0" fontId="0" fillId="39" borderId="0" xfId="0" applyFill="1"/>
    <xf numFmtId="0" fontId="0" fillId="0" borderId="0" xfId="0" applyAlignment="1">
      <alignment horizontal="center"/>
    </xf>
    <xf numFmtId="164" fontId="0" fillId="39" borderId="0" xfId="0" applyNumberFormat="1" applyFill="1" applyAlignment="1"/>
    <xf numFmtId="164" fontId="53" fillId="39" borderId="0" xfId="0" applyNumberFormat="1" applyFont="1" applyFill="1" applyAlignment="1"/>
    <xf numFmtId="0" fontId="28" fillId="0" borderId="0" xfId="0" quotePrefix="1" applyFont="1" applyFill="1" applyAlignment="1">
      <alignment horizontal="center"/>
    </xf>
    <xf numFmtId="164" fontId="0" fillId="0" borderId="0" xfId="0" applyNumberFormat="1" applyAlignment="1">
      <alignment horizontal="right" indent="1"/>
    </xf>
    <xf numFmtId="164" fontId="25" fillId="34" borderId="0" xfId="0" applyNumberFormat="1" applyFont="1" applyFill="1"/>
    <xf numFmtId="164" fontId="0" fillId="34" borderId="0" xfId="0" applyNumberFormat="1" applyFill="1"/>
    <xf numFmtId="164" fontId="0" fillId="37" borderId="0" xfId="0" applyNumberFormat="1" applyFill="1" applyAlignment="1">
      <alignment horizontal="right" indent="1"/>
    </xf>
    <xf numFmtId="164" fontId="25" fillId="34" borderId="33" xfId="0" applyNumberFormat="1" applyFont="1" applyFill="1" applyBorder="1"/>
    <xf numFmtId="0" fontId="25" fillId="0" borderId="0" xfId="0" applyFont="1" applyAlignment="1">
      <alignment horizontal="left" indent="1"/>
    </xf>
    <xf numFmtId="164" fontId="0" fillId="0" borderId="0" xfId="0" applyNumberFormat="1" applyFill="1" applyAlignment="1"/>
    <xf numFmtId="164" fontId="25" fillId="34" borderId="16" xfId="0" applyNumberFormat="1" applyFont="1" applyFill="1" applyBorder="1"/>
    <xf numFmtId="164" fontId="25" fillId="0" borderId="0" xfId="0" applyNumberFormat="1" applyFont="1"/>
    <xf numFmtId="0" fontId="28" fillId="0" borderId="0" xfId="0" applyFont="1" applyBorder="1" applyAlignment="1">
      <alignment horizontal="center"/>
    </xf>
    <xf numFmtId="0" fontId="26" fillId="0" borderId="0" xfId="0" applyFont="1" applyBorder="1"/>
    <xf numFmtId="0" fontId="0" fillId="0" borderId="0" xfId="0" applyBorder="1"/>
    <xf numFmtId="0" fontId="28" fillId="0" borderId="0" xfId="0" applyFont="1" applyFill="1" applyBorder="1"/>
    <xf numFmtId="0" fontId="26" fillId="0" borderId="0" xfId="0" applyFont="1" applyBorder="1" applyAlignment="1">
      <alignment horizontal="center"/>
    </xf>
    <xf numFmtId="0" fontId="25" fillId="0" borderId="0" xfId="0" applyFont="1" applyBorder="1" applyAlignment="1">
      <alignment horizontal="right"/>
    </xf>
    <xf numFmtId="164" fontId="25" fillId="0" borderId="0" xfId="0" applyNumberFormat="1" applyFont="1" applyFill="1" applyBorder="1" applyAlignment="1">
      <alignment horizontal="right"/>
    </xf>
    <xf numFmtId="0" fontId="25" fillId="0" borderId="0" xfId="0" applyFont="1" applyFill="1" applyBorder="1" applyAlignment="1">
      <alignment horizontal="left" indent="1"/>
    </xf>
    <xf numFmtId="164" fontId="53" fillId="34" borderId="0" xfId="0" applyNumberFormat="1" applyFont="1" applyFill="1" applyBorder="1" applyAlignment="1"/>
    <xf numFmtId="164" fontId="0" fillId="0" borderId="0" xfId="0" applyNumberFormat="1" applyBorder="1" applyAlignment="1"/>
    <xf numFmtId="0" fontId="25" fillId="0" borderId="0" xfId="0" applyFont="1" applyBorder="1" applyAlignment="1">
      <alignment horizontal="left" indent="1"/>
    </xf>
    <xf numFmtId="164" fontId="0" fillId="0" borderId="0" xfId="0" applyNumberFormat="1" applyAlignment="1"/>
    <xf numFmtId="0" fontId="57" fillId="0" borderId="0" xfId="0" applyFont="1" applyFill="1"/>
    <xf numFmtId="0" fontId="25" fillId="0" borderId="0" xfId="0" applyFont="1" applyFill="1" applyAlignment="1">
      <alignment horizontal="left" indent="2"/>
    </xf>
    <xf numFmtId="0" fontId="25" fillId="34" borderId="0" xfId="0" applyFont="1" applyFill="1" applyBorder="1"/>
    <xf numFmtId="0" fontId="0" fillId="34" borderId="0" xfId="0" applyFill="1" applyBorder="1"/>
    <xf numFmtId="164" fontId="42" fillId="0" borderId="0" xfId="0" applyNumberFormat="1" applyFont="1" applyFill="1" applyBorder="1"/>
    <xf numFmtId="42" fontId="25" fillId="0" borderId="0" xfId="0" applyNumberFormat="1" applyFont="1"/>
    <xf numFmtId="164" fontId="0" fillId="0" borderId="0" xfId="0" applyNumberFormat="1" applyFill="1" applyAlignment="1">
      <alignment horizontal="right" indent="1"/>
    </xf>
    <xf numFmtId="164" fontId="25" fillId="34" borderId="0" xfId="0" applyNumberFormat="1" applyFont="1" applyFill="1" applyBorder="1"/>
    <xf numFmtId="164" fontId="25" fillId="34" borderId="32" xfId="0" applyNumberFormat="1" applyFont="1" applyFill="1" applyBorder="1"/>
    <xf numFmtId="164" fontId="0" fillId="0" borderId="0" xfId="0" applyNumberFormat="1" applyFill="1" applyBorder="1" applyAlignment="1">
      <alignment horizontal="right" indent="1"/>
    </xf>
    <xf numFmtId="0" fontId="59" fillId="0" borderId="0" xfId="209" applyFont="1" applyFill="1" applyBorder="1" applyAlignment="1">
      <alignment horizontal="left" vertical="top"/>
    </xf>
    <xf numFmtId="166" fontId="59" fillId="36" borderId="0" xfId="211" applyNumberFormat="1" applyFont="1" applyFill="1" applyBorder="1" applyAlignment="1">
      <alignment horizontal="left" vertical="center"/>
    </xf>
    <xf numFmtId="0" fontId="59" fillId="0" borderId="0" xfId="209" applyFont="1" applyFill="1" applyBorder="1" applyAlignment="1">
      <alignment horizontal="center" vertical="center"/>
    </xf>
    <xf numFmtId="0" fontId="48" fillId="0" borderId="0" xfId="209" quotePrefix="1" applyFont="1" applyFill="1" applyBorder="1" applyAlignment="1">
      <alignment horizontal="right" vertical="top"/>
    </xf>
    <xf numFmtId="0" fontId="48" fillId="0" borderId="0" xfId="209" applyFont="1" applyFill="1" applyBorder="1" applyAlignment="1">
      <alignment vertical="top" wrapText="1"/>
    </xf>
    <xf numFmtId="0" fontId="60" fillId="0" borderId="0" xfId="209" applyFont="1" applyFill="1" applyBorder="1" applyAlignment="1">
      <alignment horizontal="center" vertical="center" wrapText="1"/>
    </xf>
    <xf numFmtId="164" fontId="26" fillId="0" borderId="0" xfId="157" applyNumberFormat="1" applyFont="1" applyFill="1" applyBorder="1" applyAlignment="1">
      <alignment horizontal="center" vertical="center"/>
    </xf>
    <xf numFmtId="0" fontId="60" fillId="36" borderId="0" xfId="209" applyFont="1" applyFill="1" applyBorder="1" applyAlignment="1">
      <alignment horizontal="left" vertical="top"/>
    </xf>
    <xf numFmtId="0" fontId="60" fillId="36" borderId="0" xfId="209" applyFont="1" applyFill="1" applyBorder="1" applyAlignment="1">
      <alignment horizontal="center" vertical="center"/>
    </xf>
    <xf numFmtId="164" fontId="26" fillId="0" borderId="11" xfId="157" applyNumberFormat="1" applyFont="1" applyFill="1" applyBorder="1" applyAlignment="1">
      <alignment horizontal="center" vertical="center"/>
    </xf>
    <xf numFmtId="164" fontId="26" fillId="0" borderId="12" xfId="157" applyNumberFormat="1" applyFont="1" applyFill="1" applyBorder="1" applyAlignment="1">
      <alignment horizontal="center" vertical="center"/>
    </xf>
    <xf numFmtId="164" fontId="53" fillId="37" borderId="0" xfId="118" applyNumberFormat="1" applyFont="1" applyFill="1" applyBorder="1"/>
    <xf numFmtId="164" fontId="25" fillId="37" borderId="0" xfId="118" applyNumberFormat="1" applyFont="1" applyFill="1"/>
    <xf numFmtId="164" fontId="25" fillId="37" borderId="0" xfId="118" applyNumberFormat="1" applyFill="1"/>
    <xf numFmtId="0" fontId="41" fillId="38" borderId="3" xfId="212" applyFont="1" applyFill="1" applyBorder="1" applyAlignment="1">
      <alignment horizontal="center"/>
    </xf>
    <xf numFmtId="0" fontId="41" fillId="38" borderId="3" xfId="212" applyFont="1" applyFill="1" applyBorder="1" applyAlignment="1">
      <alignment horizontal="center"/>
    </xf>
    <xf numFmtId="0" fontId="16" fillId="35" borderId="0" xfId="157" applyFill="1" applyBorder="1"/>
    <xf numFmtId="0" fontId="16" fillId="0" borderId="5" xfId="157" applyBorder="1"/>
    <xf numFmtId="0" fontId="16" fillId="40" borderId="14" xfId="157" applyFill="1" applyBorder="1"/>
    <xf numFmtId="0" fontId="16" fillId="40" borderId="5" xfId="157" applyFill="1" applyBorder="1"/>
    <xf numFmtId="0" fontId="16" fillId="40" borderId="0" xfId="157" applyFill="1"/>
    <xf numFmtId="164" fontId="41" fillId="0" borderId="6" xfId="157" applyNumberFormat="1" applyFont="1" applyFill="1" applyBorder="1"/>
    <xf numFmtId="164" fontId="50" fillId="0" borderId="11" xfId="157" applyNumberFormat="1" applyFont="1" applyFill="1" applyBorder="1" applyAlignment="1"/>
    <xf numFmtId="0" fontId="50" fillId="0" borderId="11" xfId="157" applyFont="1" applyFill="1" applyBorder="1" applyAlignment="1">
      <alignment horizontal="right"/>
    </xf>
    <xf numFmtId="0" fontId="41" fillId="0" borderId="5" xfId="157" applyFont="1" applyFill="1" applyBorder="1"/>
    <xf numFmtId="164" fontId="53" fillId="37" borderId="0" xfId="0" applyNumberFormat="1" applyFont="1" applyFill="1" applyBorder="1"/>
    <xf numFmtId="164" fontId="25" fillId="37" borderId="0" xfId="0" applyNumberFormat="1" applyFont="1" applyFill="1" applyBorder="1"/>
    <xf numFmtId="167" fontId="0" fillId="0" borderId="0" xfId="0" applyNumberFormat="1" applyFill="1" applyBorder="1"/>
    <xf numFmtId="164" fontId="25" fillId="0" borderId="0" xfId="0" applyNumberFormat="1" applyFont="1" applyFill="1" applyBorder="1"/>
    <xf numFmtId="164" fontId="53" fillId="0" borderId="0" xfId="0" applyNumberFormat="1" applyFont="1" applyFill="1" applyBorder="1"/>
    <xf numFmtId="168" fontId="0" fillId="0" borderId="0" xfId="0" applyNumberFormat="1" applyFill="1" applyBorder="1"/>
    <xf numFmtId="0" fontId="5" fillId="0" borderId="0" xfId="212" applyFont="1"/>
    <xf numFmtId="0" fontId="5" fillId="0" borderId="0" xfId="212" applyFont="1" applyFill="1"/>
    <xf numFmtId="0" fontId="25" fillId="0" borderId="0" xfId="221" applyFont="1"/>
    <xf numFmtId="0" fontId="25" fillId="34" borderId="0" xfId="221" applyFont="1" applyFill="1"/>
    <xf numFmtId="0" fontId="56" fillId="34" borderId="0" xfId="221" applyFont="1" applyFill="1"/>
    <xf numFmtId="0" fontId="65" fillId="0" borderId="0" xfId="221" applyFont="1"/>
    <xf numFmtId="0" fontId="26" fillId="0" borderId="0" xfId="221" applyFont="1" applyFill="1"/>
    <xf numFmtId="0" fontId="25" fillId="0" borderId="0" xfId="221" applyFont="1" applyFill="1"/>
    <xf numFmtId="0" fontId="25" fillId="0" borderId="0" xfId="221" applyFont="1" applyFill="1" applyAlignment="1">
      <alignment horizontal="right"/>
    </xf>
    <xf numFmtId="0" fontId="26" fillId="0" borderId="0" xfId="221" applyFont="1"/>
    <xf numFmtId="0" fontId="26" fillId="0" borderId="0" xfId="221" applyFont="1" applyAlignment="1">
      <alignment horizontal="center"/>
    </xf>
    <xf numFmtId="0" fontId="28" fillId="0" borderId="0" xfId="221" applyFont="1" applyAlignment="1">
      <alignment horizontal="center"/>
    </xf>
    <xf numFmtId="0" fontId="28" fillId="0" borderId="0" xfId="221" applyFont="1" applyFill="1" applyAlignment="1">
      <alignment horizontal="center"/>
    </xf>
    <xf numFmtId="0" fontId="26" fillId="0" borderId="0" xfId="221" applyFont="1" applyBorder="1"/>
    <xf numFmtId="166" fontId="25" fillId="0" borderId="0" xfId="210" applyNumberFormat="1" applyFont="1" applyBorder="1"/>
    <xf numFmtId="172" fontId="25" fillId="0" borderId="0" xfId="99" applyNumberFormat="1" applyFont="1" applyBorder="1" applyAlignment="1">
      <alignment horizontal="left" indent="3"/>
    </xf>
    <xf numFmtId="0" fontId="25" fillId="0" borderId="0" xfId="221" applyFont="1" applyBorder="1" applyAlignment="1">
      <alignment horizontal="left" indent="2"/>
    </xf>
    <xf numFmtId="164" fontId="25" fillId="0" borderId="0" xfId="118" applyNumberFormat="1" applyFont="1" applyAlignment="1">
      <alignment horizontal="left" indent="1"/>
    </xf>
    <xf numFmtId="164" fontId="25" fillId="34" borderId="0" xfId="118" applyNumberFormat="1" applyFont="1" applyFill="1" applyBorder="1"/>
    <xf numFmtId="10" fontId="25" fillId="0" borderId="0" xfId="99" applyNumberFormat="1" applyFont="1" applyBorder="1" applyAlignment="1">
      <alignment horizontal="center"/>
    </xf>
    <xf numFmtId="42" fontId="25" fillId="0" borderId="0" xfId="118" applyNumberFormat="1"/>
    <xf numFmtId="164" fontId="53" fillId="34" borderId="0" xfId="118" applyNumberFormat="1" applyFont="1" applyFill="1"/>
    <xf numFmtId="164" fontId="53" fillId="34" borderId="0" xfId="118" applyNumberFormat="1" applyFont="1" applyFill="1" applyBorder="1"/>
    <xf numFmtId="10" fontId="53" fillId="0" borderId="0" xfId="99" applyNumberFormat="1" applyFont="1" applyBorder="1" applyAlignment="1">
      <alignment horizontal="center"/>
    </xf>
    <xf numFmtId="0" fontId="26" fillId="0" borderId="0" xfId="221" applyFont="1" applyBorder="1" applyAlignment="1">
      <alignment horizontal="left" wrapText="1"/>
    </xf>
    <xf numFmtId="164" fontId="25" fillId="0" borderId="0" xfId="210" applyNumberFormat="1" applyFont="1" applyBorder="1"/>
    <xf numFmtId="0" fontId="25" fillId="0" borderId="0" xfId="221" applyFont="1" applyBorder="1" applyAlignment="1">
      <alignment horizontal="left"/>
    </xf>
    <xf numFmtId="41" fontId="25" fillId="0" borderId="0" xfId="210" applyNumberFormat="1" applyFont="1" applyBorder="1"/>
    <xf numFmtId="0" fontId="26" fillId="0" borderId="0" xfId="221" applyFont="1" applyBorder="1" applyAlignment="1">
      <alignment horizontal="left"/>
    </xf>
    <xf numFmtId="41" fontId="25" fillId="0" borderId="0" xfId="221" applyNumberFormat="1" applyFont="1" applyBorder="1"/>
    <xf numFmtId="10" fontId="25" fillId="0" borderId="0" xfId="221" applyNumberFormat="1" applyFont="1" applyBorder="1" applyAlignment="1">
      <alignment horizontal="center"/>
    </xf>
    <xf numFmtId="164" fontId="25" fillId="34" borderId="0" xfId="210" applyNumberFormat="1" applyFont="1" applyFill="1" applyBorder="1"/>
    <xf numFmtId="164" fontId="25" fillId="34" borderId="33" xfId="210" applyNumberFormat="1" applyFont="1" applyFill="1" applyBorder="1"/>
    <xf numFmtId="10" fontId="25" fillId="37" borderId="0" xfId="99" applyNumberFormat="1" applyFont="1" applyFill="1" applyBorder="1" applyAlignment="1">
      <alignment horizontal="center"/>
    </xf>
    <xf numFmtId="164" fontId="25" fillId="37" borderId="0" xfId="210" applyNumberFormat="1" applyFont="1" applyFill="1" applyBorder="1"/>
    <xf numFmtId="5" fontId="25" fillId="34" borderId="0" xfId="210" applyNumberFormat="1" applyFont="1" applyFill="1" applyBorder="1"/>
    <xf numFmtId="5" fontId="25" fillId="34" borderId="33" xfId="210" applyNumberFormat="1" applyFont="1" applyFill="1" applyBorder="1"/>
    <xf numFmtId="10" fontId="25" fillId="0" borderId="0" xfId="99" applyNumberFormat="1" applyFont="1" applyFill="1" applyBorder="1" applyAlignment="1">
      <alignment horizontal="center"/>
    </xf>
    <xf numFmtId="5" fontId="53" fillId="34" borderId="0" xfId="210" applyNumberFormat="1" applyFont="1" applyFill="1" applyBorder="1"/>
    <xf numFmtId="5" fontId="53" fillId="34" borderId="33" xfId="210" applyNumberFormat="1" applyFont="1" applyFill="1" applyBorder="1"/>
    <xf numFmtId="10" fontId="53" fillId="37" borderId="0" xfId="99" applyNumberFormat="1" applyFont="1" applyFill="1" applyBorder="1" applyAlignment="1">
      <alignment horizontal="center"/>
    </xf>
    <xf numFmtId="164" fontId="25" fillId="0" borderId="0" xfId="210" applyNumberFormat="1" applyFont="1" applyBorder="1" applyAlignment="1">
      <alignment horizontal="left" indent="1"/>
    </xf>
    <xf numFmtId="0" fontId="25" fillId="0" borderId="0" xfId="221" applyFont="1" applyBorder="1" applyAlignment="1">
      <alignment horizontal="right" wrapText="1"/>
    </xf>
    <xf numFmtId="0" fontId="26" fillId="0" borderId="0" xfId="221" applyFont="1" applyBorder="1" applyAlignment="1">
      <alignment horizontal="left" vertical="center" wrapText="1"/>
    </xf>
    <xf numFmtId="164" fontId="26" fillId="0" borderId="0" xfId="210" applyNumberFormat="1" applyFont="1" applyBorder="1" applyAlignment="1">
      <alignment vertical="center"/>
    </xf>
    <xf numFmtId="164" fontId="26" fillId="37" borderId="0" xfId="210" applyNumberFormat="1" applyFont="1" applyFill="1" applyBorder="1" applyAlignment="1">
      <alignment vertical="center"/>
    </xf>
    <xf numFmtId="172" fontId="26" fillId="0" borderId="0" xfId="99" applyNumberFormat="1" applyFont="1" applyBorder="1" applyAlignment="1">
      <alignment horizontal="center" vertical="center"/>
    </xf>
    <xf numFmtId="0" fontId="65" fillId="0" borderId="0" xfId="221" applyFont="1" applyBorder="1" applyAlignment="1">
      <alignment horizontal="right" wrapText="1"/>
    </xf>
    <xf numFmtId="166" fontId="65" fillId="0" borderId="0" xfId="210" applyNumberFormat="1" applyFont="1" applyBorder="1"/>
    <xf numFmtId="5" fontId="66" fillId="0" borderId="0" xfId="91" applyNumberFormat="1" applyFont="1" applyBorder="1" applyAlignment="1"/>
    <xf numFmtId="10" fontId="65" fillId="0" borderId="0" xfId="99" applyNumberFormat="1" applyFont="1" applyBorder="1" applyAlignment="1">
      <alignment horizontal="left" indent="3"/>
    </xf>
    <xf numFmtId="0" fontId="65" fillId="0" borderId="0" xfId="221" applyFont="1" applyBorder="1" applyAlignment="1">
      <alignment horizontal="left"/>
    </xf>
    <xf numFmtId="0" fontId="65" fillId="0" borderId="0" xfId="221" applyFont="1" applyBorder="1"/>
    <xf numFmtId="164" fontId="56" fillId="0" borderId="0" xfId="221" applyNumberFormat="1" applyFont="1" applyBorder="1" applyAlignment="1"/>
    <xf numFmtId="0" fontId="67" fillId="0" borderId="0" xfId="221" applyFont="1"/>
    <xf numFmtId="164" fontId="53" fillId="34" borderId="0" xfId="210" applyNumberFormat="1" applyFont="1" applyFill="1" applyBorder="1"/>
    <xf numFmtId="0" fontId="25" fillId="0" borderId="0" xfId="221" applyFont="1" applyBorder="1" applyAlignment="1">
      <alignment horizontal="left" wrapText="1"/>
    </xf>
    <xf numFmtId="164" fontId="65" fillId="0" borderId="0" xfId="210" applyNumberFormat="1" applyFont="1" applyBorder="1"/>
    <xf numFmtId="0" fontId="26" fillId="0" borderId="0" xfId="221" applyFont="1" applyBorder="1" applyAlignment="1">
      <alignment vertical="center" wrapText="1"/>
    </xf>
    <xf numFmtId="10" fontId="26" fillId="0" borderId="0" xfId="99" applyNumberFormat="1" applyFont="1" applyBorder="1" applyAlignment="1">
      <alignment horizontal="center" vertical="center"/>
    </xf>
    <xf numFmtId="0" fontId="67" fillId="0" borderId="0" xfId="221" applyFont="1" applyBorder="1" applyAlignment="1">
      <alignment vertical="center" wrapText="1"/>
    </xf>
    <xf numFmtId="42" fontId="67" fillId="0" borderId="0" xfId="210" applyNumberFormat="1" applyFont="1" applyBorder="1" applyAlignment="1">
      <alignment vertical="center"/>
    </xf>
    <xf numFmtId="172" fontId="67" fillId="0" borderId="0" xfId="99" applyNumberFormat="1" applyFont="1" applyBorder="1" applyAlignment="1">
      <alignment horizontal="center" vertical="center"/>
    </xf>
    <xf numFmtId="3" fontId="25" fillId="0" borderId="0" xfId="118" applyNumberFormat="1" applyFont="1"/>
    <xf numFmtId="42" fontId="65" fillId="0" borderId="0" xfId="221" applyNumberFormat="1" applyFont="1"/>
    <xf numFmtId="173" fontId="65" fillId="0" borderId="0" xfId="221" applyNumberFormat="1" applyFont="1"/>
    <xf numFmtId="0" fontId="25" fillId="0" borderId="0" xfId="118" applyFont="1" applyAlignment="1">
      <alignment horizontal="center"/>
    </xf>
    <xf numFmtId="1" fontId="25" fillId="34" borderId="0" xfId="93" applyNumberFormat="1" applyFont="1" applyFill="1" applyBorder="1" applyAlignment="1">
      <alignment horizontal="center"/>
    </xf>
    <xf numFmtId="164" fontId="25" fillId="34" borderId="0" xfId="118" applyNumberFormat="1" applyFont="1" applyFill="1" applyBorder="1" applyAlignment="1">
      <alignment horizontal="right"/>
    </xf>
    <xf numFmtId="164" fontId="25" fillId="34" borderId="0" xfId="118" applyNumberFormat="1" applyFill="1" applyBorder="1"/>
    <xf numFmtId="164" fontId="25" fillId="0" borderId="0" xfId="118" applyNumberFormat="1" applyFont="1" applyFill="1" applyAlignment="1">
      <alignment horizontal="center"/>
    </xf>
    <xf numFmtId="164" fontId="53" fillId="37" borderId="0" xfId="118" applyNumberFormat="1" applyFont="1" applyFill="1"/>
    <xf numFmtId="164" fontId="53" fillId="34" borderId="0" xfId="118" applyNumberFormat="1" applyFont="1" applyFill="1" applyBorder="1" applyAlignment="1">
      <alignment horizontal="right"/>
    </xf>
    <xf numFmtId="164" fontId="53" fillId="34" borderId="33" xfId="118" applyNumberFormat="1" applyFont="1" applyFill="1" applyBorder="1"/>
    <xf numFmtId="1" fontId="25" fillId="0" borderId="0" xfId="93" quotePrefix="1" applyNumberFormat="1" applyFont="1" applyFill="1" applyBorder="1" applyAlignment="1">
      <alignment horizontal="right"/>
    </xf>
    <xf numFmtId="164" fontId="25" fillId="37" borderId="0" xfId="118" applyNumberFormat="1" applyFont="1" applyFill="1" applyBorder="1" applyAlignment="1">
      <alignment horizontal="right"/>
    </xf>
    <xf numFmtId="164" fontId="26" fillId="0" borderId="0" xfId="118" applyNumberFormat="1" applyFont="1" applyFill="1" applyAlignment="1">
      <alignment horizontal="center"/>
    </xf>
    <xf numFmtId="164" fontId="28" fillId="0" borderId="0" xfId="118" applyNumberFormat="1" applyFont="1" applyFill="1" applyAlignment="1">
      <alignment horizontal="center"/>
    </xf>
    <xf numFmtId="164" fontId="28" fillId="34" borderId="0" xfId="118" applyNumberFormat="1" applyFont="1" applyFill="1" applyAlignment="1">
      <alignment horizontal="center"/>
    </xf>
    <xf numFmtId="164" fontId="25" fillId="34" borderId="17" xfId="118" applyNumberFormat="1" applyFill="1" applyBorder="1"/>
    <xf numFmtId="164" fontId="25" fillId="34" borderId="0" xfId="118" quotePrefix="1" applyNumberFormat="1" applyFont="1" applyFill="1" applyAlignment="1">
      <alignment horizontal="center"/>
    </xf>
    <xf numFmtId="164" fontId="25" fillId="34" borderId="19" xfId="118" applyNumberFormat="1" applyFill="1" applyBorder="1"/>
    <xf numFmtId="164" fontId="53" fillId="34" borderId="20" xfId="118" applyNumberFormat="1" applyFont="1" applyFill="1" applyBorder="1"/>
    <xf numFmtId="164" fontId="25" fillId="0" borderId="0" xfId="118" quotePrefix="1" applyNumberFormat="1" applyFont="1" applyFill="1" applyAlignment="1">
      <alignment horizontal="center"/>
    </xf>
    <xf numFmtId="0" fontId="26" fillId="0" borderId="0" xfId="93" applyFont="1" applyFill="1" applyBorder="1" applyAlignment="1">
      <alignment horizontal="left"/>
    </xf>
    <xf numFmtId="0" fontId="28" fillId="0" borderId="0" xfId="118" applyNumberFormat="1" applyFont="1" applyFill="1" applyAlignment="1">
      <alignment horizontal="center"/>
    </xf>
    <xf numFmtId="0" fontId="68" fillId="0" borderId="0" xfId="118" applyFont="1" applyFill="1" applyAlignment="1">
      <alignment horizontal="center"/>
    </xf>
    <xf numFmtId="0" fontId="68" fillId="0" borderId="0" xfId="118" applyFont="1" applyAlignment="1">
      <alignment horizontal="center"/>
    </xf>
    <xf numFmtId="0" fontId="26" fillId="0" borderId="0" xfId="118" applyNumberFormat="1" applyFont="1" applyFill="1" applyAlignment="1">
      <alignment horizontal="center"/>
    </xf>
    <xf numFmtId="0" fontId="26" fillId="0" borderId="0" xfId="118" applyNumberFormat="1" applyFont="1" applyFill="1" applyAlignment="1">
      <alignment horizontal="center" wrapText="1"/>
    </xf>
    <xf numFmtId="0" fontId="25" fillId="0" borderId="0" xfId="118" quotePrefix="1" applyNumberFormat="1" applyFont="1" applyFill="1" applyAlignment="1">
      <alignment horizontal="center"/>
    </xf>
    <xf numFmtId="164" fontId="56" fillId="0" borderId="0" xfId="128" applyNumberFormat="1" applyFont="1" applyFill="1"/>
    <xf numFmtId="164" fontId="25" fillId="0" borderId="0" xfId="118" applyNumberFormat="1" applyFont="1" applyFill="1"/>
    <xf numFmtId="164" fontId="66" fillId="0" borderId="0" xfId="128" applyNumberFormat="1" applyFont="1" applyFill="1"/>
    <xf numFmtId="164" fontId="26" fillId="0" borderId="0" xfId="118" applyNumberFormat="1" applyFont="1" applyFill="1" applyAlignment="1">
      <alignment horizontal="right" indent="1"/>
    </xf>
    <xf numFmtId="164" fontId="26" fillId="0" borderId="0" xfId="118" applyNumberFormat="1" applyFont="1" applyFill="1"/>
    <xf numFmtId="164" fontId="69" fillId="0" borderId="0" xfId="128" applyNumberFormat="1" applyFont="1" applyFill="1"/>
    <xf numFmtId="0" fontId="25" fillId="0" borderId="0" xfId="118" applyNumberFormat="1" applyFill="1"/>
    <xf numFmtId="0" fontId="26" fillId="0" borderId="0" xfId="118" applyNumberFormat="1" applyFont="1" applyFill="1" applyAlignment="1">
      <alignment horizontal="left" indent="2"/>
    </xf>
    <xf numFmtId="0" fontId="28" fillId="0" borderId="0" xfId="118" quotePrefix="1" applyNumberFormat="1" applyFont="1" applyFill="1" applyAlignment="1">
      <alignment horizontal="center"/>
    </xf>
    <xf numFmtId="0" fontId="25" fillId="0" borderId="0" xfId="118" quotePrefix="1" applyNumberFormat="1" applyFont="1" applyFill="1" applyAlignment="1">
      <alignment horizontal="center" wrapText="1"/>
    </xf>
    <xf numFmtId="0" fontId="25" fillId="0" borderId="0" xfId="118" quotePrefix="1" applyFont="1" applyAlignment="1">
      <alignment horizontal="center"/>
    </xf>
    <xf numFmtId="0" fontId="68" fillId="0" borderId="0" xfId="118" quotePrefix="1" applyNumberFormat="1" applyFont="1" applyFill="1" applyAlignment="1">
      <alignment horizontal="center"/>
    </xf>
    <xf numFmtId="164" fontId="26" fillId="0" borderId="0" xfId="118" applyNumberFormat="1" applyFont="1"/>
    <xf numFmtId="0" fontId="25" fillId="0" borderId="0" xfId="118" quotePrefix="1" applyNumberFormat="1" applyFont="1" applyFill="1" applyBorder="1" applyAlignment="1">
      <alignment horizontal="center"/>
    </xf>
    <xf numFmtId="0" fontId="25" fillId="0" borderId="0" xfId="118" applyNumberFormat="1" applyFont="1" applyFill="1" applyAlignment="1"/>
    <xf numFmtId="0" fontId="25" fillId="0" borderId="0" xfId="118" applyNumberFormat="1" applyFill="1" applyAlignment="1">
      <alignment horizontal="left"/>
    </xf>
    <xf numFmtId="0" fontId="25" fillId="0" borderId="0" xfId="93" applyNumberFormat="1" applyFont="1" applyFill="1" applyBorder="1" applyAlignment="1">
      <alignment horizontal="center"/>
    </xf>
    <xf numFmtId="0" fontId="53" fillId="0" borderId="0" xfId="118" applyNumberFormat="1" applyFont="1" applyFill="1"/>
    <xf numFmtId="0" fontId="25" fillId="0" borderId="0" xfId="93" quotePrefix="1" applyNumberFormat="1" applyFont="1" applyFill="1" applyBorder="1" applyAlignment="1">
      <alignment horizontal="right"/>
    </xf>
    <xf numFmtId="0" fontId="25" fillId="0" borderId="0" xfId="118" applyNumberFormat="1" applyFont="1" applyFill="1" applyAlignment="1">
      <alignment horizontal="right"/>
    </xf>
    <xf numFmtId="0" fontId="26" fillId="0" borderId="0" xfId="118" applyNumberFormat="1" applyFont="1" applyFill="1"/>
    <xf numFmtId="0" fontId="25" fillId="0" borderId="0" xfId="118" applyNumberFormat="1" applyFont="1" applyFill="1"/>
    <xf numFmtId="0" fontId="25" fillId="0" borderId="0" xfId="118" applyNumberFormat="1" applyFont="1" applyFill="1" applyAlignment="1">
      <alignment horizontal="left" indent="1"/>
    </xf>
    <xf numFmtId="167" fontId="53" fillId="37" borderId="0" xfId="118" applyNumberFormat="1" applyFont="1" applyFill="1" applyBorder="1"/>
    <xf numFmtId="167" fontId="25" fillId="37" borderId="0" xfId="118" applyNumberFormat="1" applyFill="1" applyBorder="1"/>
    <xf numFmtId="164" fontId="25" fillId="37" borderId="0" xfId="118" applyNumberFormat="1" applyFill="1" applyBorder="1" applyAlignment="1">
      <alignment horizontal="right" indent="1"/>
    </xf>
    <xf numFmtId="164" fontId="25" fillId="0" borderId="0" xfId="118" applyNumberFormat="1" applyBorder="1" applyAlignment="1">
      <alignment horizontal="right" indent="1"/>
    </xf>
    <xf numFmtId="166" fontId="63" fillId="0" borderId="25" xfId="213" applyNumberFormat="1" applyFont="1" applyFill="1" applyBorder="1"/>
    <xf numFmtId="172" fontId="25" fillId="0" borderId="0" xfId="118" applyNumberFormat="1" applyFill="1"/>
    <xf numFmtId="0" fontId="25" fillId="0" borderId="0" xfId="118" applyFill="1" applyAlignment="1">
      <alignment horizontal="center"/>
    </xf>
    <xf numFmtId="3" fontId="25" fillId="0" borderId="0" xfId="118" applyNumberFormat="1" applyFill="1"/>
    <xf numFmtId="0" fontId="25" fillId="0" borderId="0" xfId="118" quotePrefix="1" applyFill="1"/>
    <xf numFmtId="3" fontId="25" fillId="34" borderId="0" xfId="118" applyNumberFormat="1" applyFill="1"/>
    <xf numFmtId="172" fontId="25" fillId="37" borderId="0" xfId="118" applyNumberFormat="1" applyFill="1"/>
    <xf numFmtId="3" fontId="25" fillId="37" borderId="0" xfId="118" applyNumberFormat="1" applyFill="1"/>
    <xf numFmtId="3" fontId="25" fillId="34" borderId="33" xfId="118" applyNumberFormat="1" applyFill="1" applyBorder="1"/>
    <xf numFmtId="174" fontId="25" fillId="0" borderId="0" xfId="118" applyNumberFormat="1" applyFill="1"/>
    <xf numFmtId="0" fontId="25" fillId="0" borderId="18" xfId="118" applyFont="1" applyFill="1" applyBorder="1"/>
    <xf numFmtId="0" fontId="28" fillId="0" borderId="32" xfId="118" applyFont="1" applyFill="1" applyBorder="1" applyAlignment="1">
      <alignment horizontal="center"/>
    </xf>
    <xf numFmtId="0" fontId="25" fillId="0" borderId="0" xfId="118" applyFont="1" applyFill="1" applyBorder="1" applyAlignment="1">
      <alignment horizontal="left"/>
    </xf>
    <xf numFmtId="0" fontId="25" fillId="0" borderId="0" xfId="118" applyFont="1" applyFill="1" applyBorder="1" applyAlignment="1">
      <alignment horizontal="left" indent="1"/>
    </xf>
    <xf numFmtId="164" fontId="25" fillId="39" borderId="0" xfId="118" applyNumberFormat="1" applyFill="1"/>
    <xf numFmtId="0" fontId="25" fillId="0" borderId="0" xfId="93" applyFont="1"/>
    <xf numFmtId="0" fontId="28" fillId="0" borderId="0" xfId="93" applyFont="1" applyAlignment="1">
      <alignment horizontal="center"/>
    </xf>
    <xf numFmtId="0" fontId="25" fillId="0" borderId="0" xfId="93" applyFont="1" applyFill="1" applyAlignment="1">
      <alignment horizontal="left" indent="1"/>
    </xf>
    <xf numFmtId="0" fontId="25" fillId="0" borderId="0" xfId="93" applyFont="1" applyBorder="1" applyAlignment="1">
      <alignment horizontal="right"/>
    </xf>
    <xf numFmtId="0" fontId="26" fillId="0" borderId="0" xfId="93" applyFont="1" applyFill="1" applyAlignment="1">
      <alignment horizontal="center"/>
    </xf>
    <xf numFmtId="0" fontId="28" fillId="0" borderId="0" xfId="93" applyFont="1" applyFill="1" applyAlignment="1">
      <alignment horizontal="center"/>
    </xf>
    <xf numFmtId="3" fontId="63" fillId="0" borderId="21" xfId="213" applyNumberFormat="1" applyFont="1" applyFill="1" applyBorder="1" applyAlignment="1">
      <alignment horizontal="center"/>
    </xf>
    <xf numFmtId="0" fontId="4" fillId="0" borderId="0" xfId="157" quotePrefix="1" applyFont="1" applyBorder="1" applyAlignment="1">
      <alignment horizontal="center"/>
    </xf>
    <xf numFmtId="0" fontId="4" fillId="0" borderId="0" xfId="157" applyFont="1" applyAlignment="1">
      <alignment horizontal="center"/>
    </xf>
    <xf numFmtId="167" fontId="25" fillId="37" borderId="0" xfId="0" applyNumberFormat="1" applyFont="1" applyFill="1" applyBorder="1"/>
    <xf numFmtId="167" fontId="53" fillId="37" borderId="0" xfId="0" applyNumberFormat="1" applyFont="1" applyFill="1"/>
    <xf numFmtId="167" fontId="25" fillId="37" borderId="0" xfId="0" applyNumberFormat="1" applyFont="1" applyFill="1"/>
    <xf numFmtId="166" fontId="5" fillId="0" borderId="35" xfId="212" applyNumberFormat="1" applyFont="1" applyFill="1" applyBorder="1"/>
    <xf numFmtId="166" fontId="63" fillId="0" borderId="34" xfId="213" applyNumberFormat="1" applyFont="1" applyFill="1" applyBorder="1"/>
    <xf numFmtId="166" fontId="41" fillId="0" borderId="36" xfId="212" applyNumberFormat="1" applyFont="1" applyFill="1" applyBorder="1"/>
    <xf numFmtId="17" fontId="25" fillId="0" borderId="0" xfId="0" quotePrefix="1" applyNumberFormat="1" applyFont="1" applyAlignment="1">
      <alignment horizontal="center"/>
    </xf>
    <xf numFmtId="0" fontId="25" fillId="0" borderId="0" xfId="0" quotePrefix="1" applyFont="1" applyAlignment="1">
      <alignment horizontal="center"/>
    </xf>
    <xf numFmtId="164" fontId="25" fillId="39" borderId="0" xfId="0" applyNumberFormat="1" applyFont="1" applyFill="1"/>
    <xf numFmtId="164" fontId="25" fillId="39" borderId="37" xfId="0" applyNumberFormat="1" applyFont="1" applyFill="1" applyBorder="1"/>
    <xf numFmtId="164" fontId="25" fillId="39" borderId="38" xfId="0" applyNumberFormat="1" applyFont="1" applyFill="1" applyBorder="1"/>
    <xf numFmtId="164" fontId="25" fillId="39" borderId="16" xfId="0" applyNumberFormat="1" applyFont="1" applyFill="1" applyBorder="1"/>
    <xf numFmtId="168" fontId="25" fillId="34" borderId="0" xfId="0" applyNumberFormat="1" applyFont="1" applyFill="1" applyAlignment="1">
      <alignment horizontal="left"/>
    </xf>
    <xf numFmtId="0" fontId="25" fillId="34" borderId="0" xfId="0" quotePrefix="1" applyFont="1" applyFill="1"/>
    <xf numFmtId="164" fontId="0" fillId="34" borderId="0" xfId="0" applyNumberFormat="1" applyFill="1" applyBorder="1"/>
    <xf numFmtId="175" fontId="0" fillId="34" borderId="0" xfId="0" applyNumberFormat="1" applyFill="1" applyAlignment="1">
      <alignment horizontal="center"/>
    </xf>
    <xf numFmtId="0" fontId="0" fillId="34" borderId="0" xfId="0" applyFill="1" applyAlignment="1">
      <alignment horizontal="center"/>
    </xf>
    <xf numFmtId="0" fontId="25" fillId="34" borderId="0" xfId="0" applyFont="1" applyFill="1" applyAlignment="1">
      <alignment horizontal="right"/>
    </xf>
    <xf numFmtId="0" fontId="0" fillId="34" borderId="0" xfId="0" applyFill="1" applyAlignment="1">
      <alignment horizontal="left" indent="1"/>
    </xf>
    <xf numFmtId="168" fontId="25" fillId="34" borderId="0" xfId="118" applyNumberFormat="1" applyFont="1" applyFill="1" applyAlignment="1">
      <alignment horizontal="left"/>
    </xf>
    <xf numFmtId="0" fontId="25" fillId="34" borderId="0" xfId="118" quotePrefix="1" applyFont="1" applyFill="1"/>
    <xf numFmtId="175" fontId="25" fillId="34" borderId="0" xfId="118" applyNumberFormat="1" applyFill="1" applyAlignment="1">
      <alignment horizontal="center"/>
    </xf>
    <xf numFmtId="0" fontId="25" fillId="34" borderId="0" xfId="118" applyFill="1" applyAlignment="1">
      <alignment horizontal="center"/>
    </xf>
    <xf numFmtId="0" fontId="25" fillId="34" borderId="0" xfId="118" applyFont="1" applyFill="1" applyAlignment="1">
      <alignment horizontal="center"/>
    </xf>
    <xf numFmtId="0" fontId="25" fillId="34" borderId="0" xfId="0" applyFont="1" applyFill="1" applyAlignment="1">
      <alignment horizontal="left" indent="1"/>
    </xf>
    <xf numFmtId="0" fontId="25" fillId="0" borderId="0" xfId="0" quotePrefix="1" applyFont="1" applyFill="1"/>
    <xf numFmtId="17" fontId="0" fillId="34" borderId="0" xfId="0" quotePrefix="1" applyNumberFormat="1" applyFill="1" applyAlignment="1">
      <alignment horizontal="center"/>
    </xf>
    <xf numFmtId="175" fontId="0" fillId="34" borderId="0" xfId="0" quotePrefix="1" applyNumberFormat="1" applyFill="1" applyAlignment="1">
      <alignment horizontal="center"/>
    </xf>
    <xf numFmtId="0" fontId="26" fillId="34" borderId="0" xfId="0" quotePrefix="1" applyFont="1" applyFill="1" applyAlignment="1">
      <alignment horizontal="center"/>
    </xf>
    <xf numFmtId="0" fontId="70" fillId="41" borderId="0" xfId="0" applyFont="1" applyFill="1"/>
    <xf numFmtId="0" fontId="0" fillId="42" borderId="0" xfId="0" applyFill="1"/>
    <xf numFmtId="0" fontId="71" fillId="41" borderId="0" xfId="0" applyFont="1" applyFill="1"/>
    <xf numFmtId="0" fontId="0" fillId="41" borderId="0" xfId="0" applyFill="1"/>
    <xf numFmtId="0" fontId="70" fillId="0" borderId="0" xfId="0" applyFont="1" applyFill="1"/>
    <xf numFmtId="0" fontId="71" fillId="0" borderId="0" xfId="0" applyFont="1" applyFill="1"/>
    <xf numFmtId="17" fontId="25" fillId="0" borderId="0" xfId="0" quotePrefix="1" applyNumberFormat="1" applyFont="1" applyFill="1" applyAlignment="1">
      <alignment horizontal="center"/>
    </xf>
    <xf numFmtId="0" fontId="56" fillId="0" borderId="0" xfId="0" applyFont="1" applyFill="1"/>
    <xf numFmtId="164" fontId="25" fillId="0" borderId="39" xfId="0" applyNumberFormat="1" applyFont="1" applyFill="1" applyBorder="1"/>
    <xf numFmtId="164" fontId="56" fillId="0" borderId="0" xfId="0" applyNumberFormat="1" applyFont="1" applyFill="1" applyBorder="1"/>
    <xf numFmtId="164" fontId="25" fillId="0" borderId="30" xfId="0" applyNumberFormat="1" applyFont="1" applyFill="1" applyBorder="1"/>
    <xf numFmtId="3" fontId="25" fillId="0" borderId="0" xfId="0" applyNumberFormat="1" applyFont="1" applyFill="1"/>
    <xf numFmtId="0" fontId="25" fillId="0" borderId="0" xfId="0" quotePrefix="1" applyFont="1"/>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0" borderId="0" xfId="209" applyFont="1" applyFill="1" applyBorder="1" applyAlignment="1">
      <alignment horizontal="left" vertical="top" wrapText="1"/>
    </xf>
    <xf numFmtId="0" fontId="48" fillId="0" borderId="0" xfId="209" applyFont="1" applyFill="1" applyBorder="1" applyAlignment="1">
      <alignment horizontal="left" vertical="top" wrapText="1"/>
    </xf>
    <xf numFmtId="167" fontId="0" fillId="37" borderId="0" xfId="0" applyNumberFormat="1" applyFill="1"/>
    <xf numFmtId="164" fontId="25" fillId="37" borderId="30" xfId="0" applyNumberFormat="1" applyFont="1" applyFill="1" applyBorder="1"/>
    <xf numFmtId="164" fontId="25" fillId="37" borderId="39" xfId="0" applyNumberFormat="1" applyFont="1" applyFill="1" applyBorder="1"/>
    <xf numFmtId="176" fontId="26" fillId="0" borderId="0" xfId="210" applyNumberFormat="1" applyFont="1" applyFill="1" applyAlignment="1">
      <alignment horizontal="center"/>
    </xf>
    <xf numFmtId="164" fontId="0" fillId="34" borderId="40" xfId="0" applyNumberFormat="1" applyFill="1" applyBorder="1"/>
    <xf numFmtId="0" fontId="0" fillId="34" borderId="41" xfId="0" applyFill="1" applyBorder="1" applyAlignment="1">
      <alignment horizontal="left" indent="1"/>
    </xf>
    <xf numFmtId="0" fontId="0" fillId="34" borderId="41" xfId="0" applyFill="1" applyBorder="1"/>
    <xf numFmtId="0" fontId="0" fillId="34" borderId="42" xfId="0" applyFill="1" applyBorder="1"/>
    <xf numFmtId="164" fontId="0" fillId="34" borderId="37" xfId="0" applyNumberFormat="1" applyFill="1" applyBorder="1"/>
    <xf numFmtId="0" fontId="0" fillId="34" borderId="38" xfId="0" applyFill="1" applyBorder="1" applyAlignment="1">
      <alignment horizontal="left" indent="1"/>
    </xf>
    <xf numFmtId="0" fontId="0" fillId="34" borderId="38" xfId="0" applyFill="1" applyBorder="1"/>
    <xf numFmtId="0" fontId="0" fillId="34" borderId="16" xfId="0" applyFill="1" applyBorder="1"/>
    <xf numFmtId="164" fontId="0" fillId="37" borderId="0" xfId="0" applyNumberFormat="1" applyFill="1" applyAlignment="1"/>
    <xf numFmtId="168" fontId="25" fillId="34" borderId="40" xfId="0" applyNumberFormat="1" applyFont="1" applyFill="1" applyBorder="1" applyAlignment="1">
      <alignment horizontal="left"/>
    </xf>
    <xf numFmtId="0" fontId="25" fillId="34" borderId="41" xfId="0" quotePrefix="1" applyFont="1" applyFill="1" applyBorder="1"/>
    <xf numFmtId="175" fontId="0" fillId="34" borderId="41" xfId="0" quotePrefix="1" applyNumberFormat="1" applyFill="1" applyBorder="1" applyAlignment="1">
      <alignment horizontal="center"/>
    </xf>
    <xf numFmtId="164" fontId="0" fillId="34" borderId="41" xfId="0" applyNumberFormat="1" applyFill="1" applyBorder="1"/>
    <xf numFmtId="0" fontId="0" fillId="34" borderId="41" xfId="0" applyFill="1" applyBorder="1" applyAlignment="1">
      <alignment horizontal="center"/>
    </xf>
    <xf numFmtId="168" fontId="25" fillId="34" borderId="43" xfId="0" applyNumberFormat="1" applyFont="1" applyFill="1" applyBorder="1" applyAlignment="1">
      <alignment horizontal="left"/>
    </xf>
    <xf numFmtId="0" fontId="25" fillId="34" borderId="32" xfId="0" quotePrefix="1" applyFont="1" applyFill="1" applyBorder="1"/>
    <xf numFmtId="175" fontId="0" fillId="34" borderId="32" xfId="0" quotePrefix="1" applyNumberFormat="1" applyFill="1" applyBorder="1" applyAlignment="1">
      <alignment horizontal="center"/>
    </xf>
    <xf numFmtId="164" fontId="0" fillId="34" borderId="32" xfId="0" applyNumberFormat="1" applyFill="1" applyBorder="1"/>
    <xf numFmtId="0" fontId="0" fillId="34" borderId="32" xfId="0" applyFill="1" applyBorder="1" applyAlignment="1">
      <alignment horizontal="center"/>
    </xf>
    <xf numFmtId="0" fontId="0" fillId="34" borderId="32" xfId="0" applyFill="1" applyBorder="1"/>
    <xf numFmtId="0" fontId="0" fillId="34" borderId="44" xfId="0" applyFill="1" applyBorder="1"/>
    <xf numFmtId="0" fontId="43" fillId="0" borderId="0" xfId="0" applyFont="1"/>
    <xf numFmtId="0" fontId="42" fillId="0" borderId="0" xfId="0" applyFont="1"/>
    <xf numFmtId="0" fontId="42" fillId="34" borderId="0" xfId="0" applyFont="1" applyFill="1"/>
    <xf numFmtId="0" fontId="42" fillId="0" borderId="0" xfId="0" applyFont="1" applyFill="1" applyAlignment="1">
      <alignment horizontal="right"/>
    </xf>
    <xf numFmtId="0" fontId="43" fillId="34" borderId="0" xfId="0" quotePrefix="1" applyFont="1" applyFill="1" applyAlignment="1">
      <alignment horizontal="center"/>
    </xf>
    <xf numFmtId="0" fontId="43" fillId="0" borderId="0" xfId="0" applyFont="1" applyFill="1" applyAlignment="1">
      <alignment horizontal="center"/>
    </xf>
    <xf numFmtId="0" fontId="42" fillId="0" borderId="0" xfId="0" applyFont="1" applyAlignment="1">
      <alignment horizontal="center"/>
    </xf>
    <xf numFmtId="17" fontId="25" fillId="34" borderId="0" xfId="93" quotePrefix="1" applyNumberFormat="1" applyFont="1" applyFill="1" applyBorder="1" applyAlignment="1">
      <alignment horizontal="left"/>
    </xf>
    <xf numFmtId="37" fontId="42" fillId="34" borderId="0" xfId="222" applyNumberFormat="1" applyFont="1" applyFill="1" applyAlignment="1">
      <alignment horizontal="right"/>
    </xf>
    <xf numFmtId="164" fontId="42" fillId="34" borderId="0" xfId="0" applyNumberFormat="1" applyFont="1" applyFill="1"/>
    <xf numFmtId="164" fontId="42" fillId="0" borderId="0" xfId="0" applyNumberFormat="1" applyFont="1"/>
    <xf numFmtId="0" fontId="25" fillId="34" borderId="0" xfId="93" quotePrefix="1" applyFont="1" applyFill="1" applyBorder="1" applyAlignment="1">
      <alignment horizontal="left"/>
    </xf>
    <xf numFmtId="164" fontId="42" fillId="0" borderId="0" xfId="0" applyNumberFormat="1" applyFont="1" applyFill="1"/>
    <xf numFmtId="164" fontId="42" fillId="0" borderId="0" xfId="0" applyNumberFormat="1" applyFont="1" applyFill="1" applyAlignment="1">
      <alignment horizontal="right"/>
    </xf>
    <xf numFmtId="0" fontId="25" fillId="34" borderId="0" xfId="93" quotePrefix="1" applyNumberFormat="1" applyFont="1" applyFill="1" applyBorder="1" applyAlignment="1">
      <alignment horizontal="left"/>
    </xf>
    <xf numFmtId="164" fontId="42" fillId="0" borderId="0" xfId="0" applyNumberFormat="1" applyFont="1" applyFill="1" applyBorder="1" applyAlignment="1">
      <alignment horizontal="right"/>
    </xf>
    <xf numFmtId="164" fontId="53" fillId="34" borderId="0" xfId="0" applyNumberFormat="1" applyFont="1" applyFill="1" applyBorder="1"/>
    <xf numFmtId="164" fontId="73" fillId="0" borderId="0" xfId="0" applyNumberFormat="1" applyFont="1" applyFill="1"/>
    <xf numFmtId="0" fontId="25" fillId="0" borderId="0" xfId="93" quotePrefix="1" applyNumberFormat="1" applyFont="1" applyFill="1" applyBorder="1" applyAlignment="1">
      <alignment horizontal="left"/>
    </xf>
    <xf numFmtId="0" fontId="42" fillId="0" borderId="0" xfId="0" applyFont="1" applyFill="1"/>
    <xf numFmtId="0" fontId="74" fillId="0" borderId="0" xfId="0" applyFont="1" applyAlignment="1">
      <alignment horizontal="center"/>
    </xf>
    <xf numFmtId="164" fontId="73" fillId="34" borderId="0" xfId="0" applyNumberFormat="1" applyFont="1" applyFill="1"/>
    <xf numFmtId="164" fontId="73" fillId="0" borderId="0" xfId="0" applyNumberFormat="1" applyFont="1"/>
    <xf numFmtId="164" fontId="25" fillId="0" borderId="0" xfId="89" applyNumberFormat="1" applyFont="1" applyFill="1" applyBorder="1" applyAlignment="1">
      <alignment horizontal="right"/>
    </xf>
    <xf numFmtId="166" fontId="25" fillId="0" borderId="0" xfId="93" quotePrefix="1" applyNumberFormat="1" applyFont="1" applyFill="1" applyBorder="1" applyAlignment="1">
      <alignment horizontal="left" indent="1"/>
    </xf>
    <xf numFmtId="0" fontId="28" fillId="0" borderId="0" xfId="93" applyNumberFormat="1" applyFont="1" applyFill="1" applyBorder="1" applyAlignment="1">
      <alignment horizontal="left"/>
    </xf>
    <xf numFmtId="0" fontId="28" fillId="0" borderId="0" xfId="93" applyNumberFormat="1" applyFont="1" applyFill="1" applyBorder="1" applyAlignment="1">
      <alignment horizontal="center"/>
    </xf>
    <xf numFmtId="166" fontId="25" fillId="0" borderId="0" xfId="93" applyNumberFormat="1" applyFont="1" applyFill="1" applyBorder="1" applyAlignment="1">
      <alignment horizontal="left" indent="1"/>
    </xf>
    <xf numFmtId="0" fontId="25" fillId="0" borderId="0" xfId="93" applyFont="1" applyBorder="1" applyAlignment="1"/>
    <xf numFmtId="166" fontId="25" fillId="0" borderId="0" xfId="89" applyNumberFormat="1" applyFont="1" applyFill="1" applyBorder="1" applyAlignment="1">
      <alignment horizontal="right"/>
    </xf>
    <xf numFmtId="166" fontId="25" fillId="0" borderId="0" xfId="93" applyNumberFormat="1" applyFont="1" applyFill="1" applyBorder="1" applyAlignment="1">
      <alignment horizontal="right"/>
    </xf>
    <xf numFmtId="166" fontId="26" fillId="0" borderId="0" xfId="89" applyNumberFormat="1" applyFont="1" applyFill="1" applyBorder="1" applyAlignment="1">
      <alignment horizontal="center"/>
    </xf>
    <xf numFmtId="0" fontId="25" fillId="0" borderId="0" xfId="93" applyFont="1" applyBorder="1"/>
    <xf numFmtId="3" fontId="25" fillId="0" borderId="0" xfId="93" applyNumberFormat="1" applyFont="1" applyFill="1" applyBorder="1" applyAlignment="1">
      <alignment horizontal="left" indent="1"/>
    </xf>
    <xf numFmtId="3" fontId="25" fillId="0" borderId="0" xfId="93" applyNumberFormat="1" applyFont="1" applyFill="1" applyBorder="1" applyAlignment="1"/>
    <xf numFmtId="3" fontId="28" fillId="0" borderId="0" xfId="93" applyNumberFormat="1" applyFont="1" applyFill="1" applyBorder="1" applyAlignment="1">
      <alignment horizontal="center"/>
    </xf>
    <xf numFmtId="37" fontId="25" fillId="0" borderId="0" xfId="223" applyNumberFormat="1" applyFont="1" applyFill="1" applyAlignment="1">
      <alignment horizontal="left" indent="1"/>
    </xf>
    <xf numFmtId="167" fontId="53" fillId="0" borderId="0" xfId="89" applyNumberFormat="1" applyFont="1" applyFill="1" applyBorder="1" applyAlignment="1">
      <alignment horizontal="right"/>
    </xf>
    <xf numFmtId="164" fontId="53" fillId="34" borderId="0" xfId="0" applyNumberFormat="1" applyFont="1" applyFill="1"/>
    <xf numFmtId="0" fontId="42" fillId="0" borderId="0" xfId="0" applyFont="1" applyFill="1" applyAlignment="1">
      <alignment horizontal="center"/>
    </xf>
    <xf numFmtId="0" fontId="28" fillId="0" borderId="0" xfId="0" quotePrefix="1" applyFont="1" applyFill="1" applyBorder="1" applyAlignment="1">
      <alignment horizontal="center"/>
    </xf>
    <xf numFmtId="164" fontId="42" fillId="34" borderId="0" xfId="0" applyNumberFormat="1" applyFont="1" applyFill="1" applyBorder="1"/>
    <xf numFmtId="164" fontId="42" fillId="34" borderId="33" xfId="0" applyNumberFormat="1" applyFont="1" applyFill="1" applyBorder="1"/>
    <xf numFmtId="164" fontId="73" fillId="34" borderId="0" xfId="0" applyNumberFormat="1" applyFont="1" applyFill="1" applyBorder="1"/>
    <xf numFmtId="164" fontId="42" fillId="37" borderId="0" xfId="0" applyNumberFormat="1" applyFont="1" applyFill="1" applyBorder="1"/>
    <xf numFmtId="10" fontId="25" fillId="0" borderId="0" xfId="0" applyNumberFormat="1" applyFont="1" applyFill="1"/>
    <xf numFmtId="0" fontId="74" fillId="0" borderId="0" xfId="0" applyFont="1"/>
    <xf numFmtId="0" fontId="76" fillId="0" borderId="0" xfId="0" applyFont="1" applyFill="1" applyAlignment="1">
      <alignment horizontal="left" vertical="center"/>
    </xf>
    <xf numFmtId="164" fontId="25" fillId="0" borderId="0" xfId="0" applyNumberFormat="1" applyFont="1" applyAlignment="1">
      <alignment horizontal="left" indent="1"/>
    </xf>
    <xf numFmtId="164" fontId="25" fillId="34" borderId="0" xfId="0" applyNumberFormat="1" applyFont="1" applyFill="1" applyAlignment="1">
      <alignment wrapText="1"/>
    </xf>
    <xf numFmtId="10" fontId="26" fillId="0" borderId="0" xfId="99" applyNumberFormat="1" applyFont="1" applyFill="1" applyBorder="1" applyAlignment="1">
      <alignment horizontal="center" vertical="center"/>
    </xf>
    <xf numFmtId="3" fontId="65" fillId="0" borderId="0" xfId="221" applyNumberFormat="1" applyFont="1" applyBorder="1"/>
    <xf numFmtId="164" fontId="25" fillId="34" borderId="0" xfId="210" applyNumberFormat="1" applyFont="1" applyFill="1" applyBorder="1" applyAlignment="1">
      <alignment wrapText="1"/>
    </xf>
    <xf numFmtId="3" fontId="25" fillId="0" borderId="0" xfId="0" applyNumberFormat="1" applyFont="1"/>
    <xf numFmtId="0" fontId="42" fillId="0" borderId="0" xfId="0" quotePrefix="1" applyFont="1"/>
    <xf numFmtId="0" fontId="25" fillId="0" borderId="0" xfId="0" quotePrefix="1" applyFont="1" applyAlignment="1"/>
    <xf numFmtId="164" fontId="42" fillId="37" borderId="0" xfId="0" applyNumberFormat="1" applyFont="1" applyFill="1"/>
    <xf numFmtId="164" fontId="53" fillId="34" borderId="33" xfId="0" applyNumberFormat="1" applyFont="1" applyFill="1" applyBorder="1"/>
    <xf numFmtId="164" fontId="73" fillId="37" borderId="0" xfId="0" applyNumberFormat="1" applyFont="1" applyFill="1"/>
    <xf numFmtId="0" fontId="74" fillId="0" borderId="0" xfId="0" applyFont="1" applyFill="1"/>
    <xf numFmtId="0" fontId="42" fillId="0" borderId="0" xfId="0" applyFont="1" applyFill="1" applyAlignment="1">
      <alignment horizontal="left" indent="1"/>
    </xf>
    <xf numFmtId="0" fontId="74" fillId="0" borderId="0" xfId="0" applyFont="1" applyFill="1" applyAlignment="1">
      <alignment horizontal="left" indent="1"/>
    </xf>
    <xf numFmtId="0" fontId="42" fillId="0" borderId="0" xfId="0" applyFont="1" applyAlignment="1">
      <alignment horizontal="right"/>
    </xf>
    <xf numFmtId="0" fontId="42" fillId="0" borderId="0" xfId="0" applyFont="1" applyAlignment="1">
      <alignment horizontal="left" indent="1"/>
    </xf>
    <xf numFmtId="0" fontId="41" fillId="0" borderId="0" xfId="0" applyFont="1"/>
    <xf numFmtId="0" fontId="43" fillId="0" borderId="0" xfId="0" applyFont="1" applyAlignment="1">
      <alignment horizontal="center"/>
    </xf>
    <xf numFmtId="0" fontId="74" fillId="0" borderId="0" xfId="0" applyFont="1" applyFill="1" applyAlignment="1">
      <alignment horizontal="center"/>
    </xf>
    <xf numFmtId="164" fontId="0" fillId="34" borderId="0" xfId="0" applyNumberFormat="1" applyFill="1" applyAlignment="1">
      <alignment horizontal="right"/>
    </xf>
    <xf numFmtId="167" fontId="25" fillId="0" borderId="0" xfId="89" applyNumberFormat="1" applyFont="1" applyFill="1" applyBorder="1" applyAlignment="1">
      <alignment horizontal="right"/>
    </xf>
    <xf numFmtId="167" fontId="25" fillId="37" borderId="0" xfId="89" applyNumberFormat="1" applyFont="1" applyFill="1" applyBorder="1" applyAlignment="1">
      <alignment horizontal="right"/>
    </xf>
    <xf numFmtId="164" fontId="25" fillId="37" borderId="0" xfId="89" applyNumberFormat="1" applyFont="1" applyFill="1" applyBorder="1" applyAlignment="1">
      <alignment horizontal="right"/>
    </xf>
    <xf numFmtId="0" fontId="25" fillId="0" borderId="0" xfId="93" applyFont="1" applyFill="1" applyBorder="1" applyAlignment="1"/>
    <xf numFmtId="3" fontId="25" fillId="0" borderId="0" xfId="93" applyNumberFormat="1" applyFont="1" applyFill="1" applyBorder="1" applyAlignment="1">
      <alignment horizontal="left"/>
    </xf>
    <xf numFmtId="37" fontId="42" fillId="34" borderId="0" xfId="224" applyNumberFormat="1" applyFont="1" applyFill="1" applyAlignment="1">
      <alignment horizontal="right"/>
    </xf>
    <xf numFmtId="0" fontId="25" fillId="0" borderId="0" xfId="0" applyFont="1" applyAlignment="1">
      <alignment horizontal="center"/>
    </xf>
    <xf numFmtId="164" fontId="25" fillId="34" borderId="0" xfId="0" applyNumberFormat="1" applyFont="1" applyFill="1" applyAlignment="1">
      <alignment horizontal="right"/>
    </xf>
    <xf numFmtId="164" fontId="0" fillId="34" borderId="17" xfId="0" applyNumberFormat="1" applyFill="1" applyBorder="1"/>
    <xf numFmtId="164" fontId="25" fillId="0" borderId="0" xfId="0" applyNumberFormat="1" applyFont="1" applyFill="1" applyAlignment="1">
      <alignment horizontal="center"/>
    </xf>
    <xf numFmtId="164" fontId="0" fillId="34" borderId="19" xfId="0" applyNumberFormat="1" applyFill="1" applyBorder="1"/>
    <xf numFmtId="164" fontId="0" fillId="34" borderId="20" xfId="0" applyNumberFormat="1" applyFill="1" applyBorder="1"/>
    <xf numFmtId="164" fontId="53" fillId="34" borderId="0" xfId="0" applyNumberFormat="1" applyFont="1" applyFill="1" applyAlignment="1">
      <alignment horizontal="right"/>
    </xf>
    <xf numFmtId="164" fontId="25" fillId="37" borderId="0" xfId="0" applyNumberFormat="1" applyFont="1" applyFill="1" applyAlignment="1">
      <alignment horizontal="right"/>
    </xf>
    <xf numFmtId="164" fontId="25" fillId="0" borderId="0" xfId="0" applyNumberFormat="1" applyFont="1" applyFill="1" applyAlignment="1">
      <alignment horizontal="right"/>
    </xf>
    <xf numFmtId="164" fontId="26" fillId="0" borderId="0" xfId="0" applyNumberFormat="1" applyFont="1" applyFill="1" applyAlignment="1">
      <alignment horizontal="center"/>
    </xf>
    <xf numFmtId="164" fontId="28" fillId="0" borderId="0" xfId="0" applyNumberFormat="1" applyFont="1" applyFill="1" applyAlignment="1">
      <alignment horizontal="center"/>
    </xf>
    <xf numFmtId="164" fontId="28" fillId="34" borderId="0" xfId="0" applyNumberFormat="1" applyFont="1" applyFill="1" applyAlignment="1">
      <alignment horizontal="center"/>
    </xf>
    <xf numFmtId="164" fontId="25" fillId="34" borderId="0" xfId="0" quotePrefix="1" applyNumberFormat="1" applyFont="1" applyFill="1" applyAlignment="1">
      <alignment horizontal="center"/>
    </xf>
    <xf numFmtId="164" fontId="25" fillId="0" borderId="0" xfId="0" quotePrefix="1" applyNumberFormat="1" applyFont="1" applyFill="1" applyAlignment="1">
      <alignment horizontal="center"/>
    </xf>
    <xf numFmtId="0" fontId="28" fillId="0" borderId="0" xfId="0" applyNumberFormat="1" applyFont="1" applyFill="1" applyAlignment="1">
      <alignment horizontal="center"/>
    </xf>
    <xf numFmtId="0" fontId="68" fillId="0" borderId="0" xfId="0" applyFont="1" applyFill="1" applyAlignment="1">
      <alignment horizontal="center"/>
    </xf>
    <xf numFmtId="0" fontId="68" fillId="0" borderId="0" xfId="0" applyFont="1" applyAlignment="1">
      <alignment horizontal="center"/>
    </xf>
    <xf numFmtId="0" fontId="26" fillId="0" borderId="0" xfId="0" applyNumberFormat="1" applyFont="1" applyFill="1" applyAlignment="1">
      <alignment horizontal="center"/>
    </xf>
    <xf numFmtId="0" fontId="26" fillId="0" borderId="0" xfId="0" applyNumberFormat="1" applyFont="1" applyFill="1" applyAlignment="1">
      <alignment horizontal="center" wrapText="1"/>
    </xf>
    <xf numFmtId="0" fontId="25" fillId="0" borderId="0" xfId="0" quotePrefix="1" applyNumberFormat="1" applyFont="1" applyFill="1" applyAlignment="1">
      <alignment horizontal="center"/>
    </xf>
    <xf numFmtId="164" fontId="26" fillId="0" borderId="0" xfId="0" applyNumberFormat="1" applyFont="1" applyFill="1" applyAlignment="1">
      <alignment horizontal="right" indent="1"/>
    </xf>
    <xf numFmtId="164" fontId="26" fillId="0" borderId="0" xfId="0" applyNumberFormat="1" applyFont="1"/>
    <xf numFmtId="0" fontId="0" fillId="0" borderId="0" xfId="0" applyNumberFormat="1" applyFill="1"/>
    <xf numFmtId="0" fontId="26" fillId="0" borderId="0" xfId="0" applyNumberFormat="1" applyFont="1" applyFill="1" applyAlignment="1">
      <alignment horizontal="left" indent="2"/>
    </xf>
    <xf numFmtId="0" fontId="28" fillId="0" borderId="0" xfId="0" quotePrefix="1" applyNumberFormat="1" applyFont="1" applyFill="1" applyAlignment="1">
      <alignment horizontal="center"/>
    </xf>
    <xf numFmtId="0" fontId="25" fillId="0" borderId="0" xfId="0" quotePrefix="1" applyNumberFormat="1" applyFont="1" applyFill="1" applyAlignment="1">
      <alignment horizontal="center" wrapText="1"/>
    </xf>
    <xf numFmtId="0" fontId="68" fillId="0" borderId="0" xfId="0" quotePrefix="1" applyNumberFormat="1" applyFont="1" applyFill="1" applyAlignment="1">
      <alignment horizontal="center"/>
    </xf>
    <xf numFmtId="0" fontId="25" fillId="0" borderId="0" xfId="0" applyNumberFormat="1" applyFont="1" applyFill="1" applyAlignment="1"/>
    <xf numFmtId="0" fontId="0" fillId="0" borderId="0" xfId="0" applyNumberFormat="1" applyFill="1" applyAlignment="1">
      <alignment horizontal="left"/>
    </xf>
    <xf numFmtId="0" fontId="53" fillId="0" borderId="0" xfId="0" applyNumberFormat="1" applyFont="1" applyFill="1"/>
    <xf numFmtId="0" fontId="25" fillId="0" borderId="0" xfId="0" applyNumberFormat="1" applyFont="1" applyFill="1" applyAlignment="1">
      <alignment horizontal="right"/>
    </xf>
    <xf numFmtId="0" fontId="26" fillId="0" borderId="0" xfId="0" applyNumberFormat="1" applyFont="1" applyFill="1"/>
    <xf numFmtId="0" fontId="25" fillId="0" borderId="0" xfId="0" applyNumberFormat="1" applyFont="1" applyFill="1"/>
    <xf numFmtId="0" fontId="25" fillId="0" borderId="0" xfId="0" applyNumberFormat="1" applyFont="1" applyFill="1" applyAlignment="1">
      <alignment horizontal="left" indent="1"/>
    </xf>
    <xf numFmtId="0" fontId="25" fillId="34" borderId="0" xfId="0" applyFont="1" applyFill="1" applyAlignment="1"/>
    <xf numFmtId="0" fontId="0" fillId="0" borderId="0" xfId="0" applyAlignment="1">
      <alignment horizontal="right" indent="1"/>
    </xf>
    <xf numFmtId="0" fontId="26" fillId="0" borderId="0" xfId="0" applyFont="1" applyAlignment="1">
      <alignment horizontal="left" indent="2"/>
    </xf>
    <xf numFmtId="0" fontId="26" fillId="0" borderId="0" xfId="0" applyFont="1" applyAlignment="1">
      <alignment horizontal="left" indent="3"/>
    </xf>
    <xf numFmtId="0" fontId="25" fillId="0" borderId="0" xfId="0" applyFont="1" applyAlignment="1">
      <alignment horizontal="left"/>
    </xf>
    <xf numFmtId="164" fontId="25" fillId="0" borderId="0" xfId="0" quotePrefix="1" applyNumberFormat="1" applyFont="1" applyAlignment="1">
      <alignment horizontal="center"/>
    </xf>
    <xf numFmtId="0" fontId="25" fillId="0" borderId="0" xfId="0" quotePrefix="1" applyFont="1" applyAlignment="1">
      <alignment horizontal="center" vertical="justify"/>
    </xf>
    <xf numFmtId="0" fontId="0" fillId="0" borderId="0" xfId="0" quotePrefix="1"/>
    <xf numFmtId="164" fontId="25" fillId="0" borderId="0" xfId="0" quotePrefix="1" applyNumberFormat="1" applyFont="1" applyFill="1" applyAlignment="1">
      <alignment horizontal="right"/>
    </xf>
    <xf numFmtId="164" fontId="25" fillId="37" borderId="0" xfId="0" quotePrefix="1" applyNumberFormat="1" applyFont="1" applyFill="1" applyAlignment="1">
      <alignment horizontal="right"/>
    </xf>
    <xf numFmtId="0" fontId="25" fillId="0" borderId="0" xfId="0" quotePrefix="1" applyFont="1" applyAlignment="1">
      <alignment horizontal="left" indent="1"/>
    </xf>
    <xf numFmtId="0" fontId="0" fillId="0" borderId="0" xfId="0" applyFill="1" applyAlignment="1">
      <alignment horizontal="center"/>
    </xf>
    <xf numFmtId="0" fontId="26" fillId="34" borderId="0" xfId="0" applyFont="1" applyFill="1" applyAlignment="1">
      <alignment horizontal="center"/>
    </xf>
    <xf numFmtId="0" fontId="28" fillId="34" borderId="0" xfId="0" applyFont="1" applyFill="1" applyAlignment="1">
      <alignment horizontal="center"/>
    </xf>
    <xf numFmtId="0" fontId="25" fillId="34" borderId="0" xfId="93" applyFont="1" applyFill="1" applyBorder="1" applyAlignment="1">
      <alignment horizontal="center"/>
    </xf>
    <xf numFmtId="164" fontId="25" fillId="0" borderId="0" xfId="0" applyNumberFormat="1" applyFont="1" applyAlignment="1">
      <alignment horizontal="right"/>
    </xf>
    <xf numFmtId="164" fontId="0" fillId="0" borderId="0" xfId="0" applyNumberFormat="1" applyFill="1" applyAlignment="1">
      <alignment horizontal="right"/>
    </xf>
    <xf numFmtId="164" fontId="0" fillId="37" borderId="0" xfId="0" applyNumberFormat="1" applyFill="1" applyAlignment="1">
      <alignment horizontal="right"/>
    </xf>
    <xf numFmtId="164" fontId="53" fillId="37" borderId="0" xfId="0" applyNumberFormat="1" applyFont="1" applyFill="1" applyAlignment="1">
      <alignment horizontal="right"/>
    </xf>
    <xf numFmtId="164" fontId="53" fillId="0" borderId="0" xfId="0" applyNumberFormat="1" applyFont="1" applyFill="1" applyAlignment="1">
      <alignment horizontal="right"/>
    </xf>
    <xf numFmtId="0" fontId="26" fillId="0" borderId="0" xfId="93" applyFont="1" applyBorder="1" applyAlignment="1">
      <alignment horizontal="left"/>
    </xf>
    <xf numFmtId="164" fontId="26" fillId="0" borderId="0" xfId="0" applyNumberFormat="1" applyFont="1" applyFill="1" applyAlignment="1">
      <alignment horizontal="right"/>
    </xf>
    <xf numFmtId="164" fontId="25" fillId="0" borderId="0" xfId="0" applyNumberFormat="1" applyFont="1" applyFill="1" applyAlignment="1">
      <alignment horizontal="left" indent="1"/>
    </xf>
    <xf numFmtId="177" fontId="0" fillId="0" borderId="0" xfId="0" applyNumberFormat="1"/>
    <xf numFmtId="0" fontId="26" fillId="34" borderId="0" xfId="0" applyFont="1" applyFill="1"/>
    <xf numFmtId="0" fontId="0" fillId="34" borderId="0" xfId="0" applyFill="1" applyAlignment="1">
      <alignment horizontal="right"/>
    </xf>
    <xf numFmtId="0" fontId="0" fillId="34" borderId="0" xfId="0" applyFill="1" applyAlignment="1">
      <alignment horizontal="left"/>
    </xf>
    <xf numFmtId="10" fontId="0" fillId="34" borderId="0" xfId="0" applyNumberFormat="1" applyFill="1" applyAlignment="1">
      <alignment horizontal="right"/>
    </xf>
    <xf numFmtId="10" fontId="0" fillId="34" borderId="0" xfId="0" applyNumberFormat="1" applyFill="1" applyAlignment="1">
      <alignment horizontal="left"/>
    </xf>
    <xf numFmtId="0" fontId="0" fillId="34" borderId="0" xfId="0" quotePrefix="1" applyFill="1" applyAlignment="1">
      <alignment horizontal="center"/>
    </xf>
    <xf numFmtId="0" fontId="0" fillId="34" borderId="0" xfId="0" applyFill="1" applyAlignment="1"/>
    <xf numFmtId="0" fontId="25" fillId="34" borderId="0" xfId="0" applyFont="1" applyFill="1" applyAlignment="1">
      <alignment horizontal="left"/>
    </xf>
    <xf numFmtId="0" fontId="25" fillId="34" borderId="0" xfId="0" applyFont="1" applyFill="1" applyAlignment="1">
      <alignment horizontal="left" vertical="center"/>
    </xf>
    <xf numFmtId="0" fontId="26" fillId="34" borderId="0" xfId="0" applyFont="1" applyFill="1" applyAlignment="1">
      <alignment horizontal="left"/>
    </xf>
    <xf numFmtId="0" fontId="0" fillId="0" borderId="0" xfId="0" quotePrefix="1" applyFont="1" applyFill="1" applyAlignment="1">
      <alignment horizontal="left" indent="1"/>
    </xf>
    <xf numFmtId="3" fontId="0" fillId="0" borderId="0" xfId="0" applyNumberFormat="1"/>
    <xf numFmtId="0" fontId="25" fillId="0" borderId="0" xfId="0" applyFont="1" applyFill="1" applyBorder="1" applyAlignment="1">
      <alignment horizontal="left"/>
    </xf>
    <xf numFmtId="164" fontId="0" fillId="39" borderId="0" xfId="0" applyNumberFormat="1" applyFill="1"/>
    <xf numFmtId="3" fontId="0" fillId="34" borderId="0" xfId="0" applyNumberFormat="1" applyFill="1"/>
    <xf numFmtId="0" fontId="0" fillId="0" borderId="0" xfId="0" quotePrefix="1" applyFill="1"/>
    <xf numFmtId="3" fontId="0" fillId="0" borderId="0" xfId="0" applyNumberFormat="1" applyFill="1"/>
    <xf numFmtId="172" fontId="0" fillId="0" borderId="0" xfId="0" applyNumberFormat="1" applyFill="1"/>
    <xf numFmtId="3" fontId="0" fillId="34" borderId="33" xfId="0" applyNumberFormat="1" applyFill="1" applyBorder="1"/>
    <xf numFmtId="172" fontId="0" fillId="37" borderId="0" xfId="0" applyNumberFormat="1" applyFill="1"/>
    <xf numFmtId="174" fontId="0" fillId="0" borderId="0" xfId="0" applyNumberFormat="1" applyFill="1"/>
    <xf numFmtId="3" fontId="0" fillId="37" borderId="0" xfId="0" applyNumberFormat="1" applyFill="1"/>
    <xf numFmtId="176" fontId="26" fillId="34" borderId="0" xfId="210" applyNumberFormat="1" applyFont="1" applyFill="1" applyAlignment="1">
      <alignment horizontal="center"/>
    </xf>
    <xf numFmtId="175" fontId="25" fillId="34" borderId="41" xfId="0" quotePrefix="1" applyNumberFormat="1" applyFont="1" applyFill="1" applyBorder="1" applyAlignment="1">
      <alignment horizontal="center"/>
    </xf>
    <xf numFmtId="164" fontId="25" fillId="34" borderId="41" xfId="0" applyNumberFormat="1" applyFont="1" applyFill="1" applyBorder="1"/>
    <xf numFmtId="1" fontId="25" fillId="34" borderId="41" xfId="0" applyNumberFormat="1" applyFont="1" applyFill="1" applyBorder="1" applyAlignment="1">
      <alignment horizontal="center"/>
    </xf>
    <xf numFmtId="0" fontId="25" fillId="34" borderId="41" xfId="0" applyFont="1" applyFill="1" applyBorder="1"/>
    <xf numFmtId="175" fontId="25" fillId="34" borderId="32" xfId="0" quotePrefix="1" applyNumberFormat="1" applyFont="1" applyFill="1" applyBorder="1" applyAlignment="1">
      <alignment horizontal="center"/>
    </xf>
    <xf numFmtId="1" fontId="25" fillId="34" borderId="32" xfId="0" applyNumberFormat="1" applyFont="1" applyFill="1" applyBorder="1" applyAlignment="1">
      <alignment horizontal="center"/>
    </xf>
    <xf numFmtId="0" fontId="25" fillId="34" borderId="32" xfId="0" applyFont="1" applyFill="1" applyBorder="1"/>
    <xf numFmtId="164" fontId="42" fillId="37" borderId="0" xfId="0" applyNumberFormat="1" applyFont="1" applyFill="1" applyAlignment="1">
      <alignment horizontal="right"/>
    </xf>
    <xf numFmtId="167" fontId="53" fillId="37" borderId="0" xfId="89" applyNumberFormat="1" applyFont="1" applyFill="1" applyBorder="1" applyAlignment="1">
      <alignment horizontal="right"/>
    </xf>
    <xf numFmtId="10" fontId="53" fillId="0" borderId="0" xfId="99" applyNumberFormat="1" applyFont="1" applyFill="1" applyBorder="1" applyAlignment="1">
      <alignment horizontal="center"/>
    </xf>
    <xf numFmtId="10" fontId="26" fillId="37" borderId="0" xfId="99" applyNumberFormat="1" applyFont="1" applyFill="1" applyBorder="1" applyAlignment="1">
      <alignment horizontal="center" vertical="center"/>
    </xf>
    <xf numFmtId="164" fontId="53" fillId="34" borderId="37" xfId="0" applyNumberFormat="1" applyFont="1" applyFill="1" applyBorder="1"/>
    <xf numFmtId="3" fontId="42" fillId="0" borderId="0" xfId="0" applyNumberFormat="1" applyFont="1"/>
    <xf numFmtId="3" fontId="42" fillId="0" borderId="0" xfId="0" applyNumberFormat="1" applyFont="1" applyFill="1"/>
    <xf numFmtId="0" fontId="25" fillId="34" borderId="41" xfId="0" applyFont="1" applyFill="1" applyBorder="1" applyAlignment="1">
      <alignment horizontal="center"/>
    </xf>
    <xf numFmtId="168" fontId="25" fillId="34" borderId="45" xfId="0" applyNumberFormat="1" applyFont="1" applyFill="1" applyBorder="1" applyAlignment="1">
      <alignment horizontal="left"/>
    </xf>
    <xf numFmtId="0" fontId="25" fillId="34" borderId="0" xfId="0" quotePrefix="1" applyFont="1" applyFill="1" applyBorder="1"/>
    <xf numFmtId="175" fontId="25" fillId="34" borderId="0" xfId="0" quotePrefix="1" applyNumberFormat="1" applyFont="1" applyFill="1" applyBorder="1" applyAlignment="1">
      <alignment horizontal="center"/>
    </xf>
    <xf numFmtId="1" fontId="25" fillId="34" borderId="0" xfId="0" applyNumberFormat="1" applyFont="1" applyFill="1" applyBorder="1" applyAlignment="1">
      <alignment horizontal="center"/>
    </xf>
    <xf numFmtId="0" fontId="0" fillId="34" borderId="18" xfId="0" applyFill="1" applyBorder="1"/>
    <xf numFmtId="164" fontId="42" fillId="34" borderId="0" xfId="222" applyNumberFormat="1" applyFont="1" applyFill="1" applyAlignment="1">
      <alignment horizontal="right"/>
    </xf>
    <xf numFmtId="0" fontId="25" fillId="0" borderId="0" xfId="221" applyFont="1" applyFill="1" applyBorder="1" applyAlignment="1">
      <alignment horizontal="left" indent="2"/>
    </xf>
    <xf numFmtId="164" fontId="42" fillId="34" borderId="0" xfId="224" applyNumberFormat="1" applyFont="1" applyFill="1" applyAlignment="1">
      <alignment horizontal="right"/>
    </xf>
    <xf numFmtId="164" fontId="73" fillId="34" borderId="0" xfId="224" applyNumberFormat="1" applyFont="1" applyFill="1" applyAlignment="1">
      <alignment horizontal="right"/>
    </xf>
    <xf numFmtId="164" fontId="0" fillId="0" borderId="0" xfId="0" applyNumberFormat="1" applyFill="1" applyBorder="1" applyAlignment="1"/>
    <xf numFmtId="0" fontId="16" fillId="0" borderId="7" xfId="157" applyFill="1" applyBorder="1"/>
    <xf numFmtId="0" fontId="16" fillId="0" borderId="0" xfId="157" applyFill="1" applyBorder="1"/>
    <xf numFmtId="164" fontId="41" fillId="0" borderId="0" xfId="157" applyNumberFormat="1" applyFont="1" applyFill="1" applyBorder="1"/>
    <xf numFmtId="164" fontId="41" fillId="0" borderId="7" xfId="157" applyNumberFormat="1" applyFont="1" applyFill="1" applyBorder="1"/>
    <xf numFmtId="164" fontId="25" fillId="0" borderId="0" xfId="211" applyNumberFormat="1" applyFont="1" applyFill="1" applyBorder="1" applyAlignment="1">
      <alignment horizontal="center" vertical="center"/>
    </xf>
    <xf numFmtId="0" fontId="60" fillId="0" borderId="0" xfId="209" quotePrefix="1" applyFont="1" applyFill="1" applyBorder="1" applyAlignment="1">
      <alignment horizontal="center" vertical="center" wrapText="1"/>
    </xf>
    <xf numFmtId="0" fontId="60" fillId="0" borderId="0" xfId="209" applyFont="1" applyFill="1" applyBorder="1" applyAlignment="1">
      <alignment horizontal="left" vertical="top"/>
    </xf>
    <xf numFmtId="0" fontId="59" fillId="0" borderId="11" xfId="209" applyFont="1" applyFill="1" applyBorder="1" applyAlignment="1">
      <alignment horizontal="left" vertical="top"/>
    </xf>
    <xf numFmtId="0" fontId="60" fillId="0" borderId="11" xfId="209" applyFont="1" applyFill="1" applyBorder="1" applyAlignment="1">
      <alignment horizontal="center" vertical="center"/>
    </xf>
    <xf numFmtId="0" fontId="2" fillId="0" borderId="0" xfId="212" applyFont="1"/>
    <xf numFmtId="164" fontId="50" fillId="0" borderId="12" xfId="157" applyNumberFormat="1" applyFont="1" applyFill="1" applyBorder="1" applyAlignment="1"/>
    <xf numFmtId="0" fontId="47" fillId="0" borderId="0" xfId="209" applyFont="1" applyFill="1" applyBorder="1" applyAlignment="1">
      <alignment horizontal="left" vertical="top" wrapText="1"/>
    </xf>
    <xf numFmtId="0" fontId="47" fillId="0" borderId="10" xfId="209" applyFont="1" applyFill="1" applyBorder="1" applyAlignment="1">
      <alignment horizontal="left" vertical="top" wrapText="1"/>
    </xf>
    <xf numFmtId="0" fontId="47" fillId="0" borderId="11" xfId="209" applyFont="1" applyFill="1" applyBorder="1" applyAlignment="1">
      <alignment horizontal="left" vertical="top" wrapText="1"/>
    </xf>
    <xf numFmtId="0" fontId="48" fillId="0" borderId="0" xfId="209" applyFont="1" applyFill="1" applyBorder="1" applyAlignment="1">
      <alignment horizontal="left" vertical="top" wrapText="1"/>
    </xf>
    <xf numFmtId="0" fontId="47" fillId="36" borderId="0" xfId="209" applyFont="1" applyFill="1" applyBorder="1" applyAlignment="1">
      <alignment horizontal="left" vertical="top" wrapText="1"/>
    </xf>
    <xf numFmtId="0" fontId="48" fillId="36" borderId="0" xfId="209" applyFont="1" applyFill="1" applyBorder="1" applyAlignment="1">
      <alignment horizontal="left" vertical="top" wrapText="1"/>
    </xf>
    <xf numFmtId="0" fontId="47" fillId="36" borderId="0" xfId="209" applyFont="1" applyFill="1" applyBorder="1" applyAlignment="1">
      <alignment horizontal="center" vertical="top" wrapText="1"/>
    </xf>
    <xf numFmtId="0" fontId="48" fillId="36" borderId="0" xfId="209" applyFont="1" applyFill="1" applyBorder="1" applyAlignment="1">
      <alignment horizontal="center" vertical="top" wrapText="1"/>
    </xf>
    <xf numFmtId="0" fontId="41" fillId="35" borderId="10" xfId="157" applyFont="1" applyFill="1" applyBorder="1" applyAlignment="1">
      <alignment horizontal="center"/>
    </xf>
    <xf numFmtId="0" fontId="41" fillId="35" borderId="11" xfId="157" applyFont="1" applyFill="1" applyBorder="1" applyAlignment="1">
      <alignment horizontal="center"/>
    </xf>
    <xf numFmtId="0" fontId="41" fillId="35" borderId="12" xfId="157" applyFont="1" applyFill="1" applyBorder="1" applyAlignment="1">
      <alignment horizontal="center"/>
    </xf>
    <xf numFmtId="0" fontId="41" fillId="35" borderId="6" xfId="157" applyFont="1" applyFill="1" applyBorder="1" applyAlignment="1">
      <alignment horizontal="center"/>
    </xf>
    <xf numFmtId="0" fontId="41" fillId="35" borderId="4" xfId="157" applyFont="1" applyFill="1" applyBorder="1" applyAlignment="1">
      <alignment horizontal="center"/>
    </xf>
    <xf numFmtId="0" fontId="2" fillId="0" borderId="0" xfId="212" applyFont="1" applyAlignment="1">
      <alignment horizontal="left" wrapText="1"/>
    </xf>
    <xf numFmtId="0" fontId="5" fillId="0" borderId="0" xfId="212" applyFont="1" applyAlignment="1">
      <alignment horizontal="left" wrapText="1"/>
    </xf>
    <xf numFmtId="0" fontId="41" fillId="0" borderId="27" xfId="212" applyFont="1" applyBorder="1" applyAlignment="1">
      <alignment horizontal="right"/>
    </xf>
    <xf numFmtId="0" fontId="41" fillId="0" borderId="28" xfId="212" applyFont="1" applyBorder="1" applyAlignment="1">
      <alignment horizontal="right"/>
    </xf>
    <xf numFmtId="0" fontId="5" fillId="0" borderId="3" xfId="212" applyFont="1" applyFill="1" applyBorder="1" applyAlignment="1">
      <alignment horizontal="left"/>
    </xf>
    <xf numFmtId="0" fontId="52" fillId="38" borderId="3" xfId="212" applyFont="1" applyFill="1" applyBorder="1" applyAlignment="1">
      <alignment horizontal="center" vertical="center" wrapText="1"/>
    </xf>
    <xf numFmtId="0" fontId="41" fillId="38" borderId="3" xfId="212" quotePrefix="1" applyFont="1" applyFill="1" applyBorder="1" applyAlignment="1">
      <alignment horizontal="center"/>
    </xf>
    <xf numFmtId="0" fontId="41" fillId="38" borderId="3" xfId="212" applyFont="1" applyFill="1" applyBorder="1" applyAlignment="1">
      <alignment horizontal="center"/>
    </xf>
    <xf numFmtId="0" fontId="5" fillId="0" borderId="21" xfId="212" applyFont="1" applyFill="1" applyBorder="1" applyAlignment="1">
      <alignment horizontal="left"/>
    </xf>
    <xf numFmtId="0" fontId="5" fillId="0" borderId="22" xfId="212" applyFont="1" applyFill="1" applyBorder="1" applyAlignment="1">
      <alignment horizontal="left"/>
    </xf>
    <xf numFmtId="0" fontId="5" fillId="0" borderId="23" xfId="212" applyFont="1" applyFill="1" applyBorder="1" applyAlignment="1">
      <alignment horizontal="left"/>
    </xf>
    <xf numFmtId="0" fontId="2" fillId="0" borderId="3" xfId="212" applyFont="1" applyFill="1" applyBorder="1" applyAlignment="1">
      <alignment wrapText="1"/>
    </xf>
    <xf numFmtId="0" fontId="5" fillId="0" borderId="3" xfId="212" applyFont="1" applyFill="1" applyBorder="1" applyAlignment="1">
      <alignment wrapText="1"/>
    </xf>
    <xf numFmtId="0" fontId="5" fillId="0" borderId="21" xfId="212" applyFont="1" applyFill="1" applyBorder="1" applyAlignment="1">
      <alignment horizontal="left" wrapText="1"/>
    </xf>
    <xf numFmtId="0" fontId="5" fillId="0" borderId="22" xfId="212" applyFont="1" applyFill="1" applyBorder="1" applyAlignment="1">
      <alignment horizontal="left" wrapText="1"/>
    </xf>
    <xf numFmtId="0" fontId="5" fillId="0" borderId="23" xfId="212" applyFont="1" applyFill="1" applyBorder="1" applyAlignment="1">
      <alignment horizontal="left" wrapText="1"/>
    </xf>
    <xf numFmtId="0" fontId="25" fillId="34" borderId="0" xfId="118" applyNumberFormat="1" applyFont="1" applyFill="1" applyAlignment="1">
      <alignment horizontal="center"/>
    </xf>
    <xf numFmtId="0" fontId="9" fillId="0" borderId="21" xfId="212" applyFont="1" applyBorder="1" applyAlignment="1">
      <alignment horizontal="left"/>
    </xf>
    <xf numFmtId="0" fontId="12" fillId="0" borderId="22" xfId="212" applyBorder="1" applyAlignment="1">
      <alignment horizontal="left"/>
    </xf>
    <xf numFmtId="0" fontId="12" fillId="0" borderId="23" xfId="212" applyBorder="1" applyAlignment="1">
      <alignment horizontal="left"/>
    </xf>
    <xf numFmtId="0" fontId="2" fillId="0" borderId="25" xfId="212" applyFont="1" applyFill="1" applyBorder="1" applyAlignment="1">
      <alignment wrapText="1"/>
    </xf>
    <xf numFmtId="0" fontId="12" fillId="0" borderId="25" xfId="212" applyFill="1" applyBorder="1" applyAlignment="1">
      <alignment wrapText="1"/>
    </xf>
    <xf numFmtId="0" fontId="12" fillId="0" borderId="26" xfId="212" applyFill="1" applyBorder="1" applyAlignment="1">
      <alignment wrapText="1"/>
    </xf>
    <xf numFmtId="0" fontId="12" fillId="0" borderId="30" xfId="212" applyFill="1" applyBorder="1" applyAlignment="1">
      <alignment horizontal="left"/>
    </xf>
    <xf numFmtId="0" fontId="12" fillId="0" borderId="31" xfId="212" applyFill="1" applyBorder="1" applyAlignment="1">
      <alignment horizontal="left"/>
    </xf>
    <xf numFmtId="0" fontId="12" fillId="0" borderId="3" xfId="212" applyFill="1" applyBorder="1" applyAlignment="1">
      <alignment wrapText="1"/>
    </xf>
    <xf numFmtId="0" fontId="4" fillId="0" borderId="21" xfId="212" applyFont="1" applyBorder="1" applyAlignment="1">
      <alignment horizontal="left" wrapText="1"/>
    </xf>
    <xf numFmtId="0" fontId="12" fillId="0" borderId="22" xfId="212" applyBorder="1" applyAlignment="1">
      <alignment horizontal="left" wrapText="1"/>
    </xf>
    <xf numFmtId="0" fontId="12" fillId="0" borderId="23" xfId="212" applyBorder="1" applyAlignment="1">
      <alignment horizontal="left" wrapText="1"/>
    </xf>
    <xf numFmtId="0" fontId="25" fillId="34" borderId="0" xfId="0" applyNumberFormat="1" applyFont="1" applyFill="1" applyAlignment="1">
      <alignment horizontal="center"/>
    </xf>
    <xf numFmtId="0" fontId="2" fillId="0" borderId="3" xfId="212" applyFont="1" applyFill="1" applyBorder="1" applyAlignment="1">
      <alignment horizontal="left" wrapText="1"/>
    </xf>
    <xf numFmtId="0" fontId="12" fillId="0" borderId="3" xfId="212" applyFill="1" applyBorder="1" applyAlignment="1">
      <alignment horizontal="left" wrapText="1"/>
    </xf>
    <xf numFmtId="0" fontId="41" fillId="0" borderId="3" xfId="212" applyFont="1" applyBorder="1" applyAlignment="1">
      <alignment horizontal="right"/>
    </xf>
    <xf numFmtId="0" fontId="12" fillId="0" borderId="28" xfId="212" applyBorder="1" applyAlignment="1">
      <alignment horizontal="left"/>
    </xf>
    <xf numFmtId="0" fontId="12" fillId="0" borderId="30" xfId="212" applyBorder="1" applyAlignment="1">
      <alignment horizontal="left"/>
    </xf>
    <xf numFmtId="0" fontId="12" fillId="0" borderId="31" xfId="212" applyBorder="1" applyAlignment="1">
      <alignment horizontal="left"/>
    </xf>
    <xf numFmtId="0" fontId="4" fillId="0" borderId="21" xfId="212" applyFont="1" applyBorder="1" applyAlignment="1">
      <alignment horizontal="left"/>
    </xf>
    <xf numFmtId="0" fontId="2" fillId="0" borderId="24" xfId="212" applyFont="1" applyBorder="1" applyAlignment="1">
      <alignment wrapText="1"/>
    </xf>
    <xf numFmtId="0" fontId="12" fillId="0" borderId="24" xfId="212" applyBorder="1" applyAlignment="1">
      <alignment wrapText="1"/>
    </xf>
    <xf numFmtId="0" fontId="10" fillId="0" borderId="22" xfId="212" applyFont="1" applyBorder="1" applyAlignment="1">
      <alignment horizontal="left"/>
    </xf>
    <xf numFmtId="0" fontId="10" fillId="0" borderId="23" xfId="212" applyFont="1" applyBorder="1" applyAlignment="1">
      <alignment horizontal="left"/>
    </xf>
    <xf numFmtId="0" fontId="0" fillId="34" borderId="0" xfId="0" applyFill="1" applyAlignment="1">
      <alignment horizontal="left" wrapText="1"/>
    </xf>
    <xf numFmtId="0" fontId="0" fillId="0" borderId="0" xfId="0" applyAlignment="1">
      <alignment horizontal="left" wrapText="1"/>
    </xf>
    <xf numFmtId="0" fontId="6" fillId="0" borderId="21" xfId="212" applyFont="1" applyBorder="1" applyAlignment="1">
      <alignment horizontal="left"/>
    </xf>
  </cellXfs>
  <cellStyles count="225">
    <cellStyle name="Accent1 - 20%" xfId="1"/>
    <cellStyle name="Accent1 - 40%" xfId="2"/>
    <cellStyle name="Accent1 - 60%" xfId="3"/>
    <cellStyle name="Accent2 - 20%" xfId="4"/>
    <cellStyle name="Accent2 - 40%" xfId="5"/>
    <cellStyle name="Accent2 - 60%" xfId="6"/>
    <cellStyle name="Accent3 - 20%" xfId="7"/>
    <cellStyle name="Accent3 - 40%" xfId="8"/>
    <cellStyle name="Accent3 - 60%" xfId="9"/>
    <cellStyle name="Accent4 - 20%" xfId="10"/>
    <cellStyle name="Accent4 - 40%" xfId="11"/>
    <cellStyle name="Accent4 - 60%" xfId="12"/>
    <cellStyle name="Accent5 - 20%" xfId="13"/>
    <cellStyle name="Accent5 - 40%" xfId="14"/>
    <cellStyle name="Accent5 - 60%" xfId="15"/>
    <cellStyle name="Accent6 - 20%" xfId="16"/>
    <cellStyle name="Accent6 - 40%" xfId="17"/>
    <cellStyle name="Accent6 - 60%" xfId="18"/>
    <cellStyle name="Comma" xfId="211" builtinId="3"/>
    <cellStyle name="Comma 14" xfId="210"/>
    <cellStyle name="Comma 2" xfId="19"/>
    <cellStyle name="Comma 2 2" xfId="20"/>
    <cellStyle name="Comma 2 2 2" xfId="89"/>
    <cellStyle name="Comma 2 3" xfId="88"/>
    <cellStyle name="Comma 2 4" xfId="76"/>
    <cellStyle name="Comma 3" xfId="21"/>
    <cellStyle name="Comma 3 2" xfId="90"/>
    <cellStyle name="Comma 4" xfId="87"/>
    <cellStyle name="Comma 5" xfId="132"/>
    <cellStyle name="Comma 6" xfId="158"/>
    <cellStyle name="Comma 6 2" xfId="205"/>
    <cellStyle name="Comma 6 3" xfId="213"/>
    <cellStyle name="Comma 7" xfId="219"/>
    <cellStyle name="Comma 8" xfId="126"/>
    <cellStyle name="Currency" xfId="216" builtinId="4"/>
    <cellStyle name="Currency 2" xfId="91"/>
    <cellStyle name="Currency 3" xfId="133"/>
    <cellStyle name="Currency 4" xfId="220"/>
    <cellStyle name="Emphasis 1" xfId="22"/>
    <cellStyle name="Emphasis 2" xfId="23"/>
    <cellStyle name="Emphasis 3" xfId="24"/>
    <cellStyle name="Normal" xfId="0" builtinId="0"/>
    <cellStyle name="Normal 10" xfId="118"/>
    <cellStyle name="Normal 10 6" xfId="128"/>
    <cellStyle name="Normal 11" xfId="155"/>
    <cellStyle name="Normal 11 2" xfId="202"/>
    <cellStyle name="Normal 12" xfId="121"/>
    <cellStyle name="Normal 13" xfId="123"/>
    <cellStyle name="Normal 14" xfId="122"/>
    <cellStyle name="Normal 15" xfId="125"/>
    <cellStyle name="Normal 16" xfId="124"/>
    <cellStyle name="Normal 17" xfId="157"/>
    <cellStyle name="Normal 17 2" xfId="204"/>
    <cellStyle name="Normal 17 3" xfId="212"/>
    <cellStyle name="Normal 18" xfId="209"/>
    <cellStyle name="Normal 19" xfId="217"/>
    <cellStyle name="Normal 2" xfId="25"/>
    <cellStyle name="Normal 2 2" xfId="26"/>
    <cellStyle name="Normal 2 2 2" xfId="93"/>
    <cellStyle name="Normal 2 3" xfId="27"/>
    <cellStyle name="Normal 2 3 2" xfId="94"/>
    <cellStyle name="Normal 2 4" xfId="28"/>
    <cellStyle name="Normal 2 4 2" xfId="95"/>
    <cellStyle name="Normal 2 5" xfId="92"/>
    <cellStyle name="Normal 2 6" xfId="75"/>
    <cellStyle name="Normal 2 6 10" xfId="208"/>
    <cellStyle name="Normal 2 6 10 2" xfId="215"/>
    <cellStyle name="Normal 2 6 11" xfId="224"/>
    <cellStyle name="Normal 2 6 2" xfId="103"/>
    <cellStyle name="Normal 2 6 2 2" xfId="109"/>
    <cellStyle name="Normal 2 6 2 2 2" xfId="146"/>
    <cellStyle name="Normal 2 6 2 2 2 2" xfId="193"/>
    <cellStyle name="Normal 2 6 2 2 3" xfId="170"/>
    <cellStyle name="Normal 2 6 2 3" xfId="113"/>
    <cellStyle name="Normal 2 6 2 3 2" xfId="150"/>
    <cellStyle name="Normal 2 6 2 3 2 2" xfId="197"/>
    <cellStyle name="Normal 2 6 2 3 3" xfId="174"/>
    <cellStyle name="Normal 2 6 2 4" xfId="117"/>
    <cellStyle name="Normal 2 6 2 4 2" xfId="154"/>
    <cellStyle name="Normal 2 6 2 4 2 2" xfId="201"/>
    <cellStyle name="Normal 2 6 2 4 3" xfId="178"/>
    <cellStyle name="Normal 2 6 2 5" xfId="140"/>
    <cellStyle name="Normal 2 6 2 5 2" xfId="187"/>
    <cellStyle name="Normal 2 6 2 6" xfId="136"/>
    <cellStyle name="Normal 2 6 2 6 2" xfId="183"/>
    <cellStyle name="Normal 2 6 2 7" xfId="164"/>
    <cellStyle name="Normal 2 6 3" xfId="104"/>
    <cellStyle name="Normal 2 6 3 2" xfId="141"/>
    <cellStyle name="Normal 2 6 3 2 2" xfId="188"/>
    <cellStyle name="Normal 2 6 3 3" xfId="165"/>
    <cellStyle name="Normal 2 6 4" xfId="107"/>
    <cellStyle name="Normal 2 6 4 2" xfId="144"/>
    <cellStyle name="Normal 2 6 4 2 2" xfId="191"/>
    <cellStyle name="Normal 2 6 4 3" xfId="168"/>
    <cellStyle name="Normal 2 6 5" xfId="111"/>
    <cellStyle name="Normal 2 6 5 2" xfId="148"/>
    <cellStyle name="Normal 2 6 5 2 2" xfId="195"/>
    <cellStyle name="Normal 2 6 5 3" xfId="172"/>
    <cellStyle name="Normal 2 6 6" xfId="115"/>
    <cellStyle name="Normal 2 6 6 2" xfId="152"/>
    <cellStyle name="Normal 2 6 6 2 2" xfId="199"/>
    <cellStyle name="Normal 2 6 6 3" xfId="176"/>
    <cellStyle name="Normal 2 6 7" xfId="138"/>
    <cellStyle name="Normal 2 6 7 2" xfId="185"/>
    <cellStyle name="Normal 2 6 8" xfId="130"/>
    <cellStyle name="Normal 2 6 8 2" xfId="180"/>
    <cellStyle name="Normal 2 6 9" xfId="162"/>
    <cellStyle name="Normal 2 7" xfId="120"/>
    <cellStyle name="Normal 3" xfId="73"/>
    <cellStyle name="Normal 3 2" xfId="29"/>
    <cellStyle name="Normal 3 2 2" xfId="96"/>
    <cellStyle name="Normal 4" xfId="30"/>
    <cellStyle name="Normal 4 2" xfId="97"/>
    <cellStyle name="Normal 5" xfId="86"/>
    <cellStyle name="Normal 5 2" xfId="100"/>
    <cellStyle name="Normal 6" xfId="74"/>
    <cellStyle name="Normal 6 10" xfId="207"/>
    <cellStyle name="Normal 6 10 2" xfId="214"/>
    <cellStyle name="Normal 6 11" xfId="222"/>
    <cellStyle name="Normal 6 2" xfId="102"/>
    <cellStyle name="Normal 6 2 2" xfId="108"/>
    <cellStyle name="Normal 6 2 2 2" xfId="145"/>
    <cellStyle name="Normal 6 2 2 2 2" xfId="192"/>
    <cellStyle name="Normal 6 2 2 3" xfId="169"/>
    <cellStyle name="Normal 6 2 3" xfId="112"/>
    <cellStyle name="Normal 6 2 3 2" xfId="149"/>
    <cellStyle name="Normal 6 2 3 2 2" xfId="196"/>
    <cellStyle name="Normal 6 2 3 3" xfId="173"/>
    <cellStyle name="Normal 6 2 4" xfId="116"/>
    <cellStyle name="Normal 6 2 4 2" xfId="153"/>
    <cellStyle name="Normal 6 2 4 2 2" xfId="200"/>
    <cellStyle name="Normal 6 2 4 3" xfId="177"/>
    <cellStyle name="Normal 6 2 5" xfId="139"/>
    <cellStyle name="Normal 6 2 5 2" xfId="186"/>
    <cellStyle name="Normal 6 2 6" xfId="135"/>
    <cellStyle name="Normal 6 2 6 2" xfId="182"/>
    <cellStyle name="Normal 6 2 7" xfId="163"/>
    <cellStyle name="Normal 6 3" xfId="105"/>
    <cellStyle name="Normal 6 3 2" xfId="142"/>
    <cellStyle name="Normal 6 3 2 2" xfId="189"/>
    <cellStyle name="Normal 6 3 3" xfId="166"/>
    <cellStyle name="Normal 6 4" xfId="106"/>
    <cellStyle name="Normal 6 4 2" xfId="143"/>
    <cellStyle name="Normal 6 4 2 2" xfId="190"/>
    <cellStyle name="Normal 6 4 3" xfId="167"/>
    <cellStyle name="Normal 6 5" xfId="110"/>
    <cellStyle name="Normal 6 5 2" xfId="147"/>
    <cellStyle name="Normal 6 5 2 2" xfId="194"/>
    <cellStyle name="Normal 6 5 3" xfId="171"/>
    <cellStyle name="Normal 6 6" xfId="114"/>
    <cellStyle name="Normal 6 6 2" xfId="151"/>
    <cellStyle name="Normal 6 6 2 2" xfId="198"/>
    <cellStyle name="Normal 6 6 3" xfId="175"/>
    <cellStyle name="Normal 6 7" xfId="137"/>
    <cellStyle name="Normal 6 7 2" xfId="184"/>
    <cellStyle name="Normal 6 8" xfId="129"/>
    <cellStyle name="Normal 6 8 2" xfId="179"/>
    <cellStyle name="Normal 6 9" xfId="161"/>
    <cellStyle name="Normal 7" xfId="101"/>
    <cellStyle name="Normal 8" xfId="119"/>
    <cellStyle name="Normal 9" xfId="131"/>
    <cellStyle name="Normal 9 2" xfId="181"/>
    <cellStyle name="Normal_2008 ISO Transmission Study test v1" xfId="221"/>
    <cellStyle name="Normal_Statement AD Period I 2004" xfId="223"/>
    <cellStyle name="Percent 2" xfId="31"/>
    <cellStyle name="Percent 3" xfId="32"/>
    <cellStyle name="Percent 3 2" xfId="99"/>
    <cellStyle name="Percent 3 3" xfId="127"/>
    <cellStyle name="Percent 4" xfId="98"/>
    <cellStyle name="Percent 5" xfId="134"/>
    <cellStyle name="Percent 6" xfId="156"/>
    <cellStyle name="Percent 6 2" xfId="203"/>
    <cellStyle name="Percent 7" xfId="159"/>
    <cellStyle name="Percent 7 2" xfId="206"/>
    <cellStyle name="Percent 8" xfId="218"/>
    <cellStyle name="SAPBEXaggData" xfId="33"/>
    <cellStyle name="SAPBEXaggDataEmph" xfId="34"/>
    <cellStyle name="SAPBEXaggItem" xfId="35"/>
    <cellStyle name="SAPBEXaggItemX" xfId="36"/>
    <cellStyle name="SAPBEXchaText" xfId="37"/>
    <cellStyle name="SAPBEXexcBad7" xfId="38"/>
    <cellStyle name="SAPBEXexcBad8" xfId="39"/>
    <cellStyle name="SAPBEXexcBad9" xfId="40"/>
    <cellStyle name="SAPBEXexcCritical4" xfId="41"/>
    <cellStyle name="SAPBEXexcCritical5" xfId="42"/>
    <cellStyle name="SAPBEXexcCritical6" xfId="43"/>
    <cellStyle name="SAPBEXexcGood1" xfId="44"/>
    <cellStyle name="SAPBEXexcGood2" xfId="45"/>
    <cellStyle name="SAPBEXexcGood3" xfId="46"/>
    <cellStyle name="SAPBEXfilterDrill" xfId="47"/>
    <cellStyle name="SAPBEXfilterDrill 2" xfId="160"/>
    <cellStyle name="SAPBEXfilterItem" xfId="48"/>
    <cellStyle name="SAPBEXfilterText" xfId="49"/>
    <cellStyle name="SAPBEXformats" xfId="50"/>
    <cellStyle name="SAPBEXheaderItem" xfId="51"/>
    <cellStyle name="SAPBEXheaderText" xfId="52"/>
    <cellStyle name="SAPBEXHLevel0" xfId="53"/>
    <cellStyle name="SAPBEXHLevel0 2" xfId="77"/>
    <cellStyle name="SAPBEXHLevel0X" xfId="54"/>
    <cellStyle name="SAPBEXHLevel0X 2" xfId="78"/>
    <cellStyle name="SAPBEXHLevel1" xfId="55"/>
    <cellStyle name="SAPBEXHLevel1 2" xfId="79"/>
    <cellStyle name="SAPBEXHLevel1X" xfId="56"/>
    <cellStyle name="SAPBEXHLevel1X 2" xfId="80"/>
    <cellStyle name="SAPBEXHLevel2" xfId="57"/>
    <cellStyle name="SAPBEXHLevel2 2" xfId="81"/>
    <cellStyle name="SAPBEXHLevel2X" xfId="58"/>
    <cellStyle name="SAPBEXHLevel2X 2" xfId="82"/>
    <cellStyle name="SAPBEXHLevel3" xfId="59"/>
    <cellStyle name="SAPBEXHLevel3 2" xfId="83"/>
    <cellStyle name="SAPBEXHLevel3X" xfId="60"/>
    <cellStyle name="SAPBEXHLevel3X 2" xfId="84"/>
    <cellStyle name="SAPBEXinputData" xfId="61"/>
    <cellStyle name="SAPBEXinputData 2" xfId="85"/>
    <cellStyle name="SAPBEXresData" xfId="62"/>
    <cellStyle name="SAPBEXresDataEmph" xfId="63"/>
    <cellStyle name="SAPBEXresItem" xfId="64"/>
    <cellStyle name="SAPBEXresItemX" xfId="65"/>
    <cellStyle name="SAPBEXstdData" xfId="66"/>
    <cellStyle name="SAPBEXstdDataEmph" xfId="67"/>
    <cellStyle name="SAPBEXstdItem" xfId="68"/>
    <cellStyle name="SAPBEXstdItemX" xfId="69"/>
    <cellStyle name="SAPBEXtitle" xfId="70"/>
    <cellStyle name="SAPBEXundefined" xfId="71"/>
    <cellStyle name="Sheet Title" xfId="72"/>
  </cellStyles>
  <dxfs count="0"/>
  <tableStyles count="0" defaultTableStyle="TableStyleMedium9" defaultPivotStyle="PivotStyleLight16"/>
  <colors>
    <mruColors>
      <color rgb="FFCCFFCC"/>
      <color rgb="FFCCFFFF"/>
      <color rgb="FFFFCCCC"/>
      <color rgb="FF99FFCC"/>
      <color rgb="FFFF99CC"/>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externalLink" Target="externalLinks/externalLink6.xml"/><Relationship Id="rId50" Type="http://schemas.openxmlformats.org/officeDocument/2006/relationships/externalLink" Target="externalLinks/externalLink9.xml"/><Relationship Id="rId55"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5.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4.xml"/><Relationship Id="rId53" Type="http://schemas.openxmlformats.org/officeDocument/2006/relationships/externalLink" Target="externalLinks/externalLink12.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8.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52"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 Id="rId48" Type="http://schemas.openxmlformats.org/officeDocument/2006/relationships/externalLink" Target="externalLinks/externalLink7.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10.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EIX%20Holding%20Conversion.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COWELLDM\AppData\Local\Microsoft\Windows\Temporary%20Internet%20Files\Content.Outlook\6M7U4B1I\2013-2014%20Transfer%20Adjustments%2003-17-2015%20v3.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7\Compare%20MTM%202007_0630_073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CRR%20LT%20MTM%20Model_1231200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OFFICIAL%20COST%20RECORDS\05.0%20Contracts\5.1%20RSG%20Fabrication\5.1.7%20SG%20Repair\RSG-003-Invoice%20Backup\U3-KOB1-AUG-OCT-2012.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Settlements\Bilateral%20Contracts_2003-2004-2005\2006\2006_05_MONTH%20END\FAS133JUN0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Master%20Conversion%20Files\Rose\SCE%20Balance%20Shee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Y:\Calpine%20Contract%20MTM\200402\ForwardPriceUpload_0211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419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DOCUME~1\SIMONC~1\LOCALS~1\Temp\Temporary%20Directory%201%20for%202008_05%20MONTH%20END%20REPORT%20%20FINANCIALS%20P&amp;G.zip\Settlements\Gas%20Financials\2007%20Financial%20Reports\200703\Compare%20MTM%202006_0131_022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1\chavezds\LOCALS~1\Temp\notesE1EF34\Compare%20MTM%202008_02_03_New.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Y:\FIGL%20Sub%20Team\GL%20-%20Realization%20Working%20Files\Master%20Conversion%20Files\Validation\07%20Validations\Balance%20Sheet\Jan%202007%2010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Project%20Files\2014%20SONGS%20Prelim\SONGSFinalDCE\2014%20SONGS%20Distributed%20Activiti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1\dizonma\LOCALS~1\Temp\C.Lotus.Notes.Data\ForwardPriceUpload_063020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her Co Conversion Ck"/>
      <sheetName val="Legacy COA with EIX"/>
      <sheetName val="EIX Cost Centers"/>
      <sheetName val="Lookup to COA"/>
      <sheetName val="Do not use"/>
      <sheetName val="Action Items"/>
      <sheetName val="GL Master Data"/>
      <sheetName val="IC Trading Partners"/>
    </sheetNames>
    <sheetDataSet>
      <sheetData sheetId="0" refreshError="1"/>
      <sheetData sheetId="1" refreshError="1"/>
      <sheetData sheetId="2">
        <row r="1">
          <cell r="A1" t="str">
            <v>F100040</v>
          </cell>
          <cell r="B1" t="str">
            <v>EIX Executives Operation Expense</v>
          </cell>
        </row>
        <row r="2">
          <cell r="A2" t="str">
            <v>F100041</v>
          </cell>
          <cell r="B2" t="str">
            <v>EIX Cont Oversight Operation Expense</v>
          </cell>
        </row>
        <row r="3">
          <cell r="A3" t="str">
            <v>F100042</v>
          </cell>
          <cell r="B3" t="str">
            <v>EIX Financial Planning Operation Expense</v>
          </cell>
        </row>
        <row r="4">
          <cell r="A4" t="str">
            <v>F100043</v>
          </cell>
          <cell r="B4" t="str">
            <v>EIX Public Affairs Operation Expense</v>
          </cell>
        </row>
        <row r="5">
          <cell r="A5" t="str">
            <v>F100044</v>
          </cell>
          <cell r="B5" t="str">
            <v>EIX Legal Expense</v>
          </cell>
        </row>
        <row r="6">
          <cell r="A6" t="str">
            <v>F100045</v>
          </cell>
          <cell r="B6" t="str">
            <v>EIX Corp Comm Expense</v>
          </cell>
        </row>
        <row r="7">
          <cell r="A7" t="str">
            <v>F100046</v>
          </cell>
          <cell r="B7" t="str">
            <v>EIX Charitable Contributions</v>
          </cell>
        </row>
        <row r="8">
          <cell r="A8" t="str">
            <v>F100047</v>
          </cell>
          <cell r="B8" t="str">
            <v>EIX Directors Expense</v>
          </cell>
        </row>
        <row r="9">
          <cell r="A9" t="str">
            <v>F401121</v>
          </cell>
          <cell r="B9" t="str">
            <v>EIX Bill to EME</v>
          </cell>
        </row>
        <row r="10">
          <cell r="A10" t="str">
            <v>F401122</v>
          </cell>
          <cell r="B10" t="str">
            <v>EIX Bill to EMG</v>
          </cell>
        </row>
        <row r="11">
          <cell r="A11" t="str">
            <v>F401123</v>
          </cell>
          <cell r="B11" t="str">
            <v>EIX Bill to EC</v>
          </cell>
        </row>
        <row r="12">
          <cell r="A12" t="str">
            <v>F401124</v>
          </cell>
          <cell r="B12" t="str">
            <v>EIX Bill to ML</v>
          </cell>
        </row>
        <row r="13">
          <cell r="A13" t="str">
            <v>F401125</v>
          </cell>
          <cell r="B13" t="str">
            <v>EIX Bill to EE</v>
          </cell>
        </row>
        <row r="14">
          <cell r="A14" t="str">
            <v>F401126</v>
          </cell>
          <cell r="B14" t="str">
            <v>EIX Bill to ES</v>
          </cell>
        </row>
        <row r="15">
          <cell r="A15" t="str">
            <v>F401127</v>
          </cell>
          <cell r="B15" t="str">
            <v>EIX Bill to EOMS</v>
          </cell>
        </row>
        <row r="16">
          <cell r="A16" t="str">
            <v>F401128</v>
          </cell>
          <cell r="B16" t="str">
            <v>EIX Bill to MEHC</v>
          </cell>
        </row>
        <row r="17">
          <cell r="A17" t="str">
            <v>F401129</v>
          </cell>
          <cell r="B17" t="str">
            <v>EIX Bill to MWGLLC</v>
          </cell>
        </row>
        <row r="18">
          <cell r="A18" t="str">
            <v>F401130</v>
          </cell>
          <cell r="B18" t="str">
            <v>EIX Bill to MWGEME</v>
          </cell>
        </row>
        <row r="19">
          <cell r="A19" t="str">
            <v>F401131</v>
          </cell>
          <cell r="B19" t="str">
            <v>EIX Bill to HC</v>
          </cell>
        </row>
        <row r="20">
          <cell r="A20" t="str">
            <v>F401132</v>
          </cell>
          <cell r="B20" t="str">
            <v>EIX Bill to EIS</v>
          </cell>
        </row>
        <row r="21">
          <cell r="A21" t="str">
            <v>F401133</v>
          </cell>
          <cell r="B21" t="str">
            <v>EIX Bill to SCE</v>
          </cell>
        </row>
        <row r="22">
          <cell r="A22" t="str">
            <v>F401230</v>
          </cell>
          <cell r="B22" t="str">
            <v>EIX General</v>
          </cell>
        </row>
        <row r="23">
          <cell r="A23" t="str">
            <v>F513226</v>
          </cell>
          <cell r="B23" t="str">
            <v>EIX Executives Allocations to Affiliates</v>
          </cell>
        </row>
        <row r="24">
          <cell r="A24" t="str">
            <v>F513227</v>
          </cell>
          <cell r="B24" t="str">
            <v>EIX Investor Relations Alloc to Affili</v>
          </cell>
        </row>
        <row r="25">
          <cell r="A25" t="str">
            <v>F513228</v>
          </cell>
          <cell r="B25" t="str">
            <v>EIX Risk Management Alloc to Affiliates</v>
          </cell>
        </row>
        <row r="26">
          <cell r="A26" t="str">
            <v>F513229</v>
          </cell>
          <cell r="B26" t="str">
            <v>EIX Controllers' Oversight Alloc to Affi</v>
          </cell>
        </row>
        <row r="27">
          <cell r="A27" t="str">
            <v>F513230</v>
          </cell>
          <cell r="B27" t="str">
            <v>EIX Public Affairs Alloc to Affiliates</v>
          </cell>
        </row>
        <row r="28">
          <cell r="A28" t="str">
            <v>F513231</v>
          </cell>
          <cell r="B28" t="str">
            <v>EIX Legal Allocations to Affiliates</v>
          </cell>
        </row>
        <row r="29">
          <cell r="A29" t="str">
            <v>F513232</v>
          </cell>
          <cell r="B29" t="str">
            <v>EIX Corp Comm Allocations to Affiliates</v>
          </cell>
        </row>
        <row r="30">
          <cell r="A30" t="str">
            <v>F513233</v>
          </cell>
          <cell r="B30" t="str">
            <v>EIX Charitable Cont Alloc to Affiliates</v>
          </cell>
        </row>
        <row r="31">
          <cell r="A31" t="str">
            <v>F513234</v>
          </cell>
          <cell r="B31" t="str">
            <v>EIX Directors Allocations</v>
          </cell>
        </row>
        <row r="32">
          <cell r="A32" t="str">
            <v>F513235</v>
          </cell>
          <cell r="B32" t="str">
            <v>EIX Financial Planning Allocations</v>
          </cell>
        </row>
        <row r="33">
          <cell r="A33" t="str">
            <v>F513236</v>
          </cell>
          <cell r="B33" t="str">
            <v>EIX General Allocations</v>
          </cell>
        </row>
      </sheetData>
      <sheetData sheetId="3" refreshError="1"/>
      <sheetData sheetId="4" refreshError="1"/>
      <sheetData sheetId="5" refreshError="1"/>
      <sheetData sheetId="6"/>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Data"/>
      <sheetName val="Master Data"/>
    </sheetNames>
    <sheetDataSet>
      <sheetData sheetId="0" refreshError="1"/>
      <sheetData sheetId="1" refreshError="1"/>
      <sheetData sheetId="2">
        <row r="1">
          <cell r="B1" t="str">
            <v>Order</v>
          </cell>
          <cell r="C1" t="str">
            <v>Description</v>
          </cell>
          <cell r="D1" t="str">
            <v>Order Pctr</v>
          </cell>
          <cell r="E1" t="str">
            <v>Typ</v>
          </cell>
          <cell r="F1" t="str">
            <v>G/L Acct</v>
          </cell>
          <cell r="G1" t="str">
            <v>Ind.</v>
          </cell>
          <cell r="H1" t="str">
            <v>Rcvr-Order</v>
          </cell>
          <cell r="I1" t="str">
            <v>Rcvr-CCtr</v>
          </cell>
          <cell r="J1" t="str">
            <v>O-Typ</v>
          </cell>
          <cell r="K1" t="str">
            <v>RCCtr-PCtr</v>
          </cell>
          <cell r="L1" t="str">
            <v>Ind.</v>
          </cell>
          <cell r="M1" t="str">
            <v>Rcv-cctr_hier</v>
          </cell>
          <cell r="N1" t="str">
            <v>Rcv-CCtr Hier Area Desc</v>
          </cell>
          <cell r="O1" t="str">
            <v>Pct.</v>
          </cell>
          <cell r="P1" t="str">
            <v>First used</v>
          </cell>
          <cell r="Q1" t="str">
            <v>1stUs Period</v>
          </cell>
          <cell r="R1" t="str">
            <v>LastUs</v>
          </cell>
          <cell r="S1" t="str">
            <v>LastUs Period</v>
          </cell>
          <cell r="T1" t="str">
            <v>Costing Sheet</v>
          </cell>
        </row>
        <row r="2">
          <cell r="B2" t="str">
            <v>801307311</v>
          </cell>
          <cell r="C2" t="str">
            <v>XFER 2014,Select Decomm Gen Contrac - U2</v>
          </cell>
          <cell r="D2" t="str">
            <v>P0115</v>
          </cell>
          <cell r="E2" t="str">
            <v>FUL</v>
          </cell>
          <cell r="F2" t="str">
            <v>2380067</v>
          </cell>
          <cell r="G2" t="str">
            <v/>
          </cell>
          <cell r="H2" t="str">
            <v/>
          </cell>
          <cell r="I2" t="str">
            <v/>
          </cell>
          <cell r="J2" t="str">
            <v>NMO</v>
          </cell>
          <cell r="K2" t="str">
            <v/>
          </cell>
          <cell r="L2" t="str">
            <v/>
          </cell>
          <cell r="M2" t="str">
            <v/>
          </cell>
          <cell r="N2" t="str">
            <v/>
          </cell>
          <cell r="O2">
            <v>100</v>
          </cell>
          <cell r="P2" t="str">
            <v>2015</v>
          </cell>
          <cell r="Q2" t="str">
            <v>1</v>
          </cell>
          <cell r="R2" t="str">
            <v>2015</v>
          </cell>
          <cell r="S2" t="str">
            <v>1</v>
          </cell>
          <cell r="T2" t="str">
            <v>025</v>
          </cell>
        </row>
        <row r="3">
          <cell r="B3" t="str">
            <v>801307689</v>
          </cell>
          <cell r="C3" t="str">
            <v>XFER 2013,Labor Lic Term Reporting - U2…</v>
          </cell>
          <cell r="D3" t="str">
            <v>P0115</v>
          </cell>
          <cell r="E3" t="str">
            <v>FUL</v>
          </cell>
          <cell r="F3" t="str">
            <v>2380067</v>
          </cell>
          <cell r="G3" t="str">
            <v/>
          </cell>
          <cell r="H3" t="str">
            <v/>
          </cell>
          <cell r="I3" t="str">
            <v/>
          </cell>
          <cell r="J3" t="str">
            <v>NMO</v>
          </cell>
          <cell r="K3" t="str">
            <v/>
          </cell>
          <cell r="L3" t="str">
            <v/>
          </cell>
          <cell r="M3" t="str">
            <v/>
          </cell>
          <cell r="N3" t="str">
            <v/>
          </cell>
          <cell r="O3">
            <v>100</v>
          </cell>
          <cell r="P3" t="str">
            <v>2015</v>
          </cell>
          <cell r="Q3" t="str">
            <v>1</v>
          </cell>
          <cell r="R3" t="str">
            <v>2015</v>
          </cell>
          <cell r="S3" t="str">
            <v>1</v>
          </cell>
          <cell r="T3" t="str">
            <v>025</v>
          </cell>
        </row>
        <row r="4">
          <cell r="B4" t="str">
            <v>801307690</v>
          </cell>
          <cell r="C4" t="str">
            <v>XFER 2014,Labor License Term Report - U2</v>
          </cell>
          <cell r="D4" t="str">
            <v>P0115</v>
          </cell>
          <cell r="E4" t="str">
            <v>FUL</v>
          </cell>
          <cell r="F4" t="str">
            <v>2380067</v>
          </cell>
          <cell r="G4" t="str">
            <v/>
          </cell>
          <cell r="H4" t="str">
            <v/>
          </cell>
          <cell r="I4" t="str">
            <v/>
          </cell>
          <cell r="J4" t="str">
            <v>NMO</v>
          </cell>
          <cell r="K4" t="str">
            <v/>
          </cell>
          <cell r="L4" t="str">
            <v/>
          </cell>
          <cell r="M4" t="str">
            <v/>
          </cell>
          <cell r="N4" t="str">
            <v/>
          </cell>
          <cell r="O4">
            <v>100</v>
          </cell>
          <cell r="P4" t="str">
            <v>2015</v>
          </cell>
          <cell r="Q4" t="str">
            <v>1</v>
          </cell>
          <cell r="R4" t="str">
            <v>2015</v>
          </cell>
          <cell r="S4" t="str">
            <v>1</v>
          </cell>
          <cell r="T4" t="str">
            <v>025</v>
          </cell>
        </row>
        <row r="5">
          <cell r="B5" t="str">
            <v>801307734</v>
          </cell>
          <cell r="C5" t="str">
            <v>XFER 2013,Labor Spent Fuel Mgmt Rep - U2</v>
          </cell>
          <cell r="D5" t="str">
            <v>P0115</v>
          </cell>
          <cell r="E5" t="str">
            <v>FUL</v>
          </cell>
          <cell r="F5" t="str">
            <v>2380067</v>
          </cell>
          <cell r="G5" t="str">
            <v/>
          </cell>
          <cell r="H5" t="str">
            <v/>
          </cell>
          <cell r="I5" t="str">
            <v/>
          </cell>
          <cell r="J5" t="str">
            <v>NMO</v>
          </cell>
          <cell r="K5" t="str">
            <v/>
          </cell>
          <cell r="L5" t="str">
            <v/>
          </cell>
          <cell r="M5" t="str">
            <v/>
          </cell>
          <cell r="N5" t="str">
            <v/>
          </cell>
          <cell r="O5">
            <v>100</v>
          </cell>
          <cell r="P5" t="str">
            <v>2015</v>
          </cell>
          <cell r="Q5" t="str">
            <v>1</v>
          </cell>
          <cell r="R5" t="str">
            <v>2015</v>
          </cell>
          <cell r="S5" t="str">
            <v>2</v>
          </cell>
          <cell r="T5" t="str">
            <v>025</v>
          </cell>
        </row>
        <row r="6">
          <cell r="B6" t="str">
            <v>801307735</v>
          </cell>
          <cell r="C6" t="str">
            <v>XFER 2014,Labor Spent Fuel Mgmt Rep - U2</v>
          </cell>
          <cell r="D6" t="str">
            <v>P0115</v>
          </cell>
          <cell r="E6" t="str">
            <v>FUL</v>
          </cell>
          <cell r="F6" t="str">
            <v>2380067</v>
          </cell>
          <cell r="G6" t="str">
            <v/>
          </cell>
          <cell r="H6" t="str">
            <v/>
          </cell>
          <cell r="I6" t="str">
            <v/>
          </cell>
          <cell r="J6" t="str">
            <v>NMO</v>
          </cell>
          <cell r="K6" t="str">
            <v/>
          </cell>
          <cell r="L6" t="str">
            <v/>
          </cell>
          <cell r="M6" t="str">
            <v/>
          </cell>
          <cell r="N6" t="str">
            <v/>
          </cell>
          <cell r="O6">
            <v>100</v>
          </cell>
          <cell r="P6" t="str">
            <v>2015</v>
          </cell>
          <cell r="Q6" t="str">
            <v>1</v>
          </cell>
          <cell r="R6" t="str">
            <v>2015</v>
          </cell>
          <cell r="S6" t="str">
            <v>1</v>
          </cell>
          <cell r="T6" t="str">
            <v>025</v>
          </cell>
        </row>
        <row r="7">
          <cell r="B7" t="str">
            <v>801307760</v>
          </cell>
          <cell r="C7" t="str">
            <v>XFER 2013,Nuc. Fuel Cancel Charges - U2…</v>
          </cell>
          <cell r="D7" t="str">
            <v>P0115</v>
          </cell>
          <cell r="E7" t="str">
            <v>FUL</v>
          </cell>
          <cell r="F7" t="str">
            <v>2380067</v>
          </cell>
          <cell r="G7" t="str">
            <v/>
          </cell>
          <cell r="H7" t="str">
            <v/>
          </cell>
          <cell r="I7" t="str">
            <v/>
          </cell>
          <cell r="J7" t="str">
            <v>NMO</v>
          </cell>
          <cell r="K7" t="str">
            <v/>
          </cell>
          <cell r="L7" t="str">
            <v/>
          </cell>
          <cell r="M7" t="str">
            <v/>
          </cell>
          <cell r="N7" t="str">
            <v/>
          </cell>
          <cell r="O7">
            <v>100</v>
          </cell>
          <cell r="P7" t="str">
            <v>2015</v>
          </cell>
          <cell r="Q7" t="str">
            <v>1</v>
          </cell>
          <cell r="R7" t="str">
            <v>2015</v>
          </cell>
          <cell r="S7" t="str">
            <v>1</v>
          </cell>
          <cell r="T7" t="str">
            <v>010</v>
          </cell>
        </row>
        <row r="8">
          <cell r="B8" t="str">
            <v>801307761</v>
          </cell>
          <cell r="C8" t="str">
            <v>XFER 2014,Nuclear Fuel Canc Charges - U2</v>
          </cell>
          <cell r="D8" t="str">
            <v>P0115</v>
          </cell>
          <cell r="E8" t="str">
            <v>FUL</v>
          </cell>
          <cell r="F8" t="str">
            <v>2380067</v>
          </cell>
          <cell r="G8" t="str">
            <v/>
          </cell>
          <cell r="H8" t="str">
            <v/>
          </cell>
          <cell r="I8" t="str">
            <v/>
          </cell>
          <cell r="J8" t="str">
            <v>NMO</v>
          </cell>
          <cell r="K8" t="str">
            <v/>
          </cell>
          <cell r="L8" t="str">
            <v/>
          </cell>
          <cell r="M8" t="str">
            <v/>
          </cell>
          <cell r="N8" t="str">
            <v/>
          </cell>
          <cell r="O8">
            <v>100</v>
          </cell>
          <cell r="P8" t="str">
            <v>2015</v>
          </cell>
          <cell r="Q8" t="str">
            <v>1</v>
          </cell>
          <cell r="R8" t="str">
            <v>2015</v>
          </cell>
          <cell r="S8" t="str">
            <v>1</v>
          </cell>
          <cell r="T8" t="str">
            <v>010</v>
          </cell>
        </row>
        <row r="9">
          <cell r="B9" t="str">
            <v>801307874</v>
          </cell>
          <cell r="C9" t="str">
            <v>XFER 2013,Nuc. Fuel Cancel Charges - U3…</v>
          </cell>
          <cell r="D9" t="str">
            <v>P0115</v>
          </cell>
          <cell r="E9" t="str">
            <v>FUL</v>
          </cell>
          <cell r="F9" t="str">
            <v>2380068</v>
          </cell>
          <cell r="G9" t="str">
            <v/>
          </cell>
          <cell r="H9" t="str">
            <v/>
          </cell>
          <cell r="I9" t="str">
            <v/>
          </cell>
          <cell r="J9" t="str">
            <v>NMO</v>
          </cell>
          <cell r="K9" t="str">
            <v/>
          </cell>
          <cell r="L9" t="str">
            <v/>
          </cell>
          <cell r="M9" t="str">
            <v/>
          </cell>
          <cell r="N9" t="str">
            <v/>
          </cell>
          <cell r="O9">
            <v>100</v>
          </cell>
          <cell r="P9" t="str">
            <v>2015</v>
          </cell>
          <cell r="Q9" t="str">
            <v>1</v>
          </cell>
          <cell r="R9" t="str">
            <v>2015</v>
          </cell>
          <cell r="S9" t="str">
            <v>1</v>
          </cell>
          <cell r="T9" t="str">
            <v>010</v>
          </cell>
        </row>
        <row r="10">
          <cell r="B10" t="str">
            <v>801307875</v>
          </cell>
          <cell r="C10" t="str">
            <v>XFER 2014,Nuclear Fuel Canc Charges - U3</v>
          </cell>
          <cell r="D10" t="str">
            <v>P0115</v>
          </cell>
          <cell r="E10" t="str">
            <v>FUL</v>
          </cell>
          <cell r="F10" t="str">
            <v>2380068</v>
          </cell>
          <cell r="G10" t="str">
            <v/>
          </cell>
          <cell r="H10" t="str">
            <v/>
          </cell>
          <cell r="I10" t="str">
            <v/>
          </cell>
          <cell r="J10" t="str">
            <v>NMO</v>
          </cell>
          <cell r="K10" t="str">
            <v/>
          </cell>
          <cell r="L10" t="str">
            <v/>
          </cell>
          <cell r="M10" t="str">
            <v/>
          </cell>
          <cell r="N10" t="str">
            <v/>
          </cell>
          <cell r="O10">
            <v>100</v>
          </cell>
          <cell r="P10" t="str">
            <v>2015</v>
          </cell>
          <cell r="Q10" t="str">
            <v>1</v>
          </cell>
          <cell r="R10" t="str">
            <v>2015</v>
          </cell>
          <cell r="S10" t="str">
            <v>1</v>
          </cell>
          <cell r="T10" t="str">
            <v>010</v>
          </cell>
        </row>
        <row r="11">
          <cell r="B11" t="str">
            <v>801307783</v>
          </cell>
          <cell r="C11" t="str">
            <v>XFER 2013,Labor Lic Term Reporting - U3…</v>
          </cell>
          <cell r="D11" t="str">
            <v>P0115</v>
          </cell>
          <cell r="E11" t="str">
            <v>FUL</v>
          </cell>
          <cell r="F11" t="str">
            <v>2380068</v>
          </cell>
          <cell r="G11" t="str">
            <v/>
          </cell>
          <cell r="H11" t="str">
            <v/>
          </cell>
          <cell r="I11" t="str">
            <v/>
          </cell>
          <cell r="J11" t="str">
            <v>NMO</v>
          </cell>
          <cell r="K11" t="str">
            <v/>
          </cell>
          <cell r="L11" t="str">
            <v/>
          </cell>
          <cell r="M11" t="str">
            <v/>
          </cell>
          <cell r="N11" t="str">
            <v/>
          </cell>
          <cell r="O11">
            <v>100</v>
          </cell>
          <cell r="P11" t="str">
            <v>2015</v>
          </cell>
          <cell r="Q11" t="str">
            <v>1</v>
          </cell>
          <cell r="R11" t="str">
            <v>2015</v>
          </cell>
          <cell r="S11" t="str">
            <v>1</v>
          </cell>
          <cell r="T11" t="str">
            <v>025</v>
          </cell>
        </row>
        <row r="12">
          <cell r="B12" t="str">
            <v>801307784</v>
          </cell>
          <cell r="C12" t="str">
            <v>XFER 2014,Labor License Term Report - U3</v>
          </cell>
          <cell r="D12" t="str">
            <v>P0115</v>
          </cell>
          <cell r="E12" t="str">
            <v>FUL</v>
          </cell>
          <cell r="F12" t="str">
            <v>2380068</v>
          </cell>
          <cell r="G12" t="str">
            <v/>
          </cell>
          <cell r="H12" t="str">
            <v/>
          </cell>
          <cell r="I12" t="str">
            <v/>
          </cell>
          <cell r="J12" t="str">
            <v>NMO</v>
          </cell>
          <cell r="K12" t="str">
            <v/>
          </cell>
          <cell r="L12" t="str">
            <v/>
          </cell>
          <cell r="M12" t="str">
            <v/>
          </cell>
          <cell r="N12" t="str">
            <v/>
          </cell>
          <cell r="O12">
            <v>100</v>
          </cell>
          <cell r="P12" t="str">
            <v>2015</v>
          </cell>
          <cell r="Q12" t="str">
            <v>1</v>
          </cell>
          <cell r="R12" t="str">
            <v>2015</v>
          </cell>
          <cell r="S12" t="str">
            <v>1</v>
          </cell>
          <cell r="T12" t="str">
            <v>025</v>
          </cell>
        </row>
        <row r="13">
          <cell r="B13" t="str">
            <v>801307848</v>
          </cell>
          <cell r="C13" t="str">
            <v>XFER 2013,Labor Spent Fuel Mgmt Rep - U3</v>
          </cell>
          <cell r="D13" t="str">
            <v>P0115</v>
          </cell>
          <cell r="E13" t="str">
            <v>FUL</v>
          </cell>
          <cell r="F13" t="str">
            <v>2380068</v>
          </cell>
          <cell r="G13" t="str">
            <v/>
          </cell>
          <cell r="H13" t="str">
            <v/>
          </cell>
          <cell r="I13" t="str">
            <v/>
          </cell>
          <cell r="J13" t="str">
            <v>NMO</v>
          </cell>
          <cell r="K13" t="str">
            <v/>
          </cell>
          <cell r="L13" t="str">
            <v/>
          </cell>
          <cell r="M13" t="str">
            <v/>
          </cell>
          <cell r="N13" t="str">
            <v/>
          </cell>
          <cell r="O13">
            <v>100</v>
          </cell>
          <cell r="P13" t="str">
            <v>2015</v>
          </cell>
          <cell r="Q13" t="str">
            <v>1</v>
          </cell>
          <cell r="R13" t="str">
            <v>2015</v>
          </cell>
          <cell r="S13" t="str">
            <v>1</v>
          </cell>
          <cell r="T13" t="str">
            <v>025</v>
          </cell>
        </row>
        <row r="14">
          <cell r="B14" t="str">
            <v>801307849</v>
          </cell>
          <cell r="C14" t="str">
            <v>XFER 2014,Labor Spent Fuel Mgmt Rep - U3</v>
          </cell>
          <cell r="D14" t="str">
            <v>P0115</v>
          </cell>
          <cell r="E14" t="str">
            <v>FUL</v>
          </cell>
          <cell r="F14" t="str">
            <v>2380068</v>
          </cell>
          <cell r="G14" t="str">
            <v/>
          </cell>
          <cell r="H14" t="str">
            <v/>
          </cell>
          <cell r="I14" t="str">
            <v/>
          </cell>
          <cell r="J14" t="str">
            <v>NMO</v>
          </cell>
          <cell r="K14" t="str">
            <v/>
          </cell>
          <cell r="L14" t="str">
            <v/>
          </cell>
          <cell r="M14" t="str">
            <v/>
          </cell>
          <cell r="N14" t="str">
            <v/>
          </cell>
          <cell r="O14">
            <v>100</v>
          </cell>
          <cell r="P14" t="str">
            <v>2015</v>
          </cell>
          <cell r="Q14" t="str">
            <v>1</v>
          </cell>
          <cell r="R14" t="str">
            <v>2015</v>
          </cell>
          <cell r="S14" t="str">
            <v>1</v>
          </cell>
          <cell r="T14" t="str">
            <v>025</v>
          </cell>
        </row>
        <row r="15">
          <cell r="B15" t="str">
            <v>801312729</v>
          </cell>
          <cell r="C15" t="str">
            <v>Labor Reporting/Site Mgmt&amp;Admin - Sourc</v>
          </cell>
          <cell r="D15" t="str">
            <v>P0115</v>
          </cell>
          <cell r="E15" t="str">
            <v>FUL</v>
          </cell>
          <cell r="F15" t="str">
            <v/>
          </cell>
          <cell r="G15" t="str">
            <v/>
          </cell>
          <cell r="H15" t="str">
            <v>801300139</v>
          </cell>
          <cell r="I15" t="str">
            <v/>
          </cell>
          <cell r="J15" t="str">
            <v>NMO</v>
          </cell>
          <cell r="K15" t="str">
            <v/>
          </cell>
          <cell r="L15" t="str">
            <v/>
          </cell>
          <cell r="M15" t="str">
            <v/>
          </cell>
          <cell r="N15" t="str">
            <v/>
          </cell>
          <cell r="O15">
            <v>35.21</v>
          </cell>
          <cell r="P15" t="str">
            <v>2015</v>
          </cell>
          <cell r="Q15" t="str">
            <v>1</v>
          </cell>
          <cell r="R15" t="str">
            <v>2015</v>
          </cell>
          <cell r="S15" t="str">
            <v>2</v>
          </cell>
        </row>
        <row r="16">
          <cell r="B16" t="str">
            <v>801312988</v>
          </cell>
          <cell r="C16" t="str">
            <v>Nuclear Fuel Cancel. Charges - Source WD</v>
          </cell>
          <cell r="D16" t="str">
            <v>P0115</v>
          </cell>
          <cell r="E16" t="str">
            <v>FUL</v>
          </cell>
          <cell r="F16" t="str">
            <v/>
          </cell>
          <cell r="G16" t="str">
            <v/>
          </cell>
          <cell r="H16" t="str">
            <v>801300336</v>
          </cell>
          <cell r="I16" t="str">
            <v/>
          </cell>
          <cell r="J16" t="str">
            <v>NMO</v>
          </cell>
          <cell r="K16" t="str">
            <v/>
          </cell>
          <cell r="L16" t="str">
            <v/>
          </cell>
          <cell r="M16" t="str">
            <v/>
          </cell>
          <cell r="N16" t="str">
            <v/>
          </cell>
          <cell r="O16">
            <v>50</v>
          </cell>
          <cell r="P16" t="str">
            <v>2015</v>
          </cell>
          <cell r="Q16" t="str">
            <v>2</v>
          </cell>
          <cell r="R16" t="str">
            <v>2015</v>
          </cell>
          <cell r="S16" t="str">
            <v>2</v>
          </cell>
          <cell r="T16" t="str">
            <v>001</v>
          </cell>
        </row>
        <row r="17">
          <cell r="B17" t="str">
            <v>801323623</v>
          </cell>
          <cell r="C17" t="str">
            <v>XFER 2014,Legal-CNO,LT - U3…………………………………</v>
          </cell>
          <cell r="D17" t="str">
            <v>P0115</v>
          </cell>
          <cell r="E17" t="str">
            <v>FUL</v>
          </cell>
          <cell r="F17" t="str">
            <v>2380068</v>
          </cell>
          <cell r="G17" t="str">
            <v/>
          </cell>
          <cell r="H17" t="str">
            <v/>
          </cell>
          <cell r="I17" t="str">
            <v/>
          </cell>
          <cell r="J17" t="str">
            <v>NMO</v>
          </cell>
          <cell r="K17" t="str">
            <v/>
          </cell>
          <cell r="L17" t="str">
            <v/>
          </cell>
          <cell r="M17" t="str">
            <v/>
          </cell>
          <cell r="N17" t="str">
            <v/>
          </cell>
          <cell r="O17">
            <v>100</v>
          </cell>
          <cell r="P17" t="str">
            <v/>
          </cell>
          <cell r="Q17" t="str">
            <v>0</v>
          </cell>
          <cell r="R17" t="str">
            <v/>
          </cell>
          <cell r="S17" t="str">
            <v>0</v>
          </cell>
          <cell r="T17" t="str">
            <v>025</v>
          </cell>
        </row>
        <row r="18">
          <cell r="B18" t="str">
            <v>801323693</v>
          </cell>
          <cell r="C18" t="str">
            <v>XFER 2014,Legal-CNO,LT - U2…………………………………</v>
          </cell>
          <cell r="D18" t="str">
            <v>P0115</v>
          </cell>
          <cell r="E18" t="str">
            <v>FUL</v>
          </cell>
          <cell r="F18" t="str">
            <v>2380067</v>
          </cell>
          <cell r="G18" t="str">
            <v/>
          </cell>
          <cell r="H18" t="str">
            <v/>
          </cell>
          <cell r="I18" t="str">
            <v/>
          </cell>
          <cell r="J18" t="str">
            <v>NMO</v>
          </cell>
          <cell r="K18" t="str">
            <v/>
          </cell>
          <cell r="L18" t="str">
            <v/>
          </cell>
          <cell r="M18" t="str">
            <v/>
          </cell>
          <cell r="N18" t="str">
            <v/>
          </cell>
          <cell r="O18">
            <v>100</v>
          </cell>
          <cell r="P18" t="str">
            <v/>
          </cell>
          <cell r="Q18" t="str">
            <v>0</v>
          </cell>
          <cell r="R18" t="str">
            <v/>
          </cell>
          <cell r="S18" t="str">
            <v>0</v>
          </cell>
          <cell r="T18" t="str">
            <v>025</v>
          </cell>
        </row>
        <row r="19">
          <cell r="B19" t="str">
            <v>801307694</v>
          </cell>
          <cell r="C19" t="str">
            <v>XFER 2014,Insurance,LT - U2…………………………………</v>
          </cell>
          <cell r="D19" t="str">
            <v>P0115</v>
          </cell>
          <cell r="E19" t="str">
            <v>FUL</v>
          </cell>
          <cell r="F19" t="str">
            <v>2380067</v>
          </cell>
          <cell r="G19" t="str">
            <v/>
          </cell>
          <cell r="H19" t="str">
            <v/>
          </cell>
          <cell r="I19" t="str">
            <v/>
          </cell>
          <cell r="J19" t="str">
            <v>NMO</v>
          </cell>
          <cell r="K19" t="str">
            <v/>
          </cell>
          <cell r="L19" t="str">
            <v/>
          </cell>
          <cell r="M19" t="str">
            <v/>
          </cell>
          <cell r="N19" t="str">
            <v/>
          </cell>
          <cell r="O19">
            <v>100</v>
          </cell>
          <cell r="P19" t="str">
            <v>2015</v>
          </cell>
          <cell r="Q19" t="str">
            <v>1</v>
          </cell>
          <cell r="R19" t="str">
            <v>2015</v>
          </cell>
          <cell r="S19" t="str">
            <v>1</v>
          </cell>
          <cell r="T19" t="str">
            <v>010</v>
          </cell>
        </row>
        <row r="20">
          <cell r="B20" t="str">
            <v>801307740</v>
          </cell>
          <cell r="C20" t="str">
            <v>XFER 2014,Insurance,SF - U2…………………………………</v>
          </cell>
          <cell r="D20" t="str">
            <v>P0115</v>
          </cell>
          <cell r="E20" t="str">
            <v>FUL</v>
          </cell>
          <cell r="F20" t="str">
            <v>2380067</v>
          </cell>
          <cell r="G20" t="str">
            <v/>
          </cell>
          <cell r="H20" t="str">
            <v/>
          </cell>
          <cell r="I20" t="str">
            <v/>
          </cell>
          <cell r="J20" t="str">
            <v>NMO</v>
          </cell>
          <cell r="K20" t="str">
            <v/>
          </cell>
          <cell r="L20" t="str">
            <v/>
          </cell>
          <cell r="M20" t="str">
            <v/>
          </cell>
          <cell r="N20" t="str">
            <v/>
          </cell>
          <cell r="O20">
            <v>100</v>
          </cell>
          <cell r="P20" t="str">
            <v>2015</v>
          </cell>
          <cell r="Q20" t="str">
            <v>1</v>
          </cell>
          <cell r="R20" t="str">
            <v>2015</v>
          </cell>
          <cell r="S20" t="str">
            <v>1</v>
          </cell>
          <cell r="T20" t="str">
            <v>010</v>
          </cell>
        </row>
        <row r="21">
          <cell r="B21" t="str">
            <v>801307788</v>
          </cell>
          <cell r="C21" t="str">
            <v>XFER 2014,Insurance,LT - U3…………………………………</v>
          </cell>
          <cell r="D21" t="str">
            <v>P0115</v>
          </cell>
          <cell r="E21" t="str">
            <v>FUL</v>
          </cell>
          <cell r="F21" t="str">
            <v>2380068</v>
          </cell>
          <cell r="G21" t="str">
            <v/>
          </cell>
          <cell r="H21" t="str">
            <v/>
          </cell>
          <cell r="I21" t="str">
            <v/>
          </cell>
          <cell r="J21" t="str">
            <v>NMO</v>
          </cell>
          <cell r="K21" t="str">
            <v/>
          </cell>
          <cell r="L21" t="str">
            <v/>
          </cell>
          <cell r="M21" t="str">
            <v/>
          </cell>
          <cell r="N21" t="str">
            <v/>
          </cell>
          <cell r="O21">
            <v>100</v>
          </cell>
          <cell r="P21" t="str">
            <v>2015</v>
          </cell>
          <cell r="Q21" t="str">
            <v>1</v>
          </cell>
          <cell r="R21" t="str">
            <v>2015</v>
          </cell>
          <cell r="S21" t="str">
            <v>1</v>
          </cell>
          <cell r="T21" t="str">
            <v>010</v>
          </cell>
        </row>
        <row r="22">
          <cell r="B22" t="str">
            <v>801307854</v>
          </cell>
          <cell r="C22" t="str">
            <v>XFER 2014,Insurance,SF - U3…………………………………</v>
          </cell>
          <cell r="D22" t="str">
            <v>P0115</v>
          </cell>
          <cell r="E22" t="str">
            <v>FUL</v>
          </cell>
          <cell r="F22" t="str">
            <v>2380068</v>
          </cell>
          <cell r="G22" t="str">
            <v/>
          </cell>
          <cell r="H22" t="str">
            <v/>
          </cell>
          <cell r="I22" t="str">
            <v/>
          </cell>
          <cell r="J22" t="str">
            <v>NMO</v>
          </cell>
          <cell r="K22" t="str">
            <v/>
          </cell>
          <cell r="L22" t="str">
            <v/>
          </cell>
          <cell r="M22" t="str">
            <v/>
          </cell>
          <cell r="N22" t="str">
            <v/>
          </cell>
          <cell r="O22">
            <v>100</v>
          </cell>
          <cell r="P22" t="str">
            <v>2015</v>
          </cell>
          <cell r="Q22" t="str">
            <v>1</v>
          </cell>
          <cell r="R22" t="str">
            <v>2015</v>
          </cell>
          <cell r="S22" t="str">
            <v>1</v>
          </cell>
          <cell r="T22" t="str">
            <v>010</v>
          </cell>
        </row>
        <row r="23">
          <cell r="B23" t="str">
            <v>801307724</v>
          </cell>
          <cell r="C23" t="str">
            <v>XFER 2013,Sec Shutdwn Strat (2013 ) - U2</v>
          </cell>
          <cell r="D23" t="str">
            <v>P0115</v>
          </cell>
          <cell r="E23" t="str">
            <v>FUL</v>
          </cell>
          <cell r="F23" t="str">
            <v>2380067</v>
          </cell>
          <cell r="G23" t="str">
            <v/>
          </cell>
          <cell r="H23" t="str">
            <v/>
          </cell>
          <cell r="I23" t="str">
            <v/>
          </cell>
          <cell r="J23" t="str">
            <v>NMO</v>
          </cell>
          <cell r="K23" t="str">
            <v/>
          </cell>
          <cell r="L23" t="str">
            <v/>
          </cell>
          <cell r="M23" t="str">
            <v/>
          </cell>
          <cell r="N23" t="str">
            <v/>
          </cell>
          <cell r="O23">
            <v>100</v>
          </cell>
          <cell r="P23" t="str">
            <v>2015</v>
          </cell>
          <cell r="Q23" t="str">
            <v>1</v>
          </cell>
          <cell r="R23" t="str">
            <v>2015</v>
          </cell>
          <cell r="S23" t="str">
            <v>1</v>
          </cell>
          <cell r="T23" t="str">
            <v>025</v>
          </cell>
        </row>
        <row r="24">
          <cell r="B24" t="str">
            <v>801307727</v>
          </cell>
          <cell r="C24" t="str">
            <v>XFER 2014,Sec Shutdown Strat - U2 (2014)</v>
          </cell>
          <cell r="D24" t="str">
            <v>P0115</v>
          </cell>
          <cell r="E24" t="str">
            <v>FUL</v>
          </cell>
          <cell r="F24" t="str">
            <v>2380067</v>
          </cell>
          <cell r="G24" t="str">
            <v/>
          </cell>
          <cell r="H24" t="str">
            <v/>
          </cell>
          <cell r="I24" t="str">
            <v/>
          </cell>
          <cell r="J24" t="str">
            <v>NMO</v>
          </cell>
          <cell r="K24" t="str">
            <v/>
          </cell>
          <cell r="L24" t="str">
            <v/>
          </cell>
          <cell r="M24" t="str">
            <v/>
          </cell>
          <cell r="N24" t="str">
            <v/>
          </cell>
          <cell r="O24">
            <v>100</v>
          </cell>
          <cell r="P24" t="str">
            <v>2015</v>
          </cell>
          <cell r="Q24" t="str">
            <v>1</v>
          </cell>
          <cell r="R24" t="str">
            <v>2015</v>
          </cell>
          <cell r="S24" t="str">
            <v>1</v>
          </cell>
          <cell r="T24" t="str">
            <v>025</v>
          </cell>
        </row>
        <row r="25">
          <cell r="B25" t="str">
            <v>801307838</v>
          </cell>
          <cell r="C25" t="str">
            <v>XFER 2013,Sec Shutdwn Strat (2013 ) - U3</v>
          </cell>
          <cell r="D25" t="str">
            <v>P0115</v>
          </cell>
          <cell r="E25" t="str">
            <v>FUL</v>
          </cell>
          <cell r="F25" t="str">
            <v>2380068</v>
          </cell>
          <cell r="G25" t="str">
            <v/>
          </cell>
          <cell r="H25" t="str">
            <v/>
          </cell>
          <cell r="I25" t="str">
            <v/>
          </cell>
          <cell r="J25" t="str">
            <v>NMO</v>
          </cell>
          <cell r="K25" t="str">
            <v/>
          </cell>
          <cell r="L25" t="str">
            <v/>
          </cell>
          <cell r="M25" t="str">
            <v/>
          </cell>
          <cell r="N25" t="str">
            <v/>
          </cell>
          <cell r="O25">
            <v>100</v>
          </cell>
          <cell r="P25" t="str">
            <v>2015</v>
          </cell>
          <cell r="Q25" t="str">
            <v>1</v>
          </cell>
          <cell r="R25" t="str">
            <v>2015</v>
          </cell>
          <cell r="S25" t="str">
            <v>1</v>
          </cell>
          <cell r="T25" t="str">
            <v>025</v>
          </cell>
        </row>
        <row r="26">
          <cell r="B26" t="str">
            <v>801307841</v>
          </cell>
          <cell r="C26" t="str">
            <v>XFER 2014,Sec Shutdown Strat - U3 (2014)</v>
          </cell>
          <cell r="D26" t="str">
            <v>P0115</v>
          </cell>
          <cell r="E26" t="str">
            <v>FUL</v>
          </cell>
          <cell r="F26" t="str">
            <v>2380068</v>
          </cell>
          <cell r="G26" t="str">
            <v/>
          </cell>
          <cell r="H26" t="str">
            <v/>
          </cell>
          <cell r="I26" t="str">
            <v/>
          </cell>
          <cell r="J26" t="str">
            <v>NMO</v>
          </cell>
          <cell r="K26" t="str">
            <v/>
          </cell>
          <cell r="L26" t="str">
            <v/>
          </cell>
          <cell r="M26" t="str">
            <v/>
          </cell>
          <cell r="N26" t="str">
            <v/>
          </cell>
          <cell r="O26">
            <v>100</v>
          </cell>
          <cell r="P26" t="str">
            <v>2015</v>
          </cell>
          <cell r="Q26" t="str">
            <v>1</v>
          </cell>
          <cell r="R26" t="str">
            <v>2015</v>
          </cell>
          <cell r="S26" t="str">
            <v>1</v>
          </cell>
          <cell r="T26" t="str">
            <v>025</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 Prices"/>
      <sheetName val="Gas Prices"/>
      <sheetName val="Interest rates"/>
      <sheetName val="Main Menu"/>
      <sheetName val="Input And Prices"/>
      <sheetName val="Summary Data Check"/>
      <sheetName val="Summary"/>
      <sheetName val="Range Name"/>
      <sheetName val="Power Fin"/>
      <sheetName val="Power"/>
      <sheetName val="FTR"/>
      <sheetName val="Gas Physical"/>
      <sheetName val="Gas Fin Options"/>
      <sheetName val="Gas Fin Non Options"/>
      <sheetName val="Trans Cap"/>
      <sheetName val=" RFO"/>
      <sheetName val="Change Control"/>
    </sheetNames>
    <sheetDataSet>
      <sheetData sheetId="0" refreshError="1"/>
      <sheetData sheetId="1" refreshError="1"/>
      <sheetData sheetId="2" refreshError="1"/>
      <sheetData sheetId="3"/>
      <sheetData sheetId="4">
        <row r="3">
          <cell r="B3">
            <v>39263</v>
          </cell>
        </row>
      </sheetData>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control"/>
      <sheetName val="MTM"/>
      <sheetName val="ECCO Prices - allocation"/>
      <sheetName val="ECCO Prices - current"/>
      <sheetName val="LT Volumes"/>
      <sheetName val="Reference Data"/>
      <sheetName val="Int Rates"/>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MCO"/>
      <sheetName val="SCE Labor"/>
      <sheetName val="Vendors"/>
      <sheetName val="DATA"/>
      <sheetName val="LMCO Lookup"/>
      <sheetName val="U3 Division Lookup"/>
      <sheetName val="Other"/>
    </sheetNames>
    <sheetDataSet>
      <sheetData sheetId="0" refreshError="1"/>
      <sheetData sheetId="1" refreshError="1"/>
      <sheetData sheetId="2" refreshError="1"/>
      <sheetData sheetId="3"/>
      <sheetData sheetId="4"/>
      <sheetData sheetId="5"/>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
      <sheetName val="Step x Step"/>
      <sheetName val="Summary"/>
      <sheetName val="Analysis"/>
      <sheetName val="Forecasts"/>
      <sheetName val="Gas&amp;Power"/>
      <sheetName val="Treasury"/>
      <sheetName val="WIT"/>
      <sheetName val="Gen.Type"/>
      <sheetName val="Chart1"/>
      <sheetName val="Chart2"/>
      <sheetName val="PriceForecasts"/>
      <sheetName val="Sheet3"/>
      <sheetName val="Sheet2"/>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A1" t="str">
            <v>QFID</v>
          </cell>
          <cell r="B1" t="str">
            <v>Project Name</v>
          </cell>
          <cell r="C1" t="str">
            <v>Contract Type</v>
          </cell>
          <cell r="D1" t="str">
            <v>Technology</v>
          </cell>
          <cell r="E1" t="str">
            <v>Contract Manager</v>
          </cell>
          <cell r="F1" t="str">
            <v>Contract Status</v>
          </cell>
          <cell r="G1" t="str">
            <v>Execution Date</v>
          </cell>
          <cell r="H1" t="str">
            <v>Contract Term</v>
          </cell>
          <cell r="I1" t="str">
            <v>On-Line Date</v>
          </cell>
          <cell r="J1" t="str">
            <v>Firm Oper Date</v>
          </cell>
          <cell r="K1" t="str">
            <v>Termination Date</v>
          </cell>
          <cell r="L1" t="str">
            <v>Contract Firm</v>
          </cell>
          <cell r="M1" t="str">
            <v>Contract As-Avail</v>
          </cell>
          <cell r="N1" t="str">
            <v>Contract Bypass</v>
          </cell>
          <cell r="O1" t="str">
            <v>Total Contract Capacity</v>
          </cell>
          <cell r="P1" t="str">
            <v>On-Line Firm</v>
          </cell>
          <cell r="Q1" t="str">
            <v>On-Line As-Avail</v>
          </cell>
          <cell r="R1" t="str">
            <v>Total Net On-Line Capacity</v>
          </cell>
          <cell r="S1" t="str">
            <v>Nameplate</v>
          </cell>
        </row>
        <row r="2">
          <cell r="A2">
            <v>1004</v>
          </cell>
          <cell r="B2" t="str">
            <v>Central Plants Inc. - Upland</v>
          </cell>
          <cell r="C2" t="str">
            <v>NEG</v>
          </cell>
          <cell r="D2" t="str">
            <v>Biomass</v>
          </cell>
          <cell r="E2" t="str">
            <v>Cynthia Shindle</v>
          </cell>
          <cell r="F2" t="str">
            <v>Terminated</v>
          </cell>
          <cell r="G2">
            <v>30140</v>
          </cell>
          <cell r="H2">
            <v>15</v>
          </cell>
          <cell r="I2">
            <v>30672</v>
          </cell>
          <cell r="J2">
            <v>30672</v>
          </cell>
          <cell r="K2">
            <v>35065</v>
          </cell>
          <cell r="L2">
            <v>300</v>
          </cell>
          <cell r="M2">
            <v>140</v>
          </cell>
          <cell r="N2">
            <v>60</v>
          </cell>
          <cell r="O2">
            <v>500</v>
          </cell>
          <cell r="P2">
            <v>300</v>
          </cell>
          <cell r="Q2">
            <v>140</v>
          </cell>
          <cell r="R2">
            <v>440</v>
          </cell>
          <cell r="S2">
            <v>500</v>
          </cell>
        </row>
        <row r="3">
          <cell r="A3">
            <v>1005</v>
          </cell>
          <cell r="B3" t="str">
            <v>Generating Resource Recovery Partners,LP</v>
          </cell>
          <cell r="C3" t="str">
            <v>RSO1</v>
          </cell>
          <cell r="D3" t="str">
            <v>Biomass</v>
          </cell>
          <cell r="E3" t="str">
            <v>Pam Snethen</v>
          </cell>
          <cell r="F3" t="str">
            <v>Active</v>
          </cell>
          <cell r="G3">
            <v>30140</v>
          </cell>
          <cell r="H3">
            <v>20</v>
          </cell>
          <cell r="I3">
            <v>31031</v>
          </cell>
          <cell r="J3">
            <v>31031</v>
          </cell>
          <cell r="K3">
            <v>40164</v>
          </cell>
          <cell r="M3">
            <v>5625</v>
          </cell>
          <cell r="O3">
            <v>5625</v>
          </cell>
          <cell r="Q3">
            <v>5625</v>
          </cell>
          <cell r="R3">
            <v>5625</v>
          </cell>
          <cell r="S3">
            <v>5625</v>
          </cell>
        </row>
        <row r="4">
          <cell r="A4">
            <v>1007</v>
          </cell>
          <cell r="B4" t="str">
            <v>Royal Farms</v>
          </cell>
          <cell r="C4" t="str">
            <v>SO3</v>
          </cell>
          <cell r="D4" t="str">
            <v>Biomass</v>
          </cell>
          <cell r="E4" t="str">
            <v>Pam Snethen</v>
          </cell>
          <cell r="F4" t="str">
            <v>Active</v>
          </cell>
          <cell r="G4">
            <v>30924</v>
          </cell>
          <cell r="H4">
            <v>1</v>
          </cell>
          <cell r="I4">
            <v>30337</v>
          </cell>
          <cell r="J4">
            <v>30337</v>
          </cell>
          <cell r="N4">
            <v>75</v>
          </cell>
          <cell r="O4">
            <v>75</v>
          </cell>
          <cell r="S4">
            <v>75</v>
          </cell>
        </row>
        <row r="5">
          <cell r="A5">
            <v>1009</v>
          </cell>
          <cell r="B5" t="str">
            <v>L.A. Co. Sanitation Dist CSD 2610</v>
          </cell>
          <cell r="C5" t="str">
            <v>NEG</v>
          </cell>
          <cell r="D5" t="str">
            <v>Biomass</v>
          </cell>
          <cell r="E5" t="str">
            <v>Cathy Mendoza</v>
          </cell>
          <cell r="F5" t="str">
            <v>Active</v>
          </cell>
          <cell r="G5">
            <v>30340</v>
          </cell>
          <cell r="H5">
            <v>1</v>
          </cell>
          <cell r="I5">
            <v>30642</v>
          </cell>
          <cell r="J5">
            <v>30642</v>
          </cell>
          <cell r="M5">
            <v>2550</v>
          </cell>
          <cell r="N5">
            <v>1350</v>
          </cell>
          <cell r="O5">
            <v>3900</v>
          </cell>
          <cell r="Q5">
            <v>2550</v>
          </cell>
          <cell r="R5">
            <v>2550</v>
          </cell>
          <cell r="S5">
            <v>3900</v>
          </cell>
        </row>
        <row r="6">
          <cell r="A6">
            <v>1010</v>
          </cell>
          <cell r="B6" t="str">
            <v>Brea Power Partners L. P.</v>
          </cell>
          <cell r="C6" t="str">
            <v>RSO1</v>
          </cell>
          <cell r="D6" t="str">
            <v>Biomass</v>
          </cell>
          <cell r="E6" t="str">
            <v>Pam Snethen</v>
          </cell>
          <cell r="F6" t="str">
            <v>Active</v>
          </cell>
          <cell r="G6">
            <v>30316</v>
          </cell>
          <cell r="H6">
            <v>5</v>
          </cell>
          <cell r="I6">
            <v>30980</v>
          </cell>
          <cell r="J6">
            <v>31048</v>
          </cell>
          <cell r="K6">
            <v>40260</v>
          </cell>
          <cell r="M6">
            <v>4900</v>
          </cell>
          <cell r="N6">
            <v>725</v>
          </cell>
          <cell r="O6">
            <v>5625</v>
          </cell>
          <cell r="Q6">
            <v>4900</v>
          </cell>
          <cell r="R6">
            <v>4900</v>
          </cell>
          <cell r="S6">
            <v>5625</v>
          </cell>
        </row>
        <row r="7">
          <cell r="A7">
            <v>1011</v>
          </cell>
          <cell r="B7" t="str">
            <v>City of Oxnard</v>
          </cell>
          <cell r="C7" t="str">
            <v>SO1</v>
          </cell>
          <cell r="D7" t="str">
            <v>Biomass</v>
          </cell>
          <cell r="E7" t="str">
            <v>Cathy Mendoza</v>
          </cell>
          <cell r="F7" t="str">
            <v>Terminated</v>
          </cell>
          <cell r="G7">
            <v>32308</v>
          </cell>
          <cell r="H7">
            <v>1</v>
          </cell>
          <cell r="I7">
            <v>29963</v>
          </cell>
          <cell r="J7">
            <v>29963</v>
          </cell>
          <cell r="K7">
            <v>35261</v>
          </cell>
          <cell r="N7">
            <v>1500</v>
          </cell>
          <cell r="O7">
            <v>1500</v>
          </cell>
          <cell r="S7">
            <v>1500</v>
          </cell>
        </row>
        <row r="8">
          <cell r="A8">
            <v>1012</v>
          </cell>
          <cell r="B8" t="str">
            <v>City of Palm Springs - Sewer Plant</v>
          </cell>
          <cell r="C8" t="str">
            <v>SO1</v>
          </cell>
          <cell r="D8" t="str">
            <v>Biomass</v>
          </cell>
          <cell r="E8" t="str">
            <v>Bruce McCarthy</v>
          </cell>
          <cell r="F8" t="str">
            <v>Terminated</v>
          </cell>
          <cell r="G8">
            <v>30441</v>
          </cell>
          <cell r="H8">
            <v>1</v>
          </cell>
          <cell r="I8">
            <v>30441</v>
          </cell>
          <cell r="J8">
            <v>30441</v>
          </cell>
          <cell r="K8">
            <v>37972</v>
          </cell>
          <cell r="M8">
            <v>250</v>
          </cell>
          <cell r="O8">
            <v>250</v>
          </cell>
          <cell r="Q8">
            <v>250</v>
          </cell>
          <cell r="R8">
            <v>250</v>
          </cell>
          <cell r="S8">
            <v>250</v>
          </cell>
        </row>
        <row r="9">
          <cell r="A9">
            <v>1015</v>
          </cell>
          <cell r="B9" t="str">
            <v>Aliso Water Management Agency</v>
          </cell>
          <cell r="C9" t="str">
            <v>NEG</v>
          </cell>
          <cell r="D9" t="str">
            <v>Biomass</v>
          </cell>
          <cell r="E9" t="str">
            <v>Bruce McCarthy</v>
          </cell>
          <cell r="F9" t="str">
            <v>Terminated</v>
          </cell>
          <cell r="G9">
            <v>30414</v>
          </cell>
          <cell r="H9">
            <v>1</v>
          </cell>
          <cell r="I9">
            <v>30473</v>
          </cell>
          <cell r="J9">
            <v>30473</v>
          </cell>
          <cell r="K9">
            <v>37314</v>
          </cell>
          <cell r="N9">
            <v>1200</v>
          </cell>
          <cell r="O9">
            <v>1200</v>
          </cell>
          <cell r="S9">
            <v>1200</v>
          </cell>
        </row>
        <row r="10">
          <cell r="A10">
            <v>1018</v>
          </cell>
          <cell r="B10" t="str">
            <v>Penrose Landfill Gas Conversion, LLC</v>
          </cell>
          <cell r="C10" t="str">
            <v>SO1</v>
          </cell>
          <cell r="D10" t="str">
            <v>Biomass</v>
          </cell>
          <cell r="E10" t="str">
            <v>David R Cox</v>
          </cell>
          <cell r="F10" t="str">
            <v>Terminated</v>
          </cell>
          <cell r="G10">
            <v>30662</v>
          </cell>
          <cell r="H10">
            <v>20</v>
          </cell>
          <cell r="I10">
            <v>31544</v>
          </cell>
          <cell r="J10">
            <v>31544</v>
          </cell>
          <cell r="K10">
            <v>38848</v>
          </cell>
          <cell r="M10">
            <v>11500</v>
          </cell>
          <cell r="N10">
            <v>500</v>
          </cell>
          <cell r="O10">
            <v>12000</v>
          </cell>
          <cell r="Q10">
            <v>11500</v>
          </cell>
          <cell r="R10">
            <v>11500</v>
          </cell>
          <cell r="S10">
            <v>12000</v>
          </cell>
        </row>
        <row r="11">
          <cell r="A11">
            <v>1022</v>
          </cell>
          <cell r="B11" t="str">
            <v>Toyon Landfill Gas Conversion, LLC</v>
          </cell>
          <cell r="C11" t="str">
            <v>SO1</v>
          </cell>
          <cell r="D11" t="str">
            <v>Biomass</v>
          </cell>
          <cell r="E11" t="str">
            <v>David R Cox</v>
          </cell>
          <cell r="F11" t="str">
            <v>Active</v>
          </cell>
          <cell r="G11">
            <v>30297</v>
          </cell>
          <cell r="H11">
            <v>20</v>
          </cell>
          <cell r="I11">
            <v>31544</v>
          </cell>
          <cell r="J11">
            <v>31544</v>
          </cell>
          <cell r="K11">
            <v>38879</v>
          </cell>
          <cell r="M11">
            <v>11500</v>
          </cell>
          <cell r="N11">
            <v>500</v>
          </cell>
          <cell r="O11">
            <v>12000</v>
          </cell>
          <cell r="Q11">
            <v>11500</v>
          </cell>
          <cell r="R11">
            <v>11500</v>
          </cell>
          <cell r="S11">
            <v>12000</v>
          </cell>
        </row>
        <row r="12">
          <cell r="A12">
            <v>1023</v>
          </cell>
          <cell r="B12" t="str">
            <v>Delano Energy Company, Inc.</v>
          </cell>
          <cell r="C12" t="str">
            <v>NEG</v>
          </cell>
          <cell r="D12" t="str">
            <v>Biomass</v>
          </cell>
          <cell r="E12" t="str">
            <v>Bruce McCarthy</v>
          </cell>
          <cell r="F12" t="str">
            <v>Buyout Only</v>
          </cell>
          <cell r="G12">
            <v>30816</v>
          </cell>
          <cell r="H12">
            <v>30</v>
          </cell>
          <cell r="I12">
            <v>33053</v>
          </cell>
          <cell r="J12">
            <v>33120</v>
          </cell>
          <cell r="K12">
            <v>36525</v>
          </cell>
          <cell r="L12">
            <v>48100</v>
          </cell>
          <cell r="M12">
            <v>5250</v>
          </cell>
          <cell r="N12">
            <v>3050</v>
          </cell>
          <cell r="O12">
            <v>56400</v>
          </cell>
          <cell r="P12">
            <v>48100</v>
          </cell>
          <cell r="Q12">
            <v>5250</v>
          </cell>
          <cell r="R12">
            <v>53350</v>
          </cell>
          <cell r="S12">
            <v>56400</v>
          </cell>
        </row>
        <row r="13">
          <cell r="A13">
            <v>1024</v>
          </cell>
          <cell r="B13" t="str">
            <v>West Coast Cogeneration Inc.</v>
          </cell>
          <cell r="C13" t="str">
            <v>SO1</v>
          </cell>
          <cell r="D13" t="str">
            <v>Biomass</v>
          </cell>
          <cell r="E13" t="str">
            <v>Michele Walker</v>
          </cell>
          <cell r="F13" t="str">
            <v>Terminated</v>
          </cell>
          <cell r="G13">
            <v>34878</v>
          </cell>
          <cell r="H13">
            <v>30</v>
          </cell>
          <cell r="I13">
            <v>31544</v>
          </cell>
          <cell r="J13">
            <v>31827</v>
          </cell>
          <cell r="K13">
            <v>34897</v>
          </cell>
          <cell r="M13">
            <v>6500</v>
          </cell>
          <cell r="O13">
            <v>6500</v>
          </cell>
          <cell r="Q13">
            <v>6500</v>
          </cell>
          <cell r="R13">
            <v>6500</v>
          </cell>
          <cell r="S13">
            <v>6500</v>
          </cell>
        </row>
        <row r="14">
          <cell r="A14">
            <v>1026</v>
          </cell>
          <cell r="B14" t="str">
            <v>Commerce Refuse To Energy Authority</v>
          </cell>
          <cell r="C14" t="str">
            <v>NEG</v>
          </cell>
          <cell r="D14" t="str">
            <v>Biomass</v>
          </cell>
          <cell r="E14" t="str">
            <v>Cathy Mendoza</v>
          </cell>
          <cell r="F14" t="str">
            <v>Active</v>
          </cell>
          <cell r="G14">
            <v>30965</v>
          </cell>
          <cell r="H14">
            <v>30</v>
          </cell>
          <cell r="I14">
            <v>31729</v>
          </cell>
          <cell r="J14">
            <v>31778</v>
          </cell>
          <cell r="K14">
            <v>42735</v>
          </cell>
          <cell r="L14">
            <v>10050</v>
          </cell>
          <cell r="M14">
            <v>450</v>
          </cell>
          <cell r="N14">
            <v>1500</v>
          </cell>
          <cell r="O14">
            <v>12000</v>
          </cell>
          <cell r="P14">
            <v>10050</v>
          </cell>
          <cell r="Q14">
            <v>450</v>
          </cell>
          <cell r="R14">
            <v>10500</v>
          </cell>
          <cell r="S14">
            <v>12000</v>
          </cell>
        </row>
        <row r="15">
          <cell r="A15">
            <v>1027</v>
          </cell>
          <cell r="B15" t="str">
            <v>New Charleston Power I L.P.</v>
          </cell>
          <cell r="C15" t="str">
            <v>SO4</v>
          </cell>
          <cell r="D15" t="str">
            <v>Biomass</v>
          </cell>
          <cell r="E15" t="str">
            <v>Cynthia Shindle</v>
          </cell>
          <cell r="F15" t="str">
            <v>Terminated</v>
          </cell>
          <cell r="G15">
            <v>30970</v>
          </cell>
          <cell r="H15">
            <v>30</v>
          </cell>
          <cell r="I15">
            <v>32190</v>
          </cell>
          <cell r="J15">
            <v>32436</v>
          </cell>
          <cell r="K15">
            <v>43392</v>
          </cell>
          <cell r="L15">
            <v>15000</v>
          </cell>
          <cell r="O15">
            <v>15000</v>
          </cell>
          <cell r="P15">
            <v>15000</v>
          </cell>
          <cell r="R15">
            <v>15000</v>
          </cell>
          <cell r="S15">
            <v>15000</v>
          </cell>
        </row>
        <row r="16">
          <cell r="A16">
            <v>1028</v>
          </cell>
          <cell r="B16" t="str">
            <v>City of Long Beach</v>
          </cell>
          <cell r="C16" t="str">
            <v>NEG</v>
          </cell>
          <cell r="D16" t="str">
            <v>Biomass</v>
          </cell>
          <cell r="E16" t="str">
            <v>Pam Snethen</v>
          </cell>
          <cell r="F16" t="str">
            <v>Active</v>
          </cell>
          <cell r="G16">
            <v>31007</v>
          </cell>
          <cell r="H16">
            <v>30</v>
          </cell>
          <cell r="I16">
            <v>32328</v>
          </cell>
          <cell r="J16">
            <v>32485</v>
          </cell>
          <cell r="K16">
            <v>43441</v>
          </cell>
          <cell r="L16">
            <v>19700</v>
          </cell>
          <cell r="M16">
            <v>11400</v>
          </cell>
          <cell r="N16">
            <v>3500</v>
          </cell>
          <cell r="O16">
            <v>34600</v>
          </cell>
          <cell r="P16">
            <v>19700</v>
          </cell>
          <cell r="Q16">
            <v>11400</v>
          </cell>
          <cell r="R16">
            <v>31100</v>
          </cell>
          <cell r="S16">
            <v>34600</v>
          </cell>
        </row>
        <row r="17">
          <cell r="A17">
            <v>1029</v>
          </cell>
          <cell r="B17" t="str">
            <v>Gas Recovery Systems</v>
          </cell>
          <cell r="C17" t="str">
            <v>SO1</v>
          </cell>
          <cell r="D17" t="str">
            <v>Biomass</v>
          </cell>
          <cell r="E17" t="str">
            <v>Bruce McCarthy</v>
          </cell>
          <cell r="F17" t="str">
            <v>Terminated</v>
          </cell>
          <cell r="G17">
            <v>30987</v>
          </cell>
          <cell r="H17">
            <v>30</v>
          </cell>
          <cell r="I17">
            <v>32547</v>
          </cell>
          <cell r="J17">
            <v>32623</v>
          </cell>
          <cell r="K17">
            <v>36691</v>
          </cell>
          <cell r="L17">
            <v>17100</v>
          </cell>
          <cell r="N17">
            <v>2900</v>
          </cell>
          <cell r="O17">
            <v>20000</v>
          </cell>
          <cell r="P17">
            <v>17100</v>
          </cell>
          <cell r="R17">
            <v>17100</v>
          </cell>
          <cell r="S17">
            <v>20000</v>
          </cell>
        </row>
        <row r="18">
          <cell r="A18">
            <v>1031</v>
          </cell>
          <cell r="B18" t="str">
            <v>Sierra Power Corporation</v>
          </cell>
          <cell r="C18" t="str">
            <v>SO4</v>
          </cell>
          <cell r="D18" t="str">
            <v>Biomass</v>
          </cell>
          <cell r="E18" t="str">
            <v>Bruce McCarthy</v>
          </cell>
          <cell r="F18" t="str">
            <v>Terminated</v>
          </cell>
          <cell r="G18">
            <v>31034</v>
          </cell>
          <cell r="H18">
            <v>30</v>
          </cell>
          <cell r="I18">
            <v>31436</v>
          </cell>
          <cell r="J18">
            <v>31474</v>
          </cell>
          <cell r="K18">
            <v>35053</v>
          </cell>
          <cell r="M18">
            <v>9357</v>
          </cell>
          <cell r="O18">
            <v>9357</v>
          </cell>
          <cell r="Q18">
            <v>9357</v>
          </cell>
          <cell r="R18">
            <v>9357</v>
          </cell>
          <cell r="S18">
            <v>9357</v>
          </cell>
        </row>
        <row r="19">
          <cell r="A19">
            <v>1037</v>
          </cell>
          <cell r="B19" t="str">
            <v>Biogen Power I</v>
          </cell>
          <cell r="C19" t="str">
            <v>SO4</v>
          </cell>
          <cell r="D19" t="str">
            <v>Biomass</v>
          </cell>
          <cell r="E19" t="str">
            <v>Cynthia Shindle</v>
          </cell>
          <cell r="F19" t="str">
            <v>Terminated</v>
          </cell>
          <cell r="G19">
            <v>31147</v>
          </cell>
          <cell r="H19">
            <v>20</v>
          </cell>
          <cell r="I19">
            <v>32168</v>
          </cell>
          <cell r="J19">
            <v>32490</v>
          </cell>
          <cell r="K19">
            <v>34709</v>
          </cell>
          <cell r="L19">
            <v>14500</v>
          </cell>
          <cell r="M19">
            <v>1500</v>
          </cell>
          <cell r="N19">
            <v>2600</v>
          </cell>
          <cell r="O19">
            <v>18600</v>
          </cell>
          <cell r="P19">
            <v>14500</v>
          </cell>
          <cell r="Q19">
            <v>1500</v>
          </cell>
          <cell r="R19">
            <v>16000</v>
          </cell>
          <cell r="S19">
            <v>18600</v>
          </cell>
        </row>
        <row r="20">
          <cell r="A20">
            <v>1038</v>
          </cell>
          <cell r="B20" t="str">
            <v>Colmac Energy Incorporated</v>
          </cell>
          <cell r="C20" t="str">
            <v>SO4</v>
          </cell>
          <cell r="D20" t="str">
            <v>Biomass</v>
          </cell>
          <cell r="E20" t="str">
            <v>Anthony F Blakemore</v>
          </cell>
          <cell r="F20" t="str">
            <v>Active</v>
          </cell>
          <cell r="G20">
            <v>31154</v>
          </cell>
          <cell r="H20">
            <v>30</v>
          </cell>
          <cell r="I20">
            <v>33592</v>
          </cell>
          <cell r="J20">
            <v>33638</v>
          </cell>
          <cell r="K20">
            <v>44595</v>
          </cell>
          <cell r="L20">
            <v>45000</v>
          </cell>
          <cell r="N20">
            <v>4900</v>
          </cell>
          <cell r="O20">
            <v>49900</v>
          </cell>
          <cell r="P20">
            <v>45000</v>
          </cell>
          <cell r="R20">
            <v>45000</v>
          </cell>
          <cell r="S20">
            <v>49900</v>
          </cell>
        </row>
        <row r="21">
          <cell r="A21">
            <v>1040</v>
          </cell>
          <cell r="B21" t="str">
            <v>City of Corona</v>
          </cell>
          <cell r="C21" t="str">
            <v>SO4</v>
          </cell>
          <cell r="D21" t="str">
            <v>Biomass</v>
          </cell>
          <cell r="E21" t="str">
            <v>Michele Walker</v>
          </cell>
          <cell r="F21" t="str">
            <v>Terminated</v>
          </cell>
          <cell r="G21">
            <v>30957</v>
          </cell>
          <cell r="H21">
            <v>20</v>
          </cell>
          <cell r="I21">
            <v>31475</v>
          </cell>
          <cell r="J21">
            <v>31475</v>
          </cell>
          <cell r="K21">
            <v>38600</v>
          </cell>
          <cell r="M21">
            <v>5200</v>
          </cell>
          <cell r="O21">
            <v>5200</v>
          </cell>
          <cell r="Q21">
            <v>5200</v>
          </cell>
          <cell r="R21">
            <v>5200</v>
          </cell>
          <cell r="S21">
            <v>5200</v>
          </cell>
        </row>
        <row r="22">
          <cell r="A22">
            <v>1043</v>
          </cell>
          <cell r="B22" t="str">
            <v>Imperial Resource Recovery Assoc L. P.</v>
          </cell>
          <cell r="C22" t="str">
            <v>SO4</v>
          </cell>
          <cell r="D22" t="str">
            <v>Biomass</v>
          </cell>
          <cell r="E22" t="str">
            <v>Cynthia Shindle</v>
          </cell>
          <cell r="F22" t="str">
            <v>Terminated</v>
          </cell>
          <cell r="G22">
            <v>31153</v>
          </cell>
          <cell r="H22">
            <v>30</v>
          </cell>
          <cell r="I22">
            <v>32855</v>
          </cell>
          <cell r="J22">
            <v>32911</v>
          </cell>
          <cell r="K22">
            <v>43868</v>
          </cell>
          <cell r="L22">
            <v>15000</v>
          </cell>
          <cell r="O22">
            <v>15000</v>
          </cell>
          <cell r="P22">
            <v>15000</v>
          </cell>
          <cell r="R22">
            <v>15000</v>
          </cell>
          <cell r="S22">
            <v>15000</v>
          </cell>
        </row>
        <row r="23">
          <cell r="A23">
            <v>1056</v>
          </cell>
          <cell r="B23" t="str">
            <v>L.A. Co. Sanitation Dist #2807</v>
          </cell>
          <cell r="C23" t="str">
            <v>SO2</v>
          </cell>
          <cell r="D23" t="str">
            <v>Biomass</v>
          </cell>
          <cell r="E23" t="str">
            <v>Cynthia Shindle</v>
          </cell>
          <cell r="F23" t="str">
            <v>Terminated</v>
          </cell>
          <cell r="G23">
            <v>31422</v>
          </cell>
          <cell r="H23">
            <v>5</v>
          </cell>
          <cell r="I23">
            <v>31506</v>
          </cell>
          <cell r="J23">
            <v>33035</v>
          </cell>
          <cell r="K23">
            <v>34861</v>
          </cell>
          <cell r="L23">
            <v>1000</v>
          </cell>
          <cell r="N23">
            <v>17500</v>
          </cell>
          <cell r="O23">
            <v>18500</v>
          </cell>
          <cell r="P23">
            <v>1000</v>
          </cell>
          <cell r="R23">
            <v>1000</v>
          </cell>
          <cell r="S23">
            <v>18500</v>
          </cell>
        </row>
        <row r="24">
          <cell r="A24">
            <v>1068</v>
          </cell>
          <cell r="B24" t="str">
            <v>Co. San. Dist #32 of L.A. Co. (Valencia)</v>
          </cell>
          <cell r="C24" t="str">
            <v>NEG</v>
          </cell>
          <cell r="D24" t="str">
            <v>Biomass</v>
          </cell>
          <cell r="E24" t="str">
            <v>David R Cox</v>
          </cell>
          <cell r="F24" t="str">
            <v>Active</v>
          </cell>
          <cell r="G24">
            <v>31509</v>
          </cell>
          <cell r="H24">
            <v>1</v>
          </cell>
          <cell r="I24">
            <v>32042</v>
          </cell>
          <cell r="J24">
            <v>32042</v>
          </cell>
          <cell r="N24">
            <v>500</v>
          </cell>
          <cell r="O24">
            <v>500</v>
          </cell>
          <cell r="S24">
            <v>500</v>
          </cell>
        </row>
        <row r="25">
          <cell r="A25">
            <v>1077</v>
          </cell>
          <cell r="B25" t="str">
            <v>L.A. Co. Sanitation Dist  Spadra</v>
          </cell>
          <cell r="C25" t="str">
            <v>NEG</v>
          </cell>
          <cell r="D25" t="str">
            <v>Biomass</v>
          </cell>
          <cell r="E25" t="str">
            <v>Cathy Mendoza</v>
          </cell>
          <cell r="F25" t="str">
            <v>Active</v>
          </cell>
          <cell r="G25">
            <v>31590</v>
          </cell>
          <cell r="H25">
            <v>30</v>
          </cell>
          <cell r="I25">
            <v>32925</v>
          </cell>
          <cell r="J25">
            <v>33332</v>
          </cell>
          <cell r="K25">
            <v>44289</v>
          </cell>
          <cell r="L25">
            <v>7000</v>
          </cell>
          <cell r="M25">
            <v>1000</v>
          </cell>
          <cell r="N25">
            <v>1000</v>
          </cell>
          <cell r="O25">
            <v>9000</v>
          </cell>
          <cell r="P25">
            <v>7000</v>
          </cell>
          <cell r="Q25">
            <v>1000</v>
          </cell>
          <cell r="R25">
            <v>8000</v>
          </cell>
          <cell r="S25">
            <v>8000</v>
          </cell>
        </row>
        <row r="26">
          <cell r="A26">
            <v>1082</v>
          </cell>
          <cell r="B26" t="str">
            <v>L.A. Co. Sanitation Dist #C-2850</v>
          </cell>
          <cell r="C26" t="str">
            <v>NEG</v>
          </cell>
          <cell r="D26" t="str">
            <v>Biomass</v>
          </cell>
          <cell r="E26" t="str">
            <v>Cathy Mendoza</v>
          </cell>
          <cell r="F26" t="str">
            <v>Active</v>
          </cell>
          <cell r="G26">
            <v>31590</v>
          </cell>
          <cell r="H26">
            <v>20</v>
          </cell>
          <cell r="I26">
            <v>32283</v>
          </cell>
          <cell r="J26">
            <v>32498</v>
          </cell>
          <cell r="K26">
            <v>39802</v>
          </cell>
          <cell r="L26">
            <v>3000</v>
          </cell>
          <cell r="M26">
            <v>4000</v>
          </cell>
          <cell r="N26">
            <v>6000</v>
          </cell>
          <cell r="O26">
            <v>13000</v>
          </cell>
          <cell r="P26">
            <v>3000</v>
          </cell>
          <cell r="Q26">
            <v>4000</v>
          </cell>
          <cell r="R26">
            <v>7000</v>
          </cell>
          <cell r="S26">
            <v>13000</v>
          </cell>
        </row>
        <row r="27">
          <cell r="A27">
            <v>1087</v>
          </cell>
          <cell r="B27" t="str">
            <v>Royal Farms #2</v>
          </cell>
          <cell r="C27" t="str">
            <v>SO3</v>
          </cell>
          <cell r="D27" t="str">
            <v>Biomass</v>
          </cell>
          <cell r="E27" t="str">
            <v>Pam Snethen</v>
          </cell>
          <cell r="F27" t="str">
            <v>Active</v>
          </cell>
          <cell r="G27">
            <v>31717</v>
          </cell>
          <cell r="H27">
            <v>1</v>
          </cell>
          <cell r="I27">
            <v>31862</v>
          </cell>
          <cell r="J27">
            <v>31862</v>
          </cell>
          <cell r="N27">
            <v>100</v>
          </cell>
          <cell r="O27">
            <v>100</v>
          </cell>
          <cell r="S27">
            <v>100</v>
          </cell>
        </row>
        <row r="28">
          <cell r="A28">
            <v>1088</v>
          </cell>
          <cell r="B28" t="str">
            <v>Sharp Ranch</v>
          </cell>
          <cell r="C28" t="str">
            <v>SO3</v>
          </cell>
          <cell r="D28" t="str">
            <v>Biomass</v>
          </cell>
          <cell r="E28" t="str">
            <v>Anthony F Blakemore</v>
          </cell>
          <cell r="F28" t="str">
            <v>Active</v>
          </cell>
          <cell r="G28">
            <v>31717</v>
          </cell>
          <cell r="H28">
            <v>1</v>
          </cell>
          <cell r="I28">
            <v>31867</v>
          </cell>
          <cell r="J28">
            <v>31867</v>
          </cell>
          <cell r="N28">
            <v>75</v>
          </cell>
          <cell r="O28">
            <v>75</v>
          </cell>
          <cell r="S28">
            <v>75</v>
          </cell>
        </row>
        <row r="29">
          <cell r="A29">
            <v>1090</v>
          </cell>
          <cell r="B29" t="str">
            <v>L.A. Co. Sanitation Dist</v>
          </cell>
          <cell r="C29" t="str">
            <v>NEG</v>
          </cell>
          <cell r="D29" t="str">
            <v>Biomass</v>
          </cell>
          <cell r="E29" t="str">
            <v>Cathy Mendoza</v>
          </cell>
          <cell r="F29" t="str">
            <v>Active</v>
          </cell>
          <cell r="G29">
            <v>31034</v>
          </cell>
          <cell r="H29">
            <v>30</v>
          </cell>
          <cell r="I29">
            <v>31632</v>
          </cell>
          <cell r="J29">
            <v>31778</v>
          </cell>
          <cell r="K29">
            <v>42735</v>
          </cell>
          <cell r="L29">
            <v>46000</v>
          </cell>
          <cell r="N29">
            <v>4000</v>
          </cell>
          <cell r="O29">
            <v>50000</v>
          </cell>
          <cell r="P29">
            <v>46000</v>
          </cell>
          <cell r="R29">
            <v>46000</v>
          </cell>
          <cell r="S29">
            <v>50000</v>
          </cell>
        </row>
        <row r="30">
          <cell r="A30">
            <v>1091</v>
          </cell>
          <cell r="B30" t="str">
            <v>North American Trading &amp; Marketing, Inc.</v>
          </cell>
          <cell r="C30" t="str">
            <v>ERR</v>
          </cell>
          <cell r="D30" t="str">
            <v>Biomass</v>
          </cell>
          <cell r="E30" t="str">
            <v>Anthony F Blakemore</v>
          </cell>
          <cell r="F30" t="str">
            <v>Active</v>
          </cell>
          <cell r="G30">
            <v>37610</v>
          </cell>
          <cell r="H30">
            <v>15</v>
          </cell>
        </row>
        <row r="31">
          <cell r="A31">
            <v>1092</v>
          </cell>
          <cell r="B31" t="str">
            <v>Bio Energy Partners</v>
          </cell>
          <cell r="C31" t="str">
            <v>SO1</v>
          </cell>
          <cell r="D31" t="str">
            <v>Biomass</v>
          </cell>
          <cell r="E31" t="str">
            <v>Bruce McCarthy</v>
          </cell>
          <cell r="F31" t="str">
            <v>Terminated</v>
          </cell>
          <cell r="G31">
            <v>33620</v>
          </cell>
          <cell r="H31">
            <v>30</v>
          </cell>
          <cell r="K31">
            <v>34352</v>
          </cell>
        </row>
        <row r="32">
          <cell r="A32">
            <v>1093</v>
          </cell>
          <cell r="B32" t="str">
            <v>WM Energy Solutions, Inc. (El Sobrante)</v>
          </cell>
          <cell r="C32" t="str">
            <v>ERR</v>
          </cell>
          <cell r="D32" t="str">
            <v>Biomass</v>
          </cell>
          <cell r="E32" t="str">
            <v>Pam Snethen</v>
          </cell>
          <cell r="F32" t="str">
            <v>Active</v>
          </cell>
          <cell r="G32">
            <v>37610</v>
          </cell>
          <cell r="H32">
            <v>10</v>
          </cell>
          <cell r="I32">
            <v>38031</v>
          </cell>
          <cell r="J32">
            <v>38101</v>
          </cell>
          <cell r="K32">
            <v>41698</v>
          </cell>
          <cell r="L32">
            <v>2490</v>
          </cell>
          <cell r="O32">
            <v>2490</v>
          </cell>
          <cell r="P32">
            <v>2490</v>
          </cell>
          <cell r="R32">
            <v>2490</v>
          </cell>
          <cell r="S32">
            <v>2490</v>
          </cell>
        </row>
        <row r="33">
          <cell r="A33">
            <v>1095</v>
          </cell>
          <cell r="B33" t="str">
            <v>WM Energy Solutions, Inc. (Simi Valley)</v>
          </cell>
          <cell r="C33" t="str">
            <v>ERR</v>
          </cell>
          <cell r="D33" t="str">
            <v>Biomass</v>
          </cell>
          <cell r="E33" t="str">
            <v>Pam Snethen</v>
          </cell>
          <cell r="F33" t="str">
            <v>Active</v>
          </cell>
          <cell r="G33">
            <v>37610</v>
          </cell>
          <cell r="H33">
            <v>10</v>
          </cell>
          <cell r="I33">
            <v>38019</v>
          </cell>
          <cell r="J33">
            <v>38107</v>
          </cell>
          <cell r="K33">
            <v>41698</v>
          </cell>
          <cell r="L33">
            <v>2490</v>
          </cell>
          <cell r="O33">
            <v>2490</v>
          </cell>
          <cell r="P33">
            <v>2490</v>
          </cell>
          <cell r="R33">
            <v>2490</v>
          </cell>
          <cell r="S33">
            <v>2490</v>
          </cell>
        </row>
        <row r="34">
          <cell r="A34">
            <v>1096</v>
          </cell>
          <cell r="B34" t="str">
            <v>West Coast Cogeneration Inc.</v>
          </cell>
          <cell r="C34" t="str">
            <v>SO1</v>
          </cell>
          <cell r="D34" t="str">
            <v>Biomass</v>
          </cell>
          <cell r="E34" t="str">
            <v>Michele Walker</v>
          </cell>
          <cell r="F34" t="str">
            <v>Terminated</v>
          </cell>
          <cell r="G34">
            <v>34878</v>
          </cell>
          <cell r="H34">
            <v>30</v>
          </cell>
          <cell r="I34">
            <v>34132</v>
          </cell>
          <cell r="J34">
            <v>34133</v>
          </cell>
          <cell r="K34">
            <v>35342</v>
          </cell>
          <cell r="S34">
            <v>6500</v>
          </cell>
        </row>
        <row r="35">
          <cell r="A35">
            <v>1098</v>
          </cell>
          <cell r="B35" t="str">
            <v>Orange County Sanitation District</v>
          </cell>
          <cell r="C35" t="str">
            <v>SO1</v>
          </cell>
          <cell r="D35" t="str">
            <v>Biomass</v>
          </cell>
          <cell r="E35" t="str">
            <v>David R Cox</v>
          </cell>
          <cell r="F35" t="str">
            <v>Active</v>
          </cell>
          <cell r="G35">
            <v>33490</v>
          </cell>
          <cell r="H35">
            <v>30</v>
          </cell>
          <cell r="I35">
            <v>34177</v>
          </cell>
          <cell r="J35">
            <v>34177</v>
          </cell>
          <cell r="K35">
            <v>45133</v>
          </cell>
          <cell r="M35">
            <v>8800</v>
          </cell>
          <cell r="N35">
            <v>3200</v>
          </cell>
          <cell r="O35">
            <v>12000</v>
          </cell>
          <cell r="Q35">
            <v>8800</v>
          </cell>
          <cell r="R35">
            <v>8800</v>
          </cell>
          <cell r="S35">
            <v>12000</v>
          </cell>
        </row>
        <row r="36">
          <cell r="A36">
            <v>1099</v>
          </cell>
          <cell r="B36" t="str">
            <v>Inland Empire Utilities Agency</v>
          </cell>
          <cell r="C36" t="str">
            <v>SO1</v>
          </cell>
          <cell r="D36" t="str">
            <v>Biomass</v>
          </cell>
          <cell r="E36" t="str">
            <v>Anthony F Blakemore</v>
          </cell>
          <cell r="F36" t="str">
            <v>Active</v>
          </cell>
          <cell r="G36">
            <v>33906</v>
          </cell>
          <cell r="H36">
            <v>30</v>
          </cell>
          <cell r="I36">
            <v>33966</v>
          </cell>
          <cell r="J36">
            <v>33966</v>
          </cell>
          <cell r="K36">
            <v>44922</v>
          </cell>
          <cell r="N36">
            <v>580</v>
          </cell>
          <cell r="O36">
            <v>580</v>
          </cell>
          <cell r="S36">
            <v>580</v>
          </cell>
        </row>
        <row r="37">
          <cell r="A37">
            <v>1100</v>
          </cell>
          <cell r="B37" t="str">
            <v>City of Tulare</v>
          </cell>
          <cell r="C37" t="str">
            <v>SO1</v>
          </cell>
          <cell r="D37" t="str">
            <v>Biomass</v>
          </cell>
          <cell r="E37" t="str">
            <v>Cathy Mendoza</v>
          </cell>
          <cell r="F37" t="str">
            <v>Terminated</v>
          </cell>
          <cell r="G37">
            <v>33820</v>
          </cell>
          <cell r="H37">
            <v>30</v>
          </cell>
          <cell r="I37">
            <v>33941</v>
          </cell>
          <cell r="J37">
            <v>33941</v>
          </cell>
          <cell r="K37">
            <v>36272</v>
          </cell>
          <cell r="M37">
            <v>30</v>
          </cell>
          <cell r="N37">
            <v>375</v>
          </cell>
          <cell r="O37">
            <v>405</v>
          </cell>
          <cell r="Q37">
            <v>30</v>
          </cell>
          <cell r="R37">
            <v>30</v>
          </cell>
          <cell r="S37">
            <v>405</v>
          </cell>
        </row>
        <row r="38">
          <cell r="A38">
            <v>1102</v>
          </cell>
          <cell r="B38" t="str">
            <v>Hanson Aggregates WRP, Inc.</v>
          </cell>
          <cell r="C38" t="str">
            <v>SO1</v>
          </cell>
          <cell r="D38" t="str">
            <v>Biomass</v>
          </cell>
          <cell r="E38" t="str">
            <v>Anthony F Blakemore</v>
          </cell>
          <cell r="F38" t="str">
            <v>Active</v>
          </cell>
          <cell r="G38">
            <v>32713</v>
          </cell>
          <cell r="H38">
            <v>1</v>
          </cell>
          <cell r="I38">
            <v>31868</v>
          </cell>
          <cell r="J38">
            <v>31868</v>
          </cell>
          <cell r="M38">
            <v>250</v>
          </cell>
          <cell r="O38">
            <v>250</v>
          </cell>
          <cell r="Q38">
            <v>250</v>
          </cell>
          <cell r="R38">
            <v>250</v>
          </cell>
          <cell r="S38">
            <v>250</v>
          </cell>
        </row>
        <row r="39">
          <cell r="A39">
            <v>1103</v>
          </cell>
          <cell r="B39" t="str">
            <v>MM Tulare Energy LLC</v>
          </cell>
          <cell r="C39" t="str">
            <v>SO1</v>
          </cell>
          <cell r="D39" t="str">
            <v>Biomass</v>
          </cell>
          <cell r="E39" t="str">
            <v>Michele Walker</v>
          </cell>
          <cell r="F39" t="str">
            <v>Active</v>
          </cell>
          <cell r="G39">
            <v>35396</v>
          </cell>
          <cell r="H39">
            <v>5</v>
          </cell>
          <cell r="I39">
            <v>35923</v>
          </cell>
          <cell r="J39">
            <v>35923</v>
          </cell>
          <cell r="K39">
            <v>39082</v>
          </cell>
          <cell r="M39">
            <v>1450</v>
          </cell>
          <cell r="N39">
            <v>450</v>
          </cell>
          <cell r="O39">
            <v>1900</v>
          </cell>
          <cell r="Q39">
            <v>1450</v>
          </cell>
          <cell r="R39">
            <v>1450</v>
          </cell>
          <cell r="S39">
            <v>1900</v>
          </cell>
        </row>
        <row r="40">
          <cell r="A40">
            <v>1104</v>
          </cell>
          <cell r="B40" t="str">
            <v>MM Tajiguas Energy LLC</v>
          </cell>
          <cell r="C40" t="str">
            <v>SO1</v>
          </cell>
          <cell r="D40" t="str">
            <v>Biomass</v>
          </cell>
          <cell r="E40" t="str">
            <v>Michele Walker</v>
          </cell>
          <cell r="F40" t="str">
            <v>Active</v>
          </cell>
          <cell r="G40">
            <v>35391</v>
          </cell>
          <cell r="H40">
            <v>5</v>
          </cell>
          <cell r="I40">
            <v>36743</v>
          </cell>
          <cell r="J40">
            <v>36800</v>
          </cell>
          <cell r="K40">
            <v>39082</v>
          </cell>
          <cell r="M40">
            <v>2750</v>
          </cell>
          <cell r="N40">
            <v>300</v>
          </cell>
          <cell r="O40">
            <v>3050</v>
          </cell>
          <cell r="Q40">
            <v>2750</v>
          </cell>
          <cell r="R40">
            <v>2750</v>
          </cell>
          <cell r="S40">
            <v>3050</v>
          </cell>
        </row>
        <row r="41">
          <cell r="A41">
            <v>1105</v>
          </cell>
          <cell r="B41" t="str">
            <v>MM Lopez Energy LLC</v>
          </cell>
          <cell r="C41" t="str">
            <v>SO1</v>
          </cell>
          <cell r="D41" t="str">
            <v>Biomass</v>
          </cell>
          <cell r="E41" t="str">
            <v>Michele Walker</v>
          </cell>
          <cell r="F41" t="str">
            <v>Active</v>
          </cell>
          <cell r="G41">
            <v>35396</v>
          </cell>
          <cell r="H41">
            <v>5</v>
          </cell>
          <cell r="I41">
            <v>36165</v>
          </cell>
          <cell r="J41">
            <v>36165</v>
          </cell>
          <cell r="K41">
            <v>39082</v>
          </cell>
          <cell r="M41">
            <v>6000</v>
          </cell>
          <cell r="O41">
            <v>6000</v>
          </cell>
          <cell r="Q41">
            <v>6000</v>
          </cell>
          <cell r="R41">
            <v>6000</v>
          </cell>
          <cell r="S41">
            <v>6000</v>
          </cell>
        </row>
        <row r="42">
          <cell r="A42">
            <v>1106</v>
          </cell>
          <cell r="B42" t="str">
            <v>Minnesota Methane (Yolo)</v>
          </cell>
          <cell r="C42" t="str">
            <v>SO1</v>
          </cell>
          <cell r="D42" t="str">
            <v>Biomass</v>
          </cell>
          <cell r="E42" t="str">
            <v>Michele Walker</v>
          </cell>
          <cell r="F42" t="str">
            <v>Active</v>
          </cell>
          <cell r="G42">
            <v>35396</v>
          </cell>
          <cell r="H42">
            <v>5</v>
          </cell>
          <cell r="I42">
            <v>35490</v>
          </cell>
          <cell r="J42">
            <v>35490</v>
          </cell>
          <cell r="K42">
            <v>39082</v>
          </cell>
          <cell r="M42">
            <v>2450</v>
          </cell>
          <cell r="O42">
            <v>2450</v>
          </cell>
          <cell r="Q42">
            <v>2450</v>
          </cell>
          <cell r="R42">
            <v>2450</v>
          </cell>
          <cell r="S42">
            <v>2450</v>
          </cell>
        </row>
        <row r="43">
          <cell r="A43">
            <v>1107</v>
          </cell>
          <cell r="B43" t="str">
            <v>Cambrian Energy Woodville LLC</v>
          </cell>
          <cell r="C43" t="str">
            <v>SO1</v>
          </cell>
          <cell r="D43" t="str">
            <v>Biomass</v>
          </cell>
          <cell r="E43" t="str">
            <v>Michele Walker</v>
          </cell>
          <cell r="F43" t="str">
            <v>Active</v>
          </cell>
          <cell r="G43">
            <v>35396</v>
          </cell>
          <cell r="H43">
            <v>2</v>
          </cell>
          <cell r="I43">
            <v>36511</v>
          </cell>
          <cell r="J43">
            <v>36708</v>
          </cell>
          <cell r="K43">
            <v>39082</v>
          </cell>
          <cell r="M43">
            <v>570</v>
          </cell>
          <cell r="N43">
            <v>30</v>
          </cell>
          <cell r="O43">
            <v>600</v>
          </cell>
          <cell r="Q43">
            <v>570</v>
          </cell>
          <cell r="R43">
            <v>570</v>
          </cell>
          <cell r="S43">
            <v>600</v>
          </cell>
        </row>
        <row r="44">
          <cell r="A44">
            <v>1109</v>
          </cell>
          <cell r="B44" t="str">
            <v>Highgrove Energy LLC</v>
          </cell>
          <cell r="C44" t="str">
            <v>SO1</v>
          </cell>
          <cell r="D44" t="str">
            <v>Biomass</v>
          </cell>
          <cell r="E44" t="str">
            <v>Michele Walker</v>
          </cell>
          <cell r="F44" t="str">
            <v>Terminated</v>
          </cell>
          <cell r="G44">
            <v>35396</v>
          </cell>
          <cell r="H44">
            <v>5</v>
          </cell>
          <cell r="K44">
            <v>37255</v>
          </cell>
          <cell r="M44">
            <v>950</v>
          </cell>
          <cell r="O44">
            <v>950</v>
          </cell>
          <cell r="Q44">
            <v>950</v>
          </cell>
          <cell r="R44">
            <v>950</v>
          </cell>
          <cell r="S44">
            <v>950</v>
          </cell>
        </row>
        <row r="45">
          <cell r="A45">
            <v>1110</v>
          </cell>
          <cell r="B45" t="str">
            <v>MM West Covina LLC (BKK I)</v>
          </cell>
          <cell r="C45" t="str">
            <v>SO1</v>
          </cell>
          <cell r="D45" t="str">
            <v>Biomass</v>
          </cell>
          <cell r="E45" t="str">
            <v>Michele Walker</v>
          </cell>
          <cell r="F45" t="str">
            <v>Active</v>
          </cell>
          <cell r="G45">
            <v>35396</v>
          </cell>
          <cell r="H45">
            <v>5</v>
          </cell>
          <cell r="I45">
            <v>35343</v>
          </cell>
          <cell r="J45">
            <v>35343</v>
          </cell>
          <cell r="K45">
            <v>39082</v>
          </cell>
          <cell r="M45">
            <v>3250</v>
          </cell>
          <cell r="N45">
            <v>3250</v>
          </cell>
          <cell r="O45">
            <v>6500</v>
          </cell>
          <cell r="Q45">
            <v>3250</v>
          </cell>
          <cell r="R45">
            <v>3250</v>
          </cell>
          <cell r="S45">
            <v>6500</v>
          </cell>
        </row>
        <row r="46">
          <cell r="A46">
            <v>1111</v>
          </cell>
          <cell r="B46" t="str">
            <v>MM West Covina LLC (BKK II)</v>
          </cell>
          <cell r="C46" t="str">
            <v>SO1</v>
          </cell>
          <cell r="D46" t="str">
            <v>Biomass</v>
          </cell>
          <cell r="E46" t="str">
            <v>Michele Walker</v>
          </cell>
          <cell r="F46" t="str">
            <v>Active</v>
          </cell>
          <cell r="G46">
            <v>35396</v>
          </cell>
          <cell r="H46">
            <v>5</v>
          </cell>
          <cell r="I46">
            <v>35343</v>
          </cell>
          <cell r="J46">
            <v>35343</v>
          </cell>
          <cell r="K46">
            <v>39082</v>
          </cell>
          <cell r="M46">
            <v>6500</v>
          </cell>
          <cell r="O46">
            <v>6500</v>
          </cell>
          <cell r="Q46">
            <v>6500</v>
          </cell>
          <cell r="R46">
            <v>6500</v>
          </cell>
          <cell r="S46">
            <v>6500</v>
          </cell>
        </row>
        <row r="47">
          <cell r="A47">
            <v>1112</v>
          </cell>
          <cell r="B47" t="str">
            <v>West Covina Energy LLC</v>
          </cell>
          <cell r="C47" t="str">
            <v>SO1</v>
          </cell>
          <cell r="D47" t="str">
            <v>Biomass</v>
          </cell>
          <cell r="E47" t="str">
            <v>Michele Walker</v>
          </cell>
          <cell r="F47" t="str">
            <v>Terminated</v>
          </cell>
          <cell r="G47">
            <v>35396</v>
          </cell>
          <cell r="H47">
            <v>5</v>
          </cell>
          <cell r="K47">
            <v>37255</v>
          </cell>
        </row>
        <row r="48">
          <cell r="A48">
            <v>1114</v>
          </cell>
          <cell r="B48" t="str">
            <v>IEUA</v>
          </cell>
          <cell r="C48" t="str">
            <v>NEG</v>
          </cell>
          <cell r="D48" t="str">
            <v>Biomass</v>
          </cell>
          <cell r="E48" t="str">
            <v>Michele Walker</v>
          </cell>
          <cell r="F48" t="str">
            <v>Terminated</v>
          </cell>
          <cell r="G48">
            <v>36224</v>
          </cell>
          <cell r="H48">
            <v>1</v>
          </cell>
          <cell r="I48">
            <v>36231</v>
          </cell>
          <cell r="K48">
            <v>36223</v>
          </cell>
        </row>
        <row r="49">
          <cell r="A49">
            <v>1115</v>
          </cell>
          <cell r="B49" t="str">
            <v>Wheelabrator Martell, Inc.</v>
          </cell>
          <cell r="C49" t="str">
            <v>SO1</v>
          </cell>
          <cell r="D49" t="str">
            <v>Biomass</v>
          </cell>
          <cell r="E49" t="str">
            <v>Pam Snethen</v>
          </cell>
          <cell r="F49" t="str">
            <v>Inactive</v>
          </cell>
          <cell r="G49">
            <v>35747</v>
          </cell>
          <cell r="H49">
            <v>0</v>
          </cell>
          <cell r="I49">
            <v>35760</v>
          </cell>
          <cell r="K49">
            <v>37255</v>
          </cell>
        </row>
        <row r="50">
          <cell r="A50">
            <v>1126</v>
          </cell>
          <cell r="B50" t="str">
            <v>Ventura Regional Sanitation District</v>
          </cell>
          <cell r="C50" t="str">
            <v>NEG</v>
          </cell>
          <cell r="D50" t="str">
            <v>Biomass</v>
          </cell>
          <cell r="E50" t="str">
            <v>David R Cox</v>
          </cell>
          <cell r="F50" t="str">
            <v>Active</v>
          </cell>
          <cell r="G50">
            <v>38231</v>
          </cell>
          <cell r="H50">
            <v>5</v>
          </cell>
          <cell r="I50">
            <v>38232</v>
          </cell>
          <cell r="J50">
            <v>38232</v>
          </cell>
          <cell r="K50">
            <v>40056</v>
          </cell>
          <cell r="M50">
            <v>70</v>
          </cell>
          <cell r="O50">
            <v>70</v>
          </cell>
          <cell r="Q50">
            <v>70</v>
          </cell>
          <cell r="R50">
            <v>70</v>
          </cell>
          <cell r="S50">
            <v>70</v>
          </cell>
        </row>
        <row r="51">
          <cell r="A51">
            <v>1207</v>
          </cell>
          <cell r="B51" t="str">
            <v>Liberty I Biofuels Power, LLC</v>
          </cell>
          <cell r="C51" t="str">
            <v>ERR</v>
          </cell>
          <cell r="D51" t="str">
            <v>Biomass</v>
          </cell>
          <cell r="E51" t="str">
            <v>Pam Snethen</v>
          </cell>
          <cell r="F51" t="str">
            <v>Active</v>
          </cell>
          <cell r="G51">
            <v>38419</v>
          </cell>
          <cell r="H51">
            <v>15</v>
          </cell>
          <cell r="I51">
            <v>39447</v>
          </cell>
          <cell r="S51">
            <v>5000</v>
          </cell>
        </row>
        <row r="52">
          <cell r="A52">
            <v>1208</v>
          </cell>
          <cell r="B52" t="str">
            <v>Sierra Biomass LLC</v>
          </cell>
          <cell r="C52" t="str">
            <v>ERR</v>
          </cell>
          <cell r="D52" t="str">
            <v>Biomass</v>
          </cell>
          <cell r="E52" t="str">
            <v>David R Cox</v>
          </cell>
          <cell r="F52" t="str">
            <v>Active</v>
          </cell>
          <cell r="G52">
            <v>38419</v>
          </cell>
          <cell r="H52">
            <v>20</v>
          </cell>
          <cell r="I52">
            <v>39447</v>
          </cell>
          <cell r="S52">
            <v>7500</v>
          </cell>
        </row>
        <row r="53">
          <cell r="A53">
            <v>1901</v>
          </cell>
          <cell r="B53" t="str">
            <v>Bowerman Renewable Power partners, L.P.</v>
          </cell>
          <cell r="C53" t="str">
            <v>BRPU</v>
          </cell>
          <cell r="D53" t="str">
            <v>Biomass</v>
          </cell>
          <cell r="E53" t="str">
            <v>Cynthia Shindle</v>
          </cell>
          <cell r="F53" t="str">
            <v>Terminated</v>
          </cell>
          <cell r="G53">
            <v>36161</v>
          </cell>
          <cell r="H53">
            <v>0</v>
          </cell>
          <cell r="I53">
            <v>36161</v>
          </cell>
        </row>
        <row r="54">
          <cell r="A54">
            <v>1903</v>
          </cell>
          <cell r="B54" t="str">
            <v>BTI-Chino, Inc.</v>
          </cell>
          <cell r="C54" t="str">
            <v>BRPU</v>
          </cell>
          <cell r="D54" t="str">
            <v>Biomass</v>
          </cell>
          <cell r="E54" t="str">
            <v>Cynthia Shindle</v>
          </cell>
          <cell r="F54" t="str">
            <v>Terminated</v>
          </cell>
          <cell r="G54">
            <v>36100</v>
          </cell>
          <cell r="H54">
            <v>0</v>
          </cell>
        </row>
        <row r="55">
          <cell r="A55">
            <v>2003</v>
          </cell>
          <cell r="B55" t="str">
            <v>Rhodia, Inc.</v>
          </cell>
          <cell r="C55" t="str">
            <v>SO1</v>
          </cell>
          <cell r="D55" t="str">
            <v>Cogeneration</v>
          </cell>
          <cell r="E55" t="str">
            <v>Anthony F Blakemore</v>
          </cell>
          <cell r="F55" t="str">
            <v>Active</v>
          </cell>
          <cell r="G55">
            <v>33950</v>
          </cell>
          <cell r="H55">
            <v>1</v>
          </cell>
          <cell r="I55">
            <v>27978</v>
          </cell>
          <cell r="J55">
            <v>27978</v>
          </cell>
          <cell r="N55">
            <v>5000</v>
          </cell>
          <cell r="O55">
            <v>5000</v>
          </cell>
          <cell r="S55">
            <v>5000</v>
          </cell>
        </row>
        <row r="56">
          <cell r="A56">
            <v>2005</v>
          </cell>
          <cell r="B56" t="str">
            <v>Chevron, USA, Inc. #1</v>
          </cell>
          <cell r="C56" t="str">
            <v>NEG</v>
          </cell>
          <cell r="D56" t="str">
            <v>Cogeneration</v>
          </cell>
          <cell r="E56" t="str">
            <v>David R Cox</v>
          </cell>
          <cell r="F56" t="str">
            <v>Active</v>
          </cell>
          <cell r="G56">
            <v>30831</v>
          </cell>
          <cell r="H56">
            <v>1</v>
          </cell>
          <cell r="I56">
            <v>28079</v>
          </cell>
          <cell r="J56">
            <v>28079</v>
          </cell>
          <cell r="N56">
            <v>1500</v>
          </cell>
          <cell r="O56">
            <v>1500</v>
          </cell>
          <cell r="S56">
            <v>1500</v>
          </cell>
        </row>
        <row r="57">
          <cell r="A57">
            <v>2006</v>
          </cell>
          <cell r="B57" t="str">
            <v>Vintage Petroleum Inc.</v>
          </cell>
          <cell r="C57" t="str">
            <v>NEG</v>
          </cell>
          <cell r="D57" t="str">
            <v>Cogeneration</v>
          </cell>
          <cell r="E57" t="str">
            <v>Bruce McCarthy</v>
          </cell>
          <cell r="F57" t="str">
            <v>Terminated</v>
          </cell>
          <cell r="G57">
            <v>28980</v>
          </cell>
          <cell r="H57">
            <v>1</v>
          </cell>
          <cell r="I57">
            <v>29291</v>
          </cell>
          <cell r="J57">
            <v>29291</v>
          </cell>
          <cell r="K57">
            <v>36828</v>
          </cell>
          <cell r="N57">
            <v>3300</v>
          </cell>
          <cell r="O57">
            <v>3300</v>
          </cell>
          <cell r="S57">
            <v>3300</v>
          </cell>
        </row>
        <row r="58">
          <cell r="A58">
            <v>2007</v>
          </cell>
          <cell r="B58" t="str">
            <v>Searles Valley Minerals Operations, Inc.</v>
          </cell>
          <cell r="C58" t="str">
            <v>RSO1</v>
          </cell>
          <cell r="D58" t="str">
            <v>Cogeneration</v>
          </cell>
          <cell r="E58" t="str">
            <v>David R Cox</v>
          </cell>
          <cell r="F58" t="str">
            <v>Active</v>
          </cell>
          <cell r="G58">
            <v>29000</v>
          </cell>
          <cell r="H58">
            <v>1</v>
          </cell>
          <cell r="I58">
            <v>29031</v>
          </cell>
          <cell r="J58">
            <v>29031</v>
          </cell>
          <cell r="K58">
            <v>40178</v>
          </cell>
          <cell r="M58">
            <v>15000</v>
          </cell>
          <cell r="O58">
            <v>15000</v>
          </cell>
          <cell r="Q58">
            <v>15000</v>
          </cell>
          <cell r="R58">
            <v>15000</v>
          </cell>
          <cell r="S58">
            <v>15000</v>
          </cell>
        </row>
        <row r="59">
          <cell r="A59">
            <v>2008</v>
          </cell>
          <cell r="B59" t="str">
            <v>Riverside Cement Company</v>
          </cell>
          <cell r="C59" t="str">
            <v>NEG</v>
          </cell>
          <cell r="D59" t="str">
            <v>Cogeneration</v>
          </cell>
          <cell r="E59" t="str">
            <v>Bruce McCarthy</v>
          </cell>
          <cell r="F59" t="str">
            <v>Terminated</v>
          </cell>
          <cell r="G59">
            <v>28982</v>
          </cell>
          <cell r="H59">
            <v>1</v>
          </cell>
          <cell r="I59">
            <v>29014</v>
          </cell>
          <cell r="J59">
            <v>29014</v>
          </cell>
          <cell r="K59">
            <v>37265</v>
          </cell>
          <cell r="N59">
            <v>17000</v>
          </cell>
          <cell r="O59">
            <v>17000</v>
          </cell>
          <cell r="S59">
            <v>17000</v>
          </cell>
        </row>
        <row r="60">
          <cell r="A60">
            <v>2010</v>
          </cell>
          <cell r="B60" t="str">
            <v>Loma Linda University</v>
          </cell>
          <cell r="C60" t="str">
            <v>SO1</v>
          </cell>
          <cell r="D60" t="str">
            <v>Cogeneration</v>
          </cell>
          <cell r="E60" t="str">
            <v>Anthony F Blakemore</v>
          </cell>
          <cell r="F60" t="str">
            <v>Active</v>
          </cell>
          <cell r="G60">
            <v>32846</v>
          </cell>
          <cell r="H60">
            <v>30</v>
          </cell>
          <cell r="I60">
            <v>29312</v>
          </cell>
          <cell r="J60">
            <v>32846</v>
          </cell>
          <cell r="K60">
            <v>43802</v>
          </cell>
          <cell r="M60">
            <v>3800</v>
          </cell>
          <cell r="N60">
            <v>9600</v>
          </cell>
          <cell r="O60">
            <v>13400</v>
          </cell>
          <cell r="Q60">
            <v>3800</v>
          </cell>
          <cell r="R60">
            <v>3800</v>
          </cell>
          <cell r="S60">
            <v>13400</v>
          </cell>
        </row>
        <row r="61">
          <cell r="A61">
            <v>2013</v>
          </cell>
          <cell r="B61" t="str">
            <v>Procter &amp; Gamble Paper Products</v>
          </cell>
          <cell r="C61" t="str">
            <v>NEG</v>
          </cell>
          <cell r="D61" t="str">
            <v>Cogeneration</v>
          </cell>
          <cell r="E61" t="str">
            <v>Cathy Mendoza</v>
          </cell>
          <cell r="F61" t="str">
            <v>Terminated</v>
          </cell>
          <cell r="G61">
            <v>31154</v>
          </cell>
          <cell r="H61">
            <v>15</v>
          </cell>
          <cell r="I61">
            <v>29977</v>
          </cell>
          <cell r="J61">
            <v>31155</v>
          </cell>
          <cell r="K61">
            <v>36632</v>
          </cell>
          <cell r="L61">
            <v>11600</v>
          </cell>
          <cell r="M61">
            <v>500</v>
          </cell>
          <cell r="N61">
            <v>7776</v>
          </cell>
          <cell r="O61">
            <v>19876</v>
          </cell>
          <cell r="P61">
            <v>11600</v>
          </cell>
          <cell r="Q61">
            <v>500</v>
          </cell>
          <cell r="R61">
            <v>12100</v>
          </cell>
          <cell r="S61">
            <v>19876</v>
          </cell>
        </row>
        <row r="62">
          <cell r="A62">
            <v>2014</v>
          </cell>
          <cell r="B62" t="str">
            <v>N. P. Cogeneration, Inc.</v>
          </cell>
          <cell r="C62" t="str">
            <v>SO4</v>
          </cell>
          <cell r="D62" t="str">
            <v>Cogeneration</v>
          </cell>
          <cell r="E62" t="str">
            <v>Bruce McCarthy</v>
          </cell>
          <cell r="F62" t="str">
            <v>Terminated</v>
          </cell>
          <cell r="G62">
            <v>30825</v>
          </cell>
          <cell r="H62">
            <v>20</v>
          </cell>
          <cell r="I62">
            <v>30284</v>
          </cell>
          <cell r="J62">
            <v>30682</v>
          </cell>
          <cell r="K62">
            <v>37102</v>
          </cell>
          <cell r="L62">
            <v>18000</v>
          </cell>
          <cell r="M62">
            <v>2000</v>
          </cell>
          <cell r="N62">
            <v>4700</v>
          </cell>
          <cell r="O62">
            <v>24700</v>
          </cell>
          <cell r="P62">
            <v>18000</v>
          </cell>
          <cell r="Q62">
            <v>2000</v>
          </cell>
          <cell r="R62">
            <v>20000</v>
          </cell>
          <cell r="S62">
            <v>24700</v>
          </cell>
        </row>
        <row r="63">
          <cell r="A63">
            <v>2015</v>
          </cell>
          <cell r="B63" t="str">
            <v>Arco CQC Kiln Inc.</v>
          </cell>
          <cell r="C63" t="str">
            <v>NEG</v>
          </cell>
          <cell r="D63" t="str">
            <v>Cogeneration</v>
          </cell>
          <cell r="E63" t="str">
            <v>Bruce McCarthy</v>
          </cell>
          <cell r="F63" t="str">
            <v>Terminated</v>
          </cell>
          <cell r="G63">
            <v>29951</v>
          </cell>
          <cell r="H63">
            <v>30</v>
          </cell>
          <cell r="I63">
            <v>30369</v>
          </cell>
          <cell r="J63">
            <v>30369</v>
          </cell>
          <cell r="K63">
            <v>36601</v>
          </cell>
          <cell r="L63">
            <v>25000</v>
          </cell>
          <cell r="M63">
            <v>5500</v>
          </cell>
          <cell r="N63">
            <v>3500</v>
          </cell>
          <cell r="O63">
            <v>34000</v>
          </cell>
          <cell r="P63">
            <v>25000</v>
          </cell>
          <cell r="Q63">
            <v>5500</v>
          </cell>
          <cell r="R63">
            <v>30500</v>
          </cell>
          <cell r="S63">
            <v>34000</v>
          </cell>
        </row>
        <row r="64">
          <cell r="A64">
            <v>2018</v>
          </cell>
          <cell r="B64" t="str">
            <v>Chaffey U.S.D./Alta Loma High School</v>
          </cell>
          <cell r="C64" t="str">
            <v>NEG</v>
          </cell>
          <cell r="D64" t="str">
            <v>Cogeneration</v>
          </cell>
          <cell r="E64" t="str">
            <v>Anthony F Blakemore</v>
          </cell>
          <cell r="F64" t="str">
            <v>Active</v>
          </cell>
          <cell r="G64">
            <v>30028</v>
          </cell>
          <cell r="H64">
            <v>1</v>
          </cell>
          <cell r="I64">
            <v>30361</v>
          </cell>
          <cell r="J64">
            <v>30361</v>
          </cell>
          <cell r="N64">
            <v>75</v>
          </cell>
          <cell r="O64">
            <v>75</v>
          </cell>
          <cell r="S64">
            <v>75</v>
          </cell>
        </row>
        <row r="65">
          <cell r="A65">
            <v>2019</v>
          </cell>
          <cell r="B65" t="str">
            <v>U.S. Borax And Chemical Corp.</v>
          </cell>
          <cell r="C65" t="str">
            <v>RSO1</v>
          </cell>
          <cell r="D65" t="str">
            <v>Cogeneration</v>
          </cell>
          <cell r="E65" t="str">
            <v>David R Cox</v>
          </cell>
          <cell r="F65" t="str">
            <v>Active</v>
          </cell>
          <cell r="G65">
            <v>30071</v>
          </cell>
          <cell r="H65">
            <v>20</v>
          </cell>
          <cell r="I65">
            <v>30834</v>
          </cell>
          <cell r="J65">
            <v>30950</v>
          </cell>
          <cell r="K65">
            <v>40080</v>
          </cell>
          <cell r="L65">
            <v>22000</v>
          </cell>
          <cell r="N65">
            <v>23000</v>
          </cell>
          <cell r="O65">
            <v>45000</v>
          </cell>
          <cell r="P65">
            <v>22000</v>
          </cell>
          <cell r="R65">
            <v>22000</v>
          </cell>
          <cell r="S65">
            <v>45000</v>
          </cell>
        </row>
        <row r="66">
          <cell r="A66">
            <v>2023</v>
          </cell>
          <cell r="B66" t="str">
            <v>Sunlaw Cogeneration Partners I</v>
          </cell>
          <cell r="C66" t="str">
            <v>NEG</v>
          </cell>
          <cell r="D66" t="str">
            <v>Cogeneration</v>
          </cell>
          <cell r="E66" t="str">
            <v>Bruce McCarthy</v>
          </cell>
          <cell r="F66" t="str">
            <v>Terminated</v>
          </cell>
          <cell r="G66">
            <v>30147</v>
          </cell>
          <cell r="H66">
            <v>20</v>
          </cell>
          <cell r="I66">
            <v>31518</v>
          </cell>
          <cell r="J66">
            <v>31572</v>
          </cell>
          <cell r="K66">
            <v>36163</v>
          </cell>
          <cell r="L66">
            <v>56000</v>
          </cell>
          <cell r="O66">
            <v>56000</v>
          </cell>
          <cell r="P66">
            <v>56000</v>
          </cell>
          <cell r="R66">
            <v>56000</v>
          </cell>
          <cell r="S66">
            <v>56000</v>
          </cell>
        </row>
        <row r="67">
          <cell r="A67">
            <v>2025</v>
          </cell>
          <cell r="B67" t="str">
            <v>Searles Valley Minerals Operations, Inc.</v>
          </cell>
          <cell r="C67" t="str">
            <v>NEG</v>
          </cell>
          <cell r="D67" t="str">
            <v>Cogeneration</v>
          </cell>
          <cell r="E67" t="str">
            <v>David R Cox</v>
          </cell>
          <cell r="F67" t="str">
            <v>Active</v>
          </cell>
          <cell r="G67">
            <v>30278</v>
          </cell>
          <cell r="H67">
            <v>30</v>
          </cell>
          <cell r="I67">
            <v>30407</v>
          </cell>
          <cell r="J67">
            <v>30510</v>
          </cell>
          <cell r="K67">
            <v>41467</v>
          </cell>
          <cell r="L67">
            <v>12000</v>
          </cell>
          <cell r="M67">
            <v>40000</v>
          </cell>
          <cell r="N67">
            <v>10500</v>
          </cell>
          <cell r="O67">
            <v>62500</v>
          </cell>
          <cell r="P67">
            <v>12000</v>
          </cell>
          <cell r="Q67">
            <v>40000</v>
          </cell>
          <cell r="R67">
            <v>52000</v>
          </cell>
          <cell r="S67">
            <v>62500</v>
          </cell>
        </row>
        <row r="68">
          <cell r="A68">
            <v>2031</v>
          </cell>
          <cell r="B68" t="str">
            <v>Paper Pak Industries</v>
          </cell>
          <cell r="C68" t="str">
            <v>SO1</v>
          </cell>
          <cell r="D68" t="str">
            <v>Cogeneration</v>
          </cell>
          <cell r="E68" t="str">
            <v>Cathy Mendoza</v>
          </cell>
          <cell r="F68" t="str">
            <v>Active</v>
          </cell>
          <cell r="G68">
            <v>30571</v>
          </cell>
          <cell r="H68">
            <v>1</v>
          </cell>
          <cell r="I68">
            <v>30956</v>
          </cell>
          <cell r="J68">
            <v>30956</v>
          </cell>
          <cell r="N68">
            <v>1400</v>
          </cell>
          <cell r="O68">
            <v>1400</v>
          </cell>
          <cell r="S68">
            <v>1400</v>
          </cell>
        </row>
        <row r="69">
          <cell r="A69">
            <v>2033</v>
          </cell>
          <cell r="B69" t="str">
            <v>Pomona Valley Hospital Medical Center</v>
          </cell>
          <cell r="C69" t="str">
            <v>SO1</v>
          </cell>
          <cell r="D69" t="str">
            <v>Cogeneration</v>
          </cell>
          <cell r="E69" t="str">
            <v>Anthony F Blakemore</v>
          </cell>
          <cell r="F69" t="str">
            <v>Terminated</v>
          </cell>
          <cell r="G69">
            <v>30680</v>
          </cell>
          <cell r="H69">
            <v>0</v>
          </cell>
          <cell r="I69">
            <v>31823</v>
          </cell>
          <cell r="J69">
            <v>31823</v>
          </cell>
          <cell r="K69">
            <v>38628</v>
          </cell>
          <cell r="N69">
            <v>800</v>
          </cell>
          <cell r="O69">
            <v>800</v>
          </cell>
          <cell r="S69">
            <v>800</v>
          </cell>
        </row>
        <row r="70">
          <cell r="A70">
            <v>2034</v>
          </cell>
          <cell r="B70" t="str">
            <v>Kern River Cogeneration Company</v>
          </cell>
          <cell r="C70" t="str">
            <v>NEG</v>
          </cell>
          <cell r="D70" t="str">
            <v>Cogeneration</v>
          </cell>
          <cell r="E70" t="str">
            <v>David R Cox</v>
          </cell>
          <cell r="F70" t="str">
            <v>Terminated</v>
          </cell>
          <cell r="G70">
            <v>30697</v>
          </cell>
          <cell r="H70">
            <v>20</v>
          </cell>
          <cell r="I70">
            <v>31168</v>
          </cell>
          <cell r="J70">
            <v>31268</v>
          </cell>
          <cell r="K70">
            <v>38573</v>
          </cell>
          <cell r="L70">
            <v>295000</v>
          </cell>
          <cell r="O70">
            <v>295000</v>
          </cell>
          <cell r="P70">
            <v>295000</v>
          </cell>
          <cell r="R70">
            <v>295000</v>
          </cell>
          <cell r="S70">
            <v>300000</v>
          </cell>
        </row>
        <row r="71">
          <cell r="A71">
            <v>2036</v>
          </cell>
          <cell r="B71" t="str">
            <v>Upland Unified School District</v>
          </cell>
          <cell r="C71" t="str">
            <v>SO3</v>
          </cell>
          <cell r="D71" t="str">
            <v>Cogeneration</v>
          </cell>
          <cell r="E71" t="str">
            <v>Pam Snethen</v>
          </cell>
          <cell r="F71" t="str">
            <v>Active</v>
          </cell>
          <cell r="G71">
            <v>31959</v>
          </cell>
          <cell r="H71">
            <v>1</v>
          </cell>
          <cell r="I71">
            <v>31048</v>
          </cell>
          <cell r="J71">
            <v>31048</v>
          </cell>
          <cell r="N71">
            <v>75</v>
          </cell>
          <cell r="O71">
            <v>75</v>
          </cell>
          <cell r="S71">
            <v>75</v>
          </cell>
        </row>
        <row r="72">
          <cell r="A72">
            <v>2037</v>
          </cell>
          <cell r="B72" t="str">
            <v>Ontario Cogeneration</v>
          </cell>
          <cell r="C72" t="str">
            <v>SO4</v>
          </cell>
          <cell r="D72" t="str">
            <v>Cogeneration</v>
          </cell>
          <cell r="E72" t="str">
            <v>Pam Snethen</v>
          </cell>
          <cell r="F72" t="str">
            <v>Active</v>
          </cell>
          <cell r="G72">
            <v>30740</v>
          </cell>
          <cell r="H72">
            <v>25</v>
          </cell>
          <cell r="I72">
            <v>30987</v>
          </cell>
          <cell r="J72">
            <v>31169</v>
          </cell>
          <cell r="K72">
            <v>40299</v>
          </cell>
          <cell r="L72">
            <v>4500</v>
          </cell>
          <cell r="N72">
            <v>7500</v>
          </cell>
          <cell r="O72">
            <v>12000</v>
          </cell>
          <cell r="P72">
            <v>4500</v>
          </cell>
          <cell r="R72">
            <v>4500</v>
          </cell>
          <cell r="S72">
            <v>12000</v>
          </cell>
        </row>
        <row r="73">
          <cell r="A73">
            <v>2040</v>
          </cell>
          <cell r="B73" t="str">
            <v>City of Palm Springs (Municipal Complex)</v>
          </cell>
          <cell r="C73" t="str">
            <v>NEG</v>
          </cell>
          <cell r="D73" t="str">
            <v>Cogeneration</v>
          </cell>
          <cell r="E73" t="str">
            <v>David R Cox</v>
          </cell>
          <cell r="F73" t="str">
            <v>Terminated</v>
          </cell>
          <cell r="G73">
            <v>30777</v>
          </cell>
          <cell r="H73">
            <v>20</v>
          </cell>
          <cell r="I73">
            <v>31138</v>
          </cell>
          <cell r="J73">
            <v>31230</v>
          </cell>
          <cell r="K73">
            <v>38600</v>
          </cell>
          <cell r="M73">
            <v>380</v>
          </cell>
          <cell r="N73">
            <v>920</v>
          </cell>
          <cell r="O73">
            <v>1300</v>
          </cell>
          <cell r="Q73">
            <v>380</v>
          </cell>
          <cell r="R73">
            <v>380</v>
          </cell>
          <cell r="S73">
            <v>1300</v>
          </cell>
        </row>
        <row r="74">
          <cell r="A74">
            <v>2041</v>
          </cell>
          <cell r="B74" t="str">
            <v>City of Palm Springs (Sunrise Plaza)</v>
          </cell>
          <cell r="C74" t="str">
            <v>SO4</v>
          </cell>
          <cell r="D74" t="str">
            <v>Cogeneration</v>
          </cell>
          <cell r="E74" t="str">
            <v>David R Cox</v>
          </cell>
          <cell r="F74" t="str">
            <v>Terminated</v>
          </cell>
          <cell r="G74">
            <v>31142</v>
          </cell>
          <cell r="H74">
            <v>20</v>
          </cell>
          <cell r="I74">
            <v>31211</v>
          </cell>
          <cell r="J74">
            <v>31321</v>
          </cell>
          <cell r="K74">
            <v>38625</v>
          </cell>
          <cell r="L74">
            <v>216</v>
          </cell>
          <cell r="N74">
            <v>425</v>
          </cell>
          <cell r="O74">
            <v>641</v>
          </cell>
          <cell r="P74">
            <v>216</v>
          </cell>
          <cell r="R74">
            <v>216</v>
          </cell>
          <cell r="S74">
            <v>650</v>
          </cell>
        </row>
        <row r="75">
          <cell r="A75">
            <v>2042</v>
          </cell>
          <cell r="B75" t="str">
            <v>O.L.S. Energy - Camarillo</v>
          </cell>
          <cell r="C75" t="str">
            <v>NEG</v>
          </cell>
          <cell r="D75" t="str">
            <v>Cogeneration</v>
          </cell>
          <cell r="E75" t="str">
            <v>David R Cox</v>
          </cell>
          <cell r="F75" t="str">
            <v>Active</v>
          </cell>
          <cell r="G75">
            <v>30783</v>
          </cell>
          <cell r="H75">
            <v>30</v>
          </cell>
          <cell r="I75">
            <v>32138</v>
          </cell>
          <cell r="J75">
            <v>32245</v>
          </cell>
          <cell r="K75">
            <v>43201</v>
          </cell>
          <cell r="L75">
            <v>26500</v>
          </cell>
          <cell r="M75">
            <v>1390</v>
          </cell>
          <cell r="N75">
            <v>150</v>
          </cell>
          <cell r="O75">
            <v>28040</v>
          </cell>
          <cell r="P75">
            <v>26500</v>
          </cell>
          <cell r="Q75">
            <v>1390</v>
          </cell>
          <cell r="R75">
            <v>27890</v>
          </cell>
          <cell r="S75">
            <v>28040</v>
          </cell>
        </row>
        <row r="76">
          <cell r="A76">
            <v>2043</v>
          </cell>
          <cell r="B76" t="str">
            <v>O.L.S. Energy - Chino</v>
          </cell>
          <cell r="C76" t="str">
            <v>NEG</v>
          </cell>
          <cell r="D76" t="str">
            <v>Cogeneration</v>
          </cell>
          <cell r="E76" t="str">
            <v>David R Cox</v>
          </cell>
          <cell r="F76" t="str">
            <v>Active</v>
          </cell>
          <cell r="G76">
            <v>30783</v>
          </cell>
          <cell r="H76">
            <v>30</v>
          </cell>
          <cell r="I76">
            <v>32135</v>
          </cell>
          <cell r="J76">
            <v>32213</v>
          </cell>
          <cell r="K76">
            <v>43169</v>
          </cell>
          <cell r="L76">
            <v>26000</v>
          </cell>
          <cell r="M76">
            <v>1600</v>
          </cell>
          <cell r="O76">
            <v>27600</v>
          </cell>
          <cell r="P76">
            <v>26000</v>
          </cell>
          <cell r="Q76">
            <v>1600</v>
          </cell>
          <cell r="R76">
            <v>27600</v>
          </cell>
          <cell r="S76">
            <v>27750</v>
          </cell>
        </row>
        <row r="77">
          <cell r="A77">
            <v>2044</v>
          </cell>
          <cell r="B77" t="str">
            <v>Kaweah Delta Hospital</v>
          </cell>
          <cell r="C77" t="str">
            <v>SO1</v>
          </cell>
          <cell r="D77" t="str">
            <v>Cogeneration</v>
          </cell>
          <cell r="E77" t="str">
            <v>Cathy Mendoza</v>
          </cell>
          <cell r="F77" t="str">
            <v>Terminated</v>
          </cell>
          <cell r="G77">
            <v>30846</v>
          </cell>
          <cell r="H77">
            <v>1</v>
          </cell>
          <cell r="I77">
            <v>30877</v>
          </cell>
          <cell r="J77">
            <v>30877</v>
          </cell>
          <cell r="K77">
            <v>37447</v>
          </cell>
          <cell r="M77">
            <v>350</v>
          </cell>
          <cell r="N77">
            <v>750</v>
          </cell>
          <cell r="O77">
            <v>1100</v>
          </cell>
          <cell r="Q77">
            <v>350</v>
          </cell>
          <cell r="R77">
            <v>350</v>
          </cell>
          <cell r="S77">
            <v>1100</v>
          </cell>
        </row>
        <row r="78">
          <cell r="A78">
            <v>2045</v>
          </cell>
          <cell r="B78" t="str">
            <v>TIN Inc. dba Temple-Inland</v>
          </cell>
          <cell r="C78" t="str">
            <v>SO4</v>
          </cell>
          <cell r="D78" t="str">
            <v>Cogeneration</v>
          </cell>
          <cell r="E78" t="str">
            <v>Pam Snethen</v>
          </cell>
          <cell r="F78" t="str">
            <v>Active</v>
          </cell>
          <cell r="G78">
            <v>30924</v>
          </cell>
          <cell r="H78">
            <v>30</v>
          </cell>
          <cell r="I78">
            <v>31291</v>
          </cell>
          <cell r="J78">
            <v>31413</v>
          </cell>
          <cell r="K78">
            <v>42369</v>
          </cell>
          <cell r="L78">
            <v>17000</v>
          </cell>
          <cell r="M78">
            <v>19700</v>
          </cell>
          <cell r="N78">
            <v>4360</v>
          </cell>
          <cell r="O78">
            <v>41060</v>
          </cell>
          <cell r="P78">
            <v>17000</v>
          </cell>
          <cell r="Q78">
            <v>19700</v>
          </cell>
          <cell r="R78">
            <v>36700</v>
          </cell>
          <cell r="S78">
            <v>41060</v>
          </cell>
        </row>
        <row r="79">
          <cell r="A79">
            <v>2049</v>
          </cell>
          <cell r="B79" t="str">
            <v>AES Placerita, Inc.</v>
          </cell>
          <cell r="C79" t="str">
            <v>NEG</v>
          </cell>
          <cell r="D79" t="str">
            <v>Cogeneration</v>
          </cell>
          <cell r="E79" t="str">
            <v>Bruce McCarthy</v>
          </cell>
          <cell r="F79" t="str">
            <v>Buyout Only</v>
          </cell>
          <cell r="G79">
            <v>31000</v>
          </cell>
          <cell r="H79">
            <v>25</v>
          </cell>
          <cell r="I79">
            <v>32309</v>
          </cell>
          <cell r="J79">
            <v>32384</v>
          </cell>
          <cell r="K79">
            <v>36444</v>
          </cell>
          <cell r="L79">
            <v>98700</v>
          </cell>
          <cell r="O79">
            <v>98700</v>
          </cell>
          <cell r="P79">
            <v>98700</v>
          </cell>
          <cell r="R79">
            <v>98700</v>
          </cell>
          <cell r="S79">
            <v>110000</v>
          </cell>
        </row>
        <row r="80">
          <cell r="A80">
            <v>2050</v>
          </cell>
          <cell r="B80" t="str">
            <v>Ripon Cogeneration LLC</v>
          </cell>
          <cell r="C80" t="str">
            <v>NEG</v>
          </cell>
          <cell r="D80" t="str">
            <v>Cogeneration</v>
          </cell>
          <cell r="E80" t="str">
            <v>David R Cox</v>
          </cell>
          <cell r="F80" t="str">
            <v>Active</v>
          </cell>
          <cell r="G80">
            <v>30994</v>
          </cell>
          <cell r="H80">
            <v>30</v>
          </cell>
          <cell r="I80">
            <v>31369</v>
          </cell>
          <cell r="J80">
            <v>31414</v>
          </cell>
          <cell r="K80">
            <v>42370</v>
          </cell>
          <cell r="L80">
            <v>36000</v>
          </cell>
          <cell r="O80">
            <v>36000</v>
          </cell>
          <cell r="P80">
            <v>36000</v>
          </cell>
          <cell r="R80">
            <v>36000</v>
          </cell>
          <cell r="S80">
            <v>36000</v>
          </cell>
        </row>
        <row r="81">
          <cell r="A81">
            <v>2053</v>
          </cell>
          <cell r="B81" t="str">
            <v>Watson Cogeneration Company</v>
          </cell>
          <cell r="C81" t="str">
            <v>NEG</v>
          </cell>
          <cell r="D81" t="str">
            <v>Cogeneration</v>
          </cell>
          <cell r="E81" t="str">
            <v>Anthony F Blakemore</v>
          </cell>
          <cell r="F81" t="str">
            <v>Active</v>
          </cell>
          <cell r="G81">
            <v>31035</v>
          </cell>
          <cell r="H81">
            <v>20</v>
          </cell>
          <cell r="I81">
            <v>32115</v>
          </cell>
          <cell r="J81">
            <v>32143</v>
          </cell>
          <cell r="K81">
            <v>39447</v>
          </cell>
          <cell r="L81">
            <v>340000</v>
          </cell>
          <cell r="N81">
            <v>45000</v>
          </cell>
          <cell r="O81">
            <v>385000</v>
          </cell>
          <cell r="P81">
            <v>340000</v>
          </cell>
          <cell r="R81">
            <v>340000</v>
          </cell>
          <cell r="S81">
            <v>385000</v>
          </cell>
        </row>
        <row r="82">
          <cell r="A82">
            <v>2055</v>
          </cell>
          <cell r="B82" t="str">
            <v>Weyerhaeuser Company</v>
          </cell>
          <cell r="C82" t="str">
            <v>SO4</v>
          </cell>
          <cell r="D82" t="str">
            <v>Cogeneration</v>
          </cell>
          <cell r="E82" t="str">
            <v>Pam Snethen</v>
          </cell>
          <cell r="F82" t="str">
            <v>Active</v>
          </cell>
          <cell r="G82">
            <v>31034</v>
          </cell>
          <cell r="H82">
            <v>30</v>
          </cell>
          <cell r="I82">
            <v>31485</v>
          </cell>
          <cell r="J82">
            <v>31485</v>
          </cell>
          <cell r="K82">
            <v>42442</v>
          </cell>
          <cell r="M82">
            <v>14000</v>
          </cell>
          <cell r="N82">
            <v>11000</v>
          </cell>
          <cell r="O82">
            <v>25000</v>
          </cell>
          <cell r="Q82">
            <v>14000</v>
          </cell>
          <cell r="R82">
            <v>14000</v>
          </cell>
          <cell r="S82">
            <v>25000</v>
          </cell>
        </row>
        <row r="83">
          <cell r="A83">
            <v>2057</v>
          </cell>
          <cell r="B83" t="str">
            <v>Simmax Energy LLC (St Erne Sanitarium)</v>
          </cell>
          <cell r="C83" t="str">
            <v>SO3</v>
          </cell>
          <cell r="D83" t="str">
            <v>Cogeneration</v>
          </cell>
          <cell r="E83" t="str">
            <v>Michele Walker</v>
          </cell>
          <cell r="F83" t="str">
            <v>Inactive</v>
          </cell>
          <cell r="G83">
            <v>31043</v>
          </cell>
          <cell r="H83">
            <v>1</v>
          </cell>
          <cell r="I83">
            <v>31229</v>
          </cell>
          <cell r="J83">
            <v>31229</v>
          </cell>
          <cell r="N83">
            <v>100</v>
          </cell>
          <cell r="O83">
            <v>100</v>
          </cell>
          <cell r="S83">
            <v>100</v>
          </cell>
        </row>
        <row r="84">
          <cell r="A84">
            <v>2058</v>
          </cell>
          <cell r="B84" t="str">
            <v>Sycamore Cogeneration Company</v>
          </cell>
          <cell r="C84" t="str">
            <v>NEG</v>
          </cell>
          <cell r="D84" t="str">
            <v>Cogeneration</v>
          </cell>
          <cell r="E84" t="str">
            <v>David R Cox</v>
          </cell>
          <cell r="F84" t="str">
            <v>Active</v>
          </cell>
          <cell r="G84">
            <v>31034</v>
          </cell>
          <cell r="H84">
            <v>20</v>
          </cell>
          <cell r="I84">
            <v>32106</v>
          </cell>
          <cell r="J84">
            <v>32143</v>
          </cell>
          <cell r="K84">
            <v>39447</v>
          </cell>
          <cell r="L84">
            <v>300000</v>
          </cell>
          <cell r="O84">
            <v>300000</v>
          </cell>
          <cell r="P84">
            <v>300000</v>
          </cell>
          <cell r="R84">
            <v>300000</v>
          </cell>
          <cell r="S84">
            <v>300000</v>
          </cell>
        </row>
        <row r="85">
          <cell r="A85">
            <v>2060</v>
          </cell>
          <cell r="B85" t="str">
            <v>BP Amoco</v>
          </cell>
          <cell r="C85" t="str">
            <v>SO1</v>
          </cell>
          <cell r="D85" t="str">
            <v>Cogeneration</v>
          </cell>
          <cell r="E85" t="str">
            <v>Anthony F Blakemore</v>
          </cell>
          <cell r="F85" t="str">
            <v>Active</v>
          </cell>
          <cell r="G85">
            <v>31065</v>
          </cell>
          <cell r="H85">
            <v>0</v>
          </cell>
          <cell r="I85">
            <v>31168</v>
          </cell>
          <cell r="J85">
            <v>31168</v>
          </cell>
          <cell r="N85">
            <v>8000</v>
          </cell>
          <cell r="O85">
            <v>8000</v>
          </cell>
          <cell r="S85">
            <v>8000</v>
          </cell>
        </row>
        <row r="86">
          <cell r="A86">
            <v>2061</v>
          </cell>
          <cell r="B86" t="str">
            <v>The Forum #1</v>
          </cell>
          <cell r="C86" t="str">
            <v>SO1</v>
          </cell>
          <cell r="D86" t="str">
            <v>Cogeneration</v>
          </cell>
          <cell r="E86" t="str">
            <v>Michele Walker</v>
          </cell>
          <cell r="F86" t="str">
            <v>Terminated</v>
          </cell>
          <cell r="G86">
            <v>31092</v>
          </cell>
          <cell r="H86">
            <v>0</v>
          </cell>
          <cell r="I86">
            <v>31138</v>
          </cell>
          <cell r="J86">
            <v>31138</v>
          </cell>
          <cell r="K86">
            <v>38371</v>
          </cell>
          <cell r="N86">
            <v>115</v>
          </cell>
          <cell r="O86">
            <v>115</v>
          </cell>
          <cell r="S86">
            <v>115</v>
          </cell>
        </row>
        <row r="87">
          <cell r="A87">
            <v>2062</v>
          </cell>
          <cell r="B87" t="str">
            <v>San Marino School District</v>
          </cell>
          <cell r="C87" t="str">
            <v>SO3</v>
          </cell>
          <cell r="D87" t="str">
            <v>Cogeneration</v>
          </cell>
          <cell r="E87" t="str">
            <v>Bruce McCarthy</v>
          </cell>
          <cell r="F87" t="str">
            <v>Terminated</v>
          </cell>
          <cell r="G87">
            <v>31098</v>
          </cell>
          <cell r="H87">
            <v>1</v>
          </cell>
          <cell r="I87">
            <v>31138</v>
          </cell>
          <cell r="J87">
            <v>31138</v>
          </cell>
          <cell r="K87">
            <v>37411</v>
          </cell>
          <cell r="N87">
            <v>60</v>
          </cell>
          <cell r="O87">
            <v>60</v>
          </cell>
          <cell r="S87">
            <v>60</v>
          </cell>
        </row>
        <row r="88">
          <cell r="A88">
            <v>2064</v>
          </cell>
          <cell r="B88" t="str">
            <v>Wheelabrator Norwalk Energy Co, Inc</v>
          </cell>
          <cell r="C88" t="str">
            <v>NEG</v>
          </cell>
          <cell r="D88" t="str">
            <v>Cogeneration</v>
          </cell>
          <cell r="E88" t="str">
            <v>Pam Snethen</v>
          </cell>
          <cell r="F88" t="str">
            <v>Active</v>
          </cell>
          <cell r="G88">
            <v>31099</v>
          </cell>
          <cell r="H88">
            <v>30</v>
          </cell>
          <cell r="I88">
            <v>32030</v>
          </cell>
          <cell r="J88">
            <v>32191</v>
          </cell>
          <cell r="K88">
            <v>43148</v>
          </cell>
          <cell r="L88">
            <v>27300</v>
          </cell>
          <cell r="M88">
            <v>500</v>
          </cell>
          <cell r="N88">
            <v>1200</v>
          </cell>
          <cell r="O88">
            <v>29000</v>
          </cell>
          <cell r="P88">
            <v>27300</v>
          </cell>
          <cell r="Q88">
            <v>500</v>
          </cell>
          <cell r="R88">
            <v>27800</v>
          </cell>
          <cell r="S88">
            <v>29000</v>
          </cell>
        </row>
        <row r="89">
          <cell r="A89">
            <v>2066</v>
          </cell>
          <cell r="B89" t="str">
            <v>Glendora High School</v>
          </cell>
          <cell r="C89" t="str">
            <v>SO3</v>
          </cell>
          <cell r="D89" t="str">
            <v>Cogeneration</v>
          </cell>
          <cell r="E89" t="str">
            <v>Cathy Mendoza</v>
          </cell>
          <cell r="F89" t="str">
            <v>Active</v>
          </cell>
          <cell r="G89">
            <v>31076</v>
          </cell>
          <cell r="H89">
            <v>1</v>
          </cell>
          <cell r="I89">
            <v>31229</v>
          </cell>
          <cell r="J89">
            <v>31229</v>
          </cell>
          <cell r="N89">
            <v>75</v>
          </cell>
          <cell r="O89">
            <v>75</v>
          </cell>
          <cell r="S89">
            <v>75</v>
          </cell>
        </row>
        <row r="90">
          <cell r="A90">
            <v>2067</v>
          </cell>
          <cell r="B90" t="str">
            <v>Harbor Cogeneration Company</v>
          </cell>
          <cell r="C90" t="str">
            <v>SO4</v>
          </cell>
          <cell r="D90" t="str">
            <v>Cogeneration</v>
          </cell>
          <cell r="E90" t="str">
            <v>Bruce McCarthy</v>
          </cell>
          <cell r="F90" t="str">
            <v>Buyout Only</v>
          </cell>
          <cell r="G90">
            <v>31149</v>
          </cell>
          <cell r="H90">
            <v>30</v>
          </cell>
          <cell r="I90">
            <v>32507</v>
          </cell>
          <cell r="J90">
            <v>32610</v>
          </cell>
          <cell r="K90">
            <v>36206</v>
          </cell>
          <cell r="L90">
            <v>76400</v>
          </cell>
          <cell r="O90">
            <v>76400</v>
          </cell>
          <cell r="P90">
            <v>76400</v>
          </cell>
          <cell r="R90">
            <v>76400</v>
          </cell>
          <cell r="S90">
            <v>80000</v>
          </cell>
        </row>
        <row r="91">
          <cell r="A91">
            <v>2069</v>
          </cell>
          <cell r="B91" t="str">
            <v>Blue Heron Paper Company of CA, LLC</v>
          </cell>
          <cell r="C91" t="str">
            <v>SO1</v>
          </cell>
          <cell r="D91" t="str">
            <v>Cogeneration</v>
          </cell>
          <cell r="E91" t="str">
            <v>Pam Snethen</v>
          </cell>
          <cell r="F91" t="str">
            <v>Terminated</v>
          </cell>
          <cell r="G91">
            <v>31148</v>
          </cell>
          <cell r="H91">
            <v>1</v>
          </cell>
          <cell r="I91">
            <v>31199</v>
          </cell>
          <cell r="J91">
            <v>31199</v>
          </cell>
          <cell r="K91">
            <v>38762</v>
          </cell>
          <cell r="M91">
            <v>500</v>
          </cell>
          <cell r="N91">
            <v>11500</v>
          </cell>
          <cell r="O91">
            <v>12000</v>
          </cell>
          <cell r="Q91">
            <v>500</v>
          </cell>
          <cell r="R91">
            <v>500</v>
          </cell>
          <cell r="S91">
            <v>12000</v>
          </cell>
        </row>
        <row r="92">
          <cell r="A92">
            <v>2071</v>
          </cell>
          <cell r="B92" t="str">
            <v>ACE Cogeneration Company</v>
          </cell>
          <cell r="C92" t="str">
            <v>NEG</v>
          </cell>
          <cell r="D92" t="str">
            <v>Cogeneration</v>
          </cell>
          <cell r="E92" t="str">
            <v>Pam Snethen</v>
          </cell>
          <cell r="F92" t="str">
            <v>Active</v>
          </cell>
          <cell r="G92">
            <v>31152</v>
          </cell>
          <cell r="H92">
            <v>25</v>
          </cell>
          <cell r="I92">
            <v>33136</v>
          </cell>
          <cell r="J92">
            <v>33179</v>
          </cell>
          <cell r="K92">
            <v>42309</v>
          </cell>
          <cell r="L92">
            <v>85000</v>
          </cell>
          <cell r="N92">
            <v>12000</v>
          </cell>
          <cell r="O92">
            <v>97000</v>
          </cell>
          <cell r="P92">
            <v>85000</v>
          </cell>
          <cell r="R92">
            <v>85000</v>
          </cell>
          <cell r="S92">
            <v>108000</v>
          </cell>
        </row>
        <row r="93">
          <cell r="A93">
            <v>2072</v>
          </cell>
          <cell r="B93" t="str">
            <v>Procter &amp; Gamble Paper Prod Oxnard II</v>
          </cell>
          <cell r="C93" t="str">
            <v>SO4</v>
          </cell>
          <cell r="D93" t="str">
            <v>Cogeneration</v>
          </cell>
          <cell r="E93" t="str">
            <v>Cathy Mendoza</v>
          </cell>
          <cell r="F93" t="str">
            <v>Active</v>
          </cell>
          <cell r="G93">
            <v>31153</v>
          </cell>
          <cell r="H93">
            <v>30</v>
          </cell>
          <cell r="I93">
            <v>32829</v>
          </cell>
          <cell r="J93">
            <v>32874</v>
          </cell>
          <cell r="K93">
            <v>43830</v>
          </cell>
          <cell r="L93">
            <v>45000</v>
          </cell>
          <cell r="M93">
            <v>1100</v>
          </cell>
          <cell r="N93">
            <v>3800</v>
          </cell>
          <cell r="O93">
            <v>49900</v>
          </cell>
          <cell r="P93">
            <v>45000</v>
          </cell>
          <cell r="Q93">
            <v>1100</v>
          </cell>
          <cell r="R93">
            <v>46100</v>
          </cell>
          <cell r="S93">
            <v>49900</v>
          </cell>
        </row>
        <row r="94">
          <cell r="A94">
            <v>2073</v>
          </cell>
          <cell r="B94" t="str">
            <v>Rockwell International</v>
          </cell>
          <cell r="C94" t="str">
            <v>SO4</v>
          </cell>
          <cell r="D94" t="str">
            <v>Cogeneration</v>
          </cell>
          <cell r="E94" t="str">
            <v>Cynthia Shindle</v>
          </cell>
          <cell r="F94" t="str">
            <v>Terminated</v>
          </cell>
          <cell r="G94">
            <v>31154</v>
          </cell>
          <cell r="H94">
            <v>15</v>
          </cell>
          <cell r="I94">
            <v>32342</v>
          </cell>
          <cell r="J94">
            <v>32342</v>
          </cell>
          <cell r="K94">
            <v>35725</v>
          </cell>
          <cell r="M94">
            <v>24000</v>
          </cell>
          <cell r="N94">
            <v>4000</v>
          </cell>
          <cell r="O94">
            <v>28000</v>
          </cell>
          <cell r="Q94">
            <v>24000</v>
          </cell>
          <cell r="R94">
            <v>24000</v>
          </cell>
          <cell r="S94">
            <v>28000</v>
          </cell>
        </row>
        <row r="95">
          <cell r="A95">
            <v>2074</v>
          </cell>
          <cell r="B95" t="str">
            <v>San Antonio Community Hospital</v>
          </cell>
          <cell r="C95" t="str">
            <v>SO4</v>
          </cell>
          <cell r="D95" t="str">
            <v>Cogeneration</v>
          </cell>
          <cell r="E95" t="str">
            <v>Cathy Mendoza</v>
          </cell>
          <cell r="F95" t="str">
            <v>Terminated</v>
          </cell>
          <cell r="G95">
            <v>31152</v>
          </cell>
          <cell r="H95">
            <v>15</v>
          </cell>
          <cell r="I95">
            <v>31306</v>
          </cell>
          <cell r="J95">
            <v>31525</v>
          </cell>
          <cell r="K95">
            <v>36971</v>
          </cell>
          <cell r="N95">
            <v>1744</v>
          </cell>
          <cell r="O95">
            <v>1744</v>
          </cell>
          <cell r="S95">
            <v>1744</v>
          </cell>
        </row>
        <row r="96">
          <cell r="A96">
            <v>2076</v>
          </cell>
          <cell r="B96" t="str">
            <v>Midway Sunset Cogeneration Co.</v>
          </cell>
          <cell r="C96" t="str">
            <v>NEG</v>
          </cell>
          <cell r="D96" t="str">
            <v>Cogeneration</v>
          </cell>
          <cell r="E96" t="str">
            <v>Pam Snethen</v>
          </cell>
          <cell r="F96" t="str">
            <v>Active</v>
          </cell>
          <cell r="G96">
            <v>31154</v>
          </cell>
          <cell r="H96">
            <v>20</v>
          </cell>
          <cell r="I96">
            <v>32563</v>
          </cell>
          <cell r="J96">
            <v>32636</v>
          </cell>
          <cell r="K96">
            <v>39940</v>
          </cell>
          <cell r="L96">
            <v>200000</v>
          </cell>
          <cell r="O96">
            <v>200000</v>
          </cell>
          <cell r="P96">
            <v>200000</v>
          </cell>
          <cell r="R96">
            <v>200000</v>
          </cell>
          <cell r="S96">
            <v>225000</v>
          </cell>
        </row>
        <row r="97">
          <cell r="A97">
            <v>2077</v>
          </cell>
          <cell r="B97" t="str">
            <v>Rio Bravo Jasmin</v>
          </cell>
          <cell r="C97" t="str">
            <v>SO4</v>
          </cell>
          <cell r="D97" t="str">
            <v>Cogeneration</v>
          </cell>
          <cell r="E97" t="str">
            <v>Michele Walker</v>
          </cell>
          <cell r="F97" t="str">
            <v>Active</v>
          </cell>
          <cell r="G97">
            <v>31153</v>
          </cell>
          <cell r="H97">
            <v>30</v>
          </cell>
          <cell r="I97">
            <v>32814</v>
          </cell>
          <cell r="J97">
            <v>32919</v>
          </cell>
          <cell r="K97">
            <v>43875</v>
          </cell>
          <cell r="L97">
            <v>30000</v>
          </cell>
          <cell r="M97">
            <v>7000</v>
          </cell>
          <cell r="N97">
            <v>4000</v>
          </cell>
          <cell r="O97">
            <v>41000</v>
          </cell>
          <cell r="P97">
            <v>30000</v>
          </cell>
          <cell r="Q97">
            <v>7000</v>
          </cell>
          <cell r="R97">
            <v>37000</v>
          </cell>
          <cell r="S97">
            <v>41000</v>
          </cell>
        </row>
        <row r="98">
          <cell r="A98">
            <v>2078</v>
          </cell>
          <cell r="B98" t="str">
            <v>Mojave Cogeneration Co. L. P.</v>
          </cell>
          <cell r="C98" t="str">
            <v>NEG</v>
          </cell>
          <cell r="D98" t="str">
            <v>Cogeneration</v>
          </cell>
          <cell r="E98" t="str">
            <v>David R Cox</v>
          </cell>
          <cell r="F98" t="str">
            <v>Active</v>
          </cell>
          <cell r="G98">
            <v>32206</v>
          </cell>
          <cell r="H98">
            <v>20</v>
          </cell>
          <cell r="I98">
            <v>33037</v>
          </cell>
          <cell r="J98">
            <v>33081</v>
          </cell>
          <cell r="K98">
            <v>40385</v>
          </cell>
          <cell r="L98">
            <v>48000</v>
          </cell>
          <cell r="N98">
            <v>1850</v>
          </cell>
          <cell r="O98">
            <v>49850</v>
          </cell>
          <cell r="P98">
            <v>48000</v>
          </cell>
          <cell r="R98">
            <v>48000</v>
          </cell>
          <cell r="S98">
            <v>56850</v>
          </cell>
        </row>
        <row r="99">
          <cell r="A99">
            <v>2081</v>
          </cell>
          <cell r="B99" t="str">
            <v>Corona Energy Partners Ltd.</v>
          </cell>
          <cell r="C99" t="str">
            <v>SO2</v>
          </cell>
          <cell r="D99" t="str">
            <v>Cogeneration</v>
          </cell>
          <cell r="E99" t="str">
            <v>David R Cox</v>
          </cell>
          <cell r="F99" t="str">
            <v>Active</v>
          </cell>
          <cell r="G99">
            <v>31198</v>
          </cell>
          <cell r="H99">
            <v>30</v>
          </cell>
          <cell r="I99">
            <v>32284</v>
          </cell>
          <cell r="J99">
            <v>32299</v>
          </cell>
          <cell r="K99">
            <v>43255</v>
          </cell>
          <cell r="L99">
            <v>35000</v>
          </cell>
          <cell r="N99">
            <v>7000</v>
          </cell>
          <cell r="O99">
            <v>42000</v>
          </cell>
          <cell r="P99">
            <v>35000</v>
          </cell>
          <cell r="R99">
            <v>35000</v>
          </cell>
          <cell r="S99">
            <v>42000</v>
          </cell>
        </row>
        <row r="100">
          <cell r="A100">
            <v>2082</v>
          </cell>
          <cell r="B100" t="str">
            <v>Jefferson Smurfit Corporation</v>
          </cell>
          <cell r="C100" t="str">
            <v>NEG</v>
          </cell>
          <cell r="D100" t="str">
            <v>Cogeneration</v>
          </cell>
          <cell r="E100" t="str">
            <v>Cathy Mendoza</v>
          </cell>
          <cell r="F100" t="str">
            <v>Terminated</v>
          </cell>
          <cell r="G100">
            <v>31205</v>
          </cell>
          <cell r="H100">
            <v>15</v>
          </cell>
          <cell r="I100">
            <v>31412</v>
          </cell>
          <cell r="J100">
            <v>31649</v>
          </cell>
          <cell r="K100">
            <v>37127</v>
          </cell>
          <cell r="L100">
            <v>28500</v>
          </cell>
          <cell r="M100">
            <v>11500</v>
          </cell>
          <cell r="O100">
            <v>40000</v>
          </cell>
          <cell r="P100">
            <v>28500</v>
          </cell>
          <cell r="Q100">
            <v>11500</v>
          </cell>
          <cell r="R100">
            <v>40000</v>
          </cell>
          <cell r="S100">
            <v>40000</v>
          </cell>
        </row>
        <row r="101">
          <cell r="A101">
            <v>2083</v>
          </cell>
          <cell r="B101" t="str">
            <v>O'Brien California Cogen. Ltd.</v>
          </cell>
          <cell r="C101" t="str">
            <v>NEG</v>
          </cell>
          <cell r="D101" t="str">
            <v>Cogeneration</v>
          </cell>
          <cell r="E101" t="str">
            <v>Bruce McCarthy</v>
          </cell>
          <cell r="F101" t="str">
            <v>Buyout Only</v>
          </cell>
          <cell r="G101">
            <v>31212</v>
          </cell>
          <cell r="H101">
            <v>30</v>
          </cell>
          <cell r="I101">
            <v>32740</v>
          </cell>
          <cell r="J101">
            <v>32938</v>
          </cell>
          <cell r="K101">
            <v>36403</v>
          </cell>
          <cell r="L101">
            <v>30400</v>
          </cell>
          <cell r="M101">
            <v>3600</v>
          </cell>
          <cell r="N101">
            <v>1000</v>
          </cell>
          <cell r="O101">
            <v>35000</v>
          </cell>
          <cell r="P101">
            <v>30400</v>
          </cell>
          <cell r="Q101">
            <v>3600</v>
          </cell>
          <cell r="R101">
            <v>34000</v>
          </cell>
          <cell r="S101">
            <v>35000</v>
          </cell>
        </row>
        <row r="102">
          <cell r="A102">
            <v>2085</v>
          </cell>
          <cell r="B102" t="str">
            <v>Episcopal Home</v>
          </cell>
          <cell r="C102" t="str">
            <v>SO1</v>
          </cell>
          <cell r="D102" t="str">
            <v>Cogeneration</v>
          </cell>
          <cell r="E102" t="str">
            <v>Pam Snethen</v>
          </cell>
          <cell r="F102" t="str">
            <v>Active</v>
          </cell>
          <cell r="G102">
            <v>31267</v>
          </cell>
          <cell r="H102">
            <v>1</v>
          </cell>
          <cell r="I102">
            <v>31413</v>
          </cell>
          <cell r="J102">
            <v>31413</v>
          </cell>
          <cell r="N102">
            <v>200</v>
          </cell>
          <cell r="O102">
            <v>200</v>
          </cell>
          <cell r="S102">
            <v>200</v>
          </cell>
        </row>
        <row r="103">
          <cell r="A103">
            <v>2087</v>
          </cell>
          <cell r="B103" t="str">
            <v>Carson Cogeneration Company</v>
          </cell>
          <cell r="C103" t="str">
            <v>SO2</v>
          </cell>
          <cell r="D103" t="str">
            <v>Cogeneration</v>
          </cell>
          <cell r="E103" t="str">
            <v>David R Cox</v>
          </cell>
          <cell r="F103" t="str">
            <v>Active</v>
          </cell>
          <cell r="G103">
            <v>31208</v>
          </cell>
          <cell r="H103">
            <v>30</v>
          </cell>
          <cell r="I103">
            <v>32864</v>
          </cell>
          <cell r="J103">
            <v>32911</v>
          </cell>
          <cell r="K103">
            <v>43867</v>
          </cell>
          <cell r="L103">
            <v>42000</v>
          </cell>
          <cell r="M103">
            <v>6900</v>
          </cell>
          <cell r="N103">
            <v>1500</v>
          </cell>
          <cell r="O103">
            <v>50400</v>
          </cell>
          <cell r="P103">
            <v>42000</v>
          </cell>
          <cell r="Q103">
            <v>6900</v>
          </cell>
          <cell r="R103">
            <v>48900</v>
          </cell>
          <cell r="S103">
            <v>50400</v>
          </cell>
        </row>
        <row r="104">
          <cell r="A104">
            <v>2101</v>
          </cell>
          <cell r="B104" t="str">
            <v>ExxonMobil Production Company</v>
          </cell>
          <cell r="C104" t="str">
            <v>SO1</v>
          </cell>
          <cell r="D104" t="str">
            <v>Cogeneration</v>
          </cell>
          <cell r="E104" t="str">
            <v>Michele Walker</v>
          </cell>
          <cell r="F104" t="str">
            <v>Active</v>
          </cell>
          <cell r="G104">
            <v>34057</v>
          </cell>
          <cell r="H104">
            <v>1</v>
          </cell>
          <cell r="I104">
            <v>34200</v>
          </cell>
          <cell r="J104">
            <v>34200</v>
          </cell>
          <cell r="N104">
            <v>49000</v>
          </cell>
          <cell r="O104">
            <v>49000</v>
          </cell>
          <cell r="S104">
            <v>49000</v>
          </cell>
        </row>
        <row r="105">
          <cell r="A105">
            <v>2102</v>
          </cell>
          <cell r="B105" t="str">
            <v>Point Arguello Pipeline</v>
          </cell>
          <cell r="C105" t="str">
            <v>SO1</v>
          </cell>
          <cell r="D105" t="str">
            <v>Cogeneration</v>
          </cell>
          <cell r="E105" t="str">
            <v>Bruce McCarthy</v>
          </cell>
          <cell r="F105" t="str">
            <v>Terminated</v>
          </cell>
          <cell r="G105">
            <v>32087</v>
          </cell>
          <cell r="H105">
            <v>1</v>
          </cell>
          <cell r="I105">
            <v>32126</v>
          </cell>
          <cell r="J105">
            <v>32126</v>
          </cell>
          <cell r="K105">
            <v>36996</v>
          </cell>
          <cell r="M105">
            <v>7000</v>
          </cell>
          <cell r="N105">
            <v>10200</v>
          </cell>
          <cell r="O105">
            <v>17200</v>
          </cell>
          <cell r="Q105">
            <v>7000</v>
          </cell>
          <cell r="R105">
            <v>7000</v>
          </cell>
          <cell r="S105">
            <v>17200</v>
          </cell>
        </row>
        <row r="106">
          <cell r="A106">
            <v>2111</v>
          </cell>
          <cell r="B106" t="str">
            <v>California State University Long Beach</v>
          </cell>
          <cell r="C106" t="str">
            <v>SO3</v>
          </cell>
          <cell r="D106" t="str">
            <v>Cogeneration</v>
          </cell>
          <cell r="E106" t="str">
            <v>Michele Walker</v>
          </cell>
          <cell r="F106" t="str">
            <v>Terminated</v>
          </cell>
          <cell r="G106">
            <v>31386</v>
          </cell>
          <cell r="H106">
            <v>1</v>
          </cell>
          <cell r="I106">
            <v>31539</v>
          </cell>
          <cell r="J106">
            <v>31539</v>
          </cell>
          <cell r="K106">
            <v>35877</v>
          </cell>
          <cell r="N106">
            <v>150</v>
          </cell>
          <cell r="O106">
            <v>150</v>
          </cell>
          <cell r="S106">
            <v>150</v>
          </cell>
        </row>
        <row r="107">
          <cell r="A107">
            <v>2127</v>
          </cell>
          <cell r="B107" t="str">
            <v>Eua/Onsite Cogen L P - World Oil</v>
          </cell>
          <cell r="C107" t="str">
            <v>SO1</v>
          </cell>
          <cell r="D107" t="str">
            <v>Cogeneration</v>
          </cell>
          <cell r="E107" t="str">
            <v>Cathy Mendoza</v>
          </cell>
          <cell r="F107" t="str">
            <v>Terminated</v>
          </cell>
          <cell r="G107">
            <v>33158</v>
          </cell>
          <cell r="H107">
            <v>15</v>
          </cell>
          <cell r="I107">
            <v>33379</v>
          </cell>
          <cell r="J107">
            <v>33379</v>
          </cell>
          <cell r="K107">
            <v>35674</v>
          </cell>
          <cell r="M107">
            <v>1400</v>
          </cell>
          <cell r="N107">
            <v>15</v>
          </cell>
          <cell r="O107">
            <v>1415</v>
          </cell>
          <cell r="Q107">
            <v>1400</v>
          </cell>
          <cell r="R107">
            <v>1400</v>
          </cell>
          <cell r="S107">
            <v>1415</v>
          </cell>
        </row>
        <row r="108">
          <cell r="A108">
            <v>2149</v>
          </cell>
          <cell r="B108" t="str">
            <v>CAL Poly University, Pomona</v>
          </cell>
          <cell r="C108" t="str">
            <v>SO3</v>
          </cell>
          <cell r="D108" t="str">
            <v>Cogeneration</v>
          </cell>
          <cell r="E108" t="str">
            <v>Cathy Mendoza</v>
          </cell>
          <cell r="F108" t="str">
            <v>Active</v>
          </cell>
          <cell r="G108">
            <v>31559</v>
          </cell>
          <cell r="H108">
            <v>1</v>
          </cell>
          <cell r="I108">
            <v>32023</v>
          </cell>
          <cell r="J108">
            <v>32023</v>
          </cell>
          <cell r="N108">
            <v>115</v>
          </cell>
          <cell r="O108">
            <v>115</v>
          </cell>
          <cell r="S108">
            <v>115</v>
          </cell>
        </row>
        <row r="109">
          <cell r="A109">
            <v>2155</v>
          </cell>
          <cell r="B109" t="str">
            <v>Chevron USA</v>
          </cell>
          <cell r="C109" t="str">
            <v>SO1</v>
          </cell>
          <cell r="D109" t="str">
            <v>Cogeneration</v>
          </cell>
          <cell r="E109" t="str">
            <v>David R Cox</v>
          </cell>
          <cell r="F109" t="str">
            <v>Active</v>
          </cell>
          <cell r="G109">
            <v>31418</v>
          </cell>
          <cell r="H109">
            <v>1</v>
          </cell>
          <cell r="I109">
            <v>32140</v>
          </cell>
          <cell r="J109">
            <v>32140</v>
          </cell>
          <cell r="N109">
            <v>76700</v>
          </cell>
          <cell r="O109">
            <v>76700</v>
          </cell>
          <cell r="S109">
            <v>76700</v>
          </cell>
        </row>
        <row r="110">
          <cell r="A110">
            <v>2163</v>
          </cell>
          <cell r="B110" t="str">
            <v>Henry Mayo Newhall Memorial Hospital</v>
          </cell>
          <cell r="C110" t="str">
            <v>SO1</v>
          </cell>
          <cell r="D110" t="str">
            <v>Cogeneration</v>
          </cell>
          <cell r="E110" t="str">
            <v>Bruce McCarthy</v>
          </cell>
          <cell r="F110" t="str">
            <v>Terminated</v>
          </cell>
          <cell r="G110">
            <v>31338</v>
          </cell>
          <cell r="H110">
            <v>1</v>
          </cell>
          <cell r="I110">
            <v>31831</v>
          </cell>
          <cell r="J110">
            <v>31831</v>
          </cell>
          <cell r="K110">
            <v>38442</v>
          </cell>
          <cell r="N110">
            <v>450</v>
          </cell>
          <cell r="O110">
            <v>450</v>
          </cell>
          <cell r="S110">
            <v>450</v>
          </cell>
        </row>
        <row r="111">
          <cell r="A111">
            <v>2169</v>
          </cell>
          <cell r="B111" t="str">
            <v>Rio Hondo Community College</v>
          </cell>
          <cell r="C111" t="str">
            <v>SO1</v>
          </cell>
          <cell r="D111" t="str">
            <v>Cogeneration</v>
          </cell>
          <cell r="E111" t="str">
            <v>Michele Walker</v>
          </cell>
          <cell r="F111" t="str">
            <v>Terminated</v>
          </cell>
          <cell r="G111">
            <v>32216</v>
          </cell>
          <cell r="H111">
            <v>1</v>
          </cell>
          <cell r="I111">
            <v>32288</v>
          </cell>
          <cell r="J111">
            <v>32288</v>
          </cell>
          <cell r="K111">
            <v>35670</v>
          </cell>
          <cell r="N111">
            <v>450</v>
          </cell>
          <cell r="O111">
            <v>450</v>
          </cell>
          <cell r="S111">
            <v>450</v>
          </cell>
        </row>
        <row r="112">
          <cell r="A112">
            <v>2178</v>
          </cell>
          <cell r="B112" t="str">
            <v>Claremont Club</v>
          </cell>
          <cell r="C112" t="str">
            <v>SO1</v>
          </cell>
          <cell r="D112" t="str">
            <v>Cogeneration</v>
          </cell>
          <cell r="E112" t="str">
            <v>Michele Walker</v>
          </cell>
          <cell r="F112" t="str">
            <v>Active</v>
          </cell>
          <cell r="G112">
            <v>31987</v>
          </cell>
          <cell r="H112">
            <v>1</v>
          </cell>
          <cell r="I112">
            <v>32338</v>
          </cell>
          <cell r="J112">
            <v>32338</v>
          </cell>
          <cell r="N112">
            <v>180</v>
          </cell>
          <cell r="O112">
            <v>180</v>
          </cell>
          <cell r="S112">
            <v>180</v>
          </cell>
        </row>
        <row r="113">
          <cell r="A113">
            <v>2180</v>
          </cell>
          <cell r="B113" t="str">
            <v>Co of Los Angeles - Pitchess Honor Ranch</v>
          </cell>
          <cell r="C113" t="str">
            <v>SO2</v>
          </cell>
          <cell r="D113" t="str">
            <v>Cogeneration</v>
          </cell>
          <cell r="E113" t="str">
            <v>Cathy Mendoza</v>
          </cell>
          <cell r="F113" t="str">
            <v>Active</v>
          </cell>
          <cell r="G113">
            <v>31356</v>
          </cell>
          <cell r="H113">
            <v>30</v>
          </cell>
          <cell r="I113">
            <v>32338</v>
          </cell>
          <cell r="J113">
            <v>32461</v>
          </cell>
          <cell r="K113">
            <v>43417</v>
          </cell>
          <cell r="L113">
            <v>22204</v>
          </cell>
          <cell r="M113">
            <v>3505</v>
          </cell>
          <cell r="N113">
            <v>3000</v>
          </cell>
          <cell r="O113">
            <v>28709</v>
          </cell>
          <cell r="P113">
            <v>22204</v>
          </cell>
          <cell r="Q113">
            <v>3505</v>
          </cell>
          <cell r="R113">
            <v>25709</v>
          </cell>
          <cell r="S113">
            <v>28709</v>
          </cell>
        </row>
        <row r="114">
          <cell r="A114">
            <v>2182</v>
          </cell>
          <cell r="B114" t="str">
            <v>Cerritos College</v>
          </cell>
          <cell r="C114" t="str">
            <v>SO3</v>
          </cell>
          <cell r="D114" t="str">
            <v>Cogeneration</v>
          </cell>
          <cell r="E114" t="str">
            <v>Cathy Mendoza</v>
          </cell>
          <cell r="F114" t="str">
            <v>Active</v>
          </cell>
          <cell r="G114">
            <v>31324</v>
          </cell>
          <cell r="H114">
            <v>1</v>
          </cell>
          <cell r="I114">
            <v>31412</v>
          </cell>
          <cell r="J114">
            <v>31412</v>
          </cell>
          <cell r="N114">
            <v>150</v>
          </cell>
          <cell r="O114">
            <v>150</v>
          </cell>
          <cell r="S114">
            <v>150</v>
          </cell>
        </row>
        <row r="115">
          <cell r="A115">
            <v>2189</v>
          </cell>
          <cell r="B115" t="str">
            <v>L.A. Unified School District - Bell HS</v>
          </cell>
          <cell r="C115" t="str">
            <v>SO3</v>
          </cell>
          <cell r="D115" t="str">
            <v>Cogeneration</v>
          </cell>
          <cell r="E115" t="str">
            <v>Cynthia Shindle</v>
          </cell>
          <cell r="F115" t="str">
            <v>Terminated</v>
          </cell>
          <cell r="G115">
            <v>31993</v>
          </cell>
          <cell r="H115">
            <v>1</v>
          </cell>
          <cell r="I115">
            <v>32232</v>
          </cell>
          <cell r="J115">
            <v>32232</v>
          </cell>
          <cell r="K115">
            <v>35243</v>
          </cell>
          <cell r="N115">
            <v>60</v>
          </cell>
          <cell r="O115">
            <v>60</v>
          </cell>
          <cell r="S115">
            <v>60</v>
          </cell>
        </row>
        <row r="116">
          <cell r="A116">
            <v>2193</v>
          </cell>
          <cell r="B116" t="str">
            <v>Southern California Gas Company</v>
          </cell>
          <cell r="C116" t="str">
            <v>SO1</v>
          </cell>
          <cell r="D116" t="str">
            <v>Cogeneration</v>
          </cell>
          <cell r="E116" t="str">
            <v>Bruce McCarthy</v>
          </cell>
          <cell r="F116" t="str">
            <v>Terminated</v>
          </cell>
          <cell r="G116">
            <v>31681</v>
          </cell>
          <cell r="H116">
            <v>0</v>
          </cell>
          <cell r="I116">
            <v>32080</v>
          </cell>
          <cell r="J116">
            <v>32080</v>
          </cell>
          <cell r="K116">
            <v>38449</v>
          </cell>
          <cell r="N116">
            <v>550</v>
          </cell>
          <cell r="O116">
            <v>550</v>
          </cell>
          <cell r="S116">
            <v>550</v>
          </cell>
        </row>
        <row r="117">
          <cell r="A117">
            <v>2195</v>
          </cell>
          <cell r="B117" t="str">
            <v>County of Tulare Detention</v>
          </cell>
          <cell r="C117" t="str">
            <v>SO1</v>
          </cell>
          <cell r="D117" t="str">
            <v>Cogeneration</v>
          </cell>
          <cell r="E117" t="str">
            <v>Pam Snethen</v>
          </cell>
          <cell r="F117" t="str">
            <v>Active</v>
          </cell>
          <cell r="G117">
            <v>31601</v>
          </cell>
          <cell r="H117">
            <v>1</v>
          </cell>
          <cell r="I117">
            <v>31902</v>
          </cell>
          <cell r="N117">
            <v>550</v>
          </cell>
          <cell r="O117">
            <v>550</v>
          </cell>
          <cell r="S117">
            <v>550</v>
          </cell>
        </row>
        <row r="118">
          <cell r="A118">
            <v>2198</v>
          </cell>
          <cell r="B118" t="str">
            <v>Turbine Tech Inc.</v>
          </cell>
          <cell r="C118" t="str">
            <v>SO1</v>
          </cell>
          <cell r="D118" t="str">
            <v>Cogeneration</v>
          </cell>
          <cell r="E118" t="str">
            <v>Michele Walker</v>
          </cell>
          <cell r="F118" t="str">
            <v>Terminated</v>
          </cell>
          <cell r="G118">
            <v>31412</v>
          </cell>
          <cell r="H118">
            <v>1</v>
          </cell>
          <cell r="I118">
            <v>32486</v>
          </cell>
          <cell r="J118">
            <v>32486</v>
          </cell>
          <cell r="K118">
            <v>36331</v>
          </cell>
          <cell r="M118">
            <v>130</v>
          </cell>
          <cell r="N118">
            <v>20</v>
          </cell>
          <cell r="O118">
            <v>150</v>
          </cell>
          <cell r="Q118">
            <v>130</v>
          </cell>
          <cell r="R118">
            <v>130</v>
          </cell>
          <cell r="S118">
            <v>150</v>
          </cell>
        </row>
        <row r="119">
          <cell r="A119">
            <v>2199</v>
          </cell>
          <cell r="B119" t="str">
            <v>Fullerton Union Sch. Dist/Buena Park</v>
          </cell>
          <cell r="C119" t="str">
            <v>SO3</v>
          </cell>
          <cell r="D119" t="str">
            <v>Cogeneration</v>
          </cell>
          <cell r="E119" t="str">
            <v>Bruce McCarthy</v>
          </cell>
          <cell r="F119" t="str">
            <v>Terminated</v>
          </cell>
          <cell r="G119">
            <v>31867</v>
          </cell>
          <cell r="H119">
            <v>1</v>
          </cell>
          <cell r="I119">
            <v>32022</v>
          </cell>
          <cell r="J119">
            <v>32022</v>
          </cell>
          <cell r="K119">
            <v>38393</v>
          </cell>
          <cell r="N119">
            <v>75</v>
          </cell>
          <cell r="O119">
            <v>75</v>
          </cell>
          <cell r="S119">
            <v>75</v>
          </cell>
        </row>
        <row r="120">
          <cell r="A120">
            <v>2200</v>
          </cell>
          <cell r="B120" t="str">
            <v>Fullerton Union Sch. Dist/La Habra</v>
          </cell>
          <cell r="C120" t="str">
            <v>SO3</v>
          </cell>
          <cell r="D120" t="str">
            <v>Cogeneration</v>
          </cell>
          <cell r="E120" t="str">
            <v>Bruce McCarthy</v>
          </cell>
          <cell r="F120" t="str">
            <v>Terminated</v>
          </cell>
          <cell r="G120">
            <v>31867</v>
          </cell>
          <cell r="H120">
            <v>1</v>
          </cell>
          <cell r="I120">
            <v>32021</v>
          </cell>
          <cell r="J120">
            <v>32021</v>
          </cell>
          <cell r="K120">
            <v>38393</v>
          </cell>
          <cell r="N120">
            <v>75</v>
          </cell>
          <cell r="O120">
            <v>75</v>
          </cell>
          <cell r="S120">
            <v>75</v>
          </cell>
        </row>
        <row r="121">
          <cell r="A121">
            <v>2201</v>
          </cell>
          <cell r="B121" t="str">
            <v>Fullerton Union Sch. Dist/Sunny Hills</v>
          </cell>
          <cell r="C121" t="str">
            <v>SO3</v>
          </cell>
          <cell r="D121" t="str">
            <v>Cogeneration</v>
          </cell>
          <cell r="E121" t="str">
            <v>Bruce McCarthy</v>
          </cell>
          <cell r="F121" t="str">
            <v>Terminated</v>
          </cell>
          <cell r="G121">
            <v>31867</v>
          </cell>
          <cell r="H121">
            <v>1</v>
          </cell>
          <cell r="I121">
            <v>32022</v>
          </cell>
          <cell r="J121">
            <v>32022</v>
          </cell>
          <cell r="K121">
            <v>38393</v>
          </cell>
          <cell r="N121">
            <v>75</v>
          </cell>
          <cell r="O121">
            <v>75</v>
          </cell>
          <cell r="S121">
            <v>75</v>
          </cell>
        </row>
        <row r="122">
          <cell r="A122">
            <v>2204</v>
          </cell>
          <cell r="B122" t="str">
            <v>Pomona G. P. Inc.</v>
          </cell>
          <cell r="C122" t="str">
            <v>SO1</v>
          </cell>
          <cell r="D122" t="str">
            <v>Cogeneration</v>
          </cell>
          <cell r="E122" t="str">
            <v>Michele Walker</v>
          </cell>
          <cell r="F122" t="str">
            <v>Terminated</v>
          </cell>
          <cell r="G122">
            <v>31677</v>
          </cell>
          <cell r="H122">
            <v>1</v>
          </cell>
          <cell r="I122">
            <v>32054</v>
          </cell>
          <cell r="J122">
            <v>32054</v>
          </cell>
          <cell r="K122">
            <v>35338</v>
          </cell>
          <cell r="N122">
            <v>3300</v>
          </cell>
          <cell r="O122">
            <v>3300</v>
          </cell>
          <cell r="S122">
            <v>3300</v>
          </cell>
        </row>
        <row r="123">
          <cell r="A123">
            <v>2205</v>
          </cell>
          <cell r="B123" t="str">
            <v>E. F. Oxnard Incorporated</v>
          </cell>
          <cell r="C123" t="str">
            <v>NEG</v>
          </cell>
          <cell r="D123" t="str">
            <v>Cogeneration</v>
          </cell>
          <cell r="E123" t="str">
            <v>Pam Snethen</v>
          </cell>
          <cell r="F123" t="str">
            <v>Active</v>
          </cell>
          <cell r="G123">
            <v>31394</v>
          </cell>
          <cell r="H123">
            <v>30</v>
          </cell>
          <cell r="I123">
            <v>32976</v>
          </cell>
          <cell r="J123">
            <v>33018</v>
          </cell>
          <cell r="K123">
            <v>43975</v>
          </cell>
          <cell r="L123">
            <v>47700</v>
          </cell>
          <cell r="N123">
            <v>800</v>
          </cell>
          <cell r="O123">
            <v>48500</v>
          </cell>
          <cell r="P123">
            <v>47700</v>
          </cell>
          <cell r="R123">
            <v>47700</v>
          </cell>
          <cell r="S123">
            <v>48500</v>
          </cell>
        </row>
        <row r="124">
          <cell r="A124">
            <v>2206</v>
          </cell>
          <cell r="B124" t="str">
            <v>Berry Petroleum Company (Newhall I)</v>
          </cell>
          <cell r="C124" t="str">
            <v>SO2</v>
          </cell>
          <cell r="D124" t="str">
            <v>Cogeneration</v>
          </cell>
          <cell r="E124" t="str">
            <v>Michele Walker</v>
          </cell>
          <cell r="F124" t="str">
            <v>Active</v>
          </cell>
          <cell r="G124">
            <v>31401</v>
          </cell>
          <cell r="H124">
            <v>19</v>
          </cell>
          <cell r="I124">
            <v>32938</v>
          </cell>
          <cell r="J124">
            <v>32956</v>
          </cell>
          <cell r="K124">
            <v>39895</v>
          </cell>
          <cell r="L124">
            <v>19600</v>
          </cell>
          <cell r="M124">
            <v>1160</v>
          </cell>
          <cell r="N124">
            <v>1000</v>
          </cell>
          <cell r="O124">
            <v>21760</v>
          </cell>
          <cell r="P124">
            <v>19600</v>
          </cell>
          <cell r="Q124">
            <v>1160</v>
          </cell>
          <cell r="R124">
            <v>20760</v>
          </cell>
          <cell r="S124">
            <v>21760</v>
          </cell>
        </row>
        <row r="125">
          <cell r="A125">
            <v>2207</v>
          </cell>
          <cell r="B125" t="str">
            <v>Berry Petroeum Company (Newhall II)</v>
          </cell>
          <cell r="C125" t="str">
            <v>SO2</v>
          </cell>
          <cell r="D125" t="str">
            <v>Cogeneration</v>
          </cell>
          <cell r="E125" t="str">
            <v>Michele Walker</v>
          </cell>
          <cell r="F125" t="str">
            <v>Terminated</v>
          </cell>
          <cell r="G125">
            <v>31401</v>
          </cell>
          <cell r="H125">
            <v>12</v>
          </cell>
          <cell r="I125">
            <v>32994</v>
          </cell>
          <cell r="J125">
            <v>33024</v>
          </cell>
          <cell r="K125">
            <v>37406</v>
          </cell>
          <cell r="L125">
            <v>19600</v>
          </cell>
          <cell r="M125">
            <v>1160</v>
          </cell>
          <cell r="N125">
            <v>1000</v>
          </cell>
          <cell r="O125">
            <v>21760</v>
          </cell>
          <cell r="P125">
            <v>19600</v>
          </cell>
          <cell r="Q125">
            <v>1160</v>
          </cell>
          <cell r="R125">
            <v>20760</v>
          </cell>
          <cell r="S125">
            <v>21760</v>
          </cell>
        </row>
        <row r="126">
          <cell r="A126">
            <v>2210</v>
          </cell>
          <cell r="B126" t="str">
            <v>Crimson Resource Management</v>
          </cell>
          <cell r="C126" t="str">
            <v>SO1</v>
          </cell>
          <cell r="D126" t="str">
            <v>Cogeneration</v>
          </cell>
          <cell r="E126" t="str">
            <v>Cathy Mendoza</v>
          </cell>
          <cell r="F126" t="str">
            <v>Active</v>
          </cell>
          <cell r="G126">
            <v>31442</v>
          </cell>
          <cell r="H126">
            <v>1</v>
          </cell>
          <cell r="I126">
            <v>31587</v>
          </cell>
          <cell r="J126">
            <v>31587</v>
          </cell>
          <cell r="M126">
            <v>164</v>
          </cell>
          <cell r="N126">
            <v>336</v>
          </cell>
          <cell r="O126">
            <v>500</v>
          </cell>
          <cell r="Q126">
            <v>164</v>
          </cell>
          <cell r="R126">
            <v>164</v>
          </cell>
          <cell r="S126">
            <v>500</v>
          </cell>
        </row>
        <row r="127">
          <cell r="A127">
            <v>2212</v>
          </cell>
          <cell r="B127" t="str">
            <v>Twin Palms Care Center</v>
          </cell>
          <cell r="C127" t="str">
            <v>SO3</v>
          </cell>
          <cell r="D127" t="str">
            <v>Cogeneration</v>
          </cell>
          <cell r="E127" t="str">
            <v>Bruce McCarthy</v>
          </cell>
          <cell r="F127" t="str">
            <v>Terminated</v>
          </cell>
          <cell r="G127">
            <v>31453</v>
          </cell>
          <cell r="H127">
            <v>1</v>
          </cell>
          <cell r="I127">
            <v>31589</v>
          </cell>
          <cell r="J127">
            <v>31589</v>
          </cell>
          <cell r="K127">
            <v>38343</v>
          </cell>
          <cell r="N127">
            <v>60</v>
          </cell>
          <cell r="O127">
            <v>60</v>
          </cell>
          <cell r="S127">
            <v>60</v>
          </cell>
        </row>
        <row r="128">
          <cell r="A128">
            <v>2213</v>
          </cell>
          <cell r="B128" t="str">
            <v>Rancho Simi Recreation &amp; Park #1</v>
          </cell>
          <cell r="C128" t="str">
            <v>SO3</v>
          </cell>
          <cell r="D128" t="str">
            <v>Cogeneration</v>
          </cell>
          <cell r="E128" t="str">
            <v>Anthony F Blakemore</v>
          </cell>
          <cell r="F128" t="str">
            <v>Active</v>
          </cell>
          <cell r="G128">
            <v>31566</v>
          </cell>
          <cell r="H128">
            <v>1</v>
          </cell>
          <cell r="I128">
            <v>31603</v>
          </cell>
          <cell r="J128">
            <v>31603</v>
          </cell>
          <cell r="N128">
            <v>60</v>
          </cell>
          <cell r="O128">
            <v>60</v>
          </cell>
          <cell r="S128">
            <v>60</v>
          </cell>
        </row>
        <row r="129">
          <cell r="A129">
            <v>2215</v>
          </cell>
          <cell r="B129" t="str">
            <v>Mobil Oil Corporation #1</v>
          </cell>
          <cell r="C129" t="str">
            <v>NEG</v>
          </cell>
          <cell r="D129" t="str">
            <v>Cogeneration</v>
          </cell>
          <cell r="E129" t="str">
            <v>Michele Walker</v>
          </cell>
          <cell r="F129" t="str">
            <v>Active</v>
          </cell>
          <cell r="G129">
            <v>32113</v>
          </cell>
          <cell r="H129">
            <v>0</v>
          </cell>
          <cell r="I129">
            <v>30437</v>
          </cell>
          <cell r="J129">
            <v>30437</v>
          </cell>
          <cell r="N129">
            <v>41900</v>
          </cell>
          <cell r="O129">
            <v>41900</v>
          </cell>
          <cell r="S129">
            <v>41900</v>
          </cell>
        </row>
        <row r="130">
          <cell r="A130">
            <v>2217</v>
          </cell>
          <cell r="B130" t="str">
            <v>San Bernardino Unif.Sch.Dist. - Cajon HS</v>
          </cell>
          <cell r="C130" t="str">
            <v>SO3</v>
          </cell>
          <cell r="D130" t="str">
            <v>Cogeneration</v>
          </cell>
          <cell r="E130" t="str">
            <v>David R Cox</v>
          </cell>
          <cell r="F130" t="str">
            <v>Active</v>
          </cell>
          <cell r="G130">
            <v>32290</v>
          </cell>
          <cell r="H130">
            <v>1</v>
          </cell>
          <cell r="I130">
            <v>32143</v>
          </cell>
          <cell r="J130">
            <v>32143</v>
          </cell>
          <cell r="N130">
            <v>75</v>
          </cell>
          <cell r="O130">
            <v>75</v>
          </cell>
          <cell r="S130">
            <v>75</v>
          </cell>
        </row>
        <row r="131">
          <cell r="A131">
            <v>2219</v>
          </cell>
          <cell r="B131" t="str">
            <v>Chaffey U.S.D./Ontario High School</v>
          </cell>
          <cell r="C131" t="str">
            <v>SO3</v>
          </cell>
          <cell r="D131" t="str">
            <v>Cogeneration</v>
          </cell>
          <cell r="E131" t="str">
            <v>Anthony F Blakemore</v>
          </cell>
          <cell r="F131" t="str">
            <v>Active</v>
          </cell>
          <cell r="G131">
            <v>31519</v>
          </cell>
          <cell r="H131">
            <v>1</v>
          </cell>
          <cell r="I131">
            <v>31594</v>
          </cell>
          <cell r="J131">
            <v>31594</v>
          </cell>
          <cell r="N131">
            <v>75</v>
          </cell>
          <cell r="O131">
            <v>75</v>
          </cell>
          <cell r="S131">
            <v>75</v>
          </cell>
        </row>
        <row r="132">
          <cell r="A132">
            <v>2220</v>
          </cell>
          <cell r="B132" t="str">
            <v>San Bernardino U,H.S.-S. Bern. H.S.</v>
          </cell>
          <cell r="C132" t="str">
            <v>SO3</v>
          </cell>
          <cell r="D132" t="str">
            <v>Cogeneration</v>
          </cell>
          <cell r="E132" t="str">
            <v>David R Cox</v>
          </cell>
          <cell r="F132" t="str">
            <v>Active</v>
          </cell>
          <cell r="G132">
            <v>32290</v>
          </cell>
          <cell r="H132">
            <v>1</v>
          </cell>
          <cell r="I132">
            <v>32143</v>
          </cell>
          <cell r="J132">
            <v>32143</v>
          </cell>
          <cell r="N132">
            <v>75</v>
          </cell>
          <cell r="O132">
            <v>75</v>
          </cell>
          <cell r="S132">
            <v>75</v>
          </cell>
        </row>
        <row r="133">
          <cell r="A133">
            <v>2223</v>
          </cell>
          <cell r="B133" t="str">
            <v>So Calif Presbyterian Homes (Regents Pt)</v>
          </cell>
          <cell r="C133" t="str">
            <v>SO3</v>
          </cell>
          <cell r="D133" t="str">
            <v>Cogeneration</v>
          </cell>
          <cell r="E133" t="str">
            <v>Michele Walker</v>
          </cell>
          <cell r="F133" t="str">
            <v>Inactive</v>
          </cell>
          <cell r="G133">
            <v>32099</v>
          </cell>
          <cell r="H133">
            <v>1</v>
          </cell>
          <cell r="I133">
            <v>32112</v>
          </cell>
          <cell r="J133">
            <v>32112</v>
          </cell>
          <cell r="N133">
            <v>75</v>
          </cell>
          <cell r="O133">
            <v>75</v>
          </cell>
          <cell r="S133">
            <v>75</v>
          </cell>
        </row>
        <row r="134">
          <cell r="A134">
            <v>2224</v>
          </cell>
          <cell r="B134" t="str">
            <v>Berry Petroleum Company (Newhall II)</v>
          </cell>
          <cell r="C134" t="str">
            <v>RSO1</v>
          </cell>
          <cell r="D134" t="str">
            <v>Cogeneration</v>
          </cell>
          <cell r="E134" t="str">
            <v>Michele Walker</v>
          </cell>
          <cell r="F134" t="str">
            <v>Active</v>
          </cell>
          <cell r="G134">
            <v>37574</v>
          </cell>
          <cell r="H134">
            <v>1</v>
          </cell>
          <cell r="I134">
            <v>37644</v>
          </cell>
          <cell r="J134">
            <v>37644</v>
          </cell>
          <cell r="K134">
            <v>40178</v>
          </cell>
          <cell r="M134">
            <v>19800</v>
          </cell>
          <cell r="O134">
            <v>19800</v>
          </cell>
          <cell r="Q134">
            <v>19800</v>
          </cell>
          <cell r="R134">
            <v>19800</v>
          </cell>
          <cell r="S134">
            <v>19800</v>
          </cell>
        </row>
        <row r="135">
          <cell r="A135">
            <v>2229</v>
          </cell>
          <cell r="B135" t="str">
            <v>Orange U.S.D. (El Modena High School)</v>
          </cell>
          <cell r="C135" t="str">
            <v>SO3</v>
          </cell>
          <cell r="D135" t="str">
            <v>Cogeneration</v>
          </cell>
          <cell r="E135" t="str">
            <v>Cathy Mendoza</v>
          </cell>
          <cell r="F135" t="str">
            <v>Terminated</v>
          </cell>
          <cell r="G135">
            <v>31629</v>
          </cell>
          <cell r="H135">
            <v>1</v>
          </cell>
          <cell r="I135">
            <v>31540</v>
          </cell>
          <cell r="J135">
            <v>31540</v>
          </cell>
          <cell r="K135">
            <v>36527</v>
          </cell>
          <cell r="N135">
            <v>75</v>
          </cell>
          <cell r="O135">
            <v>75</v>
          </cell>
          <cell r="S135">
            <v>75</v>
          </cell>
        </row>
        <row r="136">
          <cell r="A136">
            <v>2231</v>
          </cell>
          <cell r="B136" t="str">
            <v>Claremont Unified School District</v>
          </cell>
          <cell r="C136" t="str">
            <v>SO3</v>
          </cell>
          <cell r="D136" t="str">
            <v>Cogeneration</v>
          </cell>
          <cell r="E136" t="str">
            <v>Bruce McCarthy</v>
          </cell>
          <cell r="F136" t="str">
            <v>Terminated</v>
          </cell>
          <cell r="G136">
            <v>31890</v>
          </cell>
          <cell r="H136">
            <v>1</v>
          </cell>
          <cell r="I136">
            <v>32021</v>
          </cell>
          <cell r="J136">
            <v>32021</v>
          </cell>
          <cell r="K136">
            <v>36316</v>
          </cell>
          <cell r="N136">
            <v>75</v>
          </cell>
          <cell r="O136">
            <v>75</v>
          </cell>
          <cell r="S136">
            <v>75</v>
          </cell>
        </row>
        <row r="137">
          <cell r="A137">
            <v>2235</v>
          </cell>
          <cell r="B137" t="str">
            <v>California State Univ. Long Beach (Pool)</v>
          </cell>
          <cell r="C137" t="str">
            <v>SO1</v>
          </cell>
          <cell r="D137" t="str">
            <v>Cogeneration</v>
          </cell>
          <cell r="E137" t="str">
            <v>Pam Snethen</v>
          </cell>
          <cell r="F137" t="str">
            <v>Active</v>
          </cell>
          <cell r="G137">
            <v>31901</v>
          </cell>
          <cell r="H137">
            <v>0</v>
          </cell>
          <cell r="I137">
            <v>31928</v>
          </cell>
          <cell r="J137">
            <v>31928</v>
          </cell>
          <cell r="N137">
            <v>200</v>
          </cell>
          <cell r="O137">
            <v>200</v>
          </cell>
          <cell r="S137">
            <v>200</v>
          </cell>
        </row>
        <row r="138">
          <cell r="A138">
            <v>2236</v>
          </cell>
          <cell r="B138" t="str">
            <v>Rancho Simi Recreation &amp; Park#2</v>
          </cell>
          <cell r="C138" t="str">
            <v>SO3</v>
          </cell>
          <cell r="D138" t="str">
            <v>Cogeneration</v>
          </cell>
          <cell r="E138" t="str">
            <v>Anthony F Blakemore</v>
          </cell>
          <cell r="F138" t="str">
            <v>Active</v>
          </cell>
          <cell r="G138">
            <v>31566</v>
          </cell>
          <cell r="H138">
            <v>1</v>
          </cell>
          <cell r="I138">
            <v>31573</v>
          </cell>
          <cell r="J138">
            <v>31573</v>
          </cell>
          <cell r="N138">
            <v>60</v>
          </cell>
          <cell r="O138">
            <v>60</v>
          </cell>
          <cell r="S138">
            <v>60</v>
          </cell>
        </row>
        <row r="139">
          <cell r="A139">
            <v>2238</v>
          </cell>
          <cell r="B139" t="str">
            <v>Andrew G. Hammitt</v>
          </cell>
          <cell r="C139" t="str">
            <v>SO3</v>
          </cell>
          <cell r="D139" t="str">
            <v>Cogeneration</v>
          </cell>
          <cell r="E139" t="str">
            <v>Bruce McCarthy</v>
          </cell>
          <cell r="F139" t="str">
            <v>Terminated</v>
          </cell>
          <cell r="G139">
            <v>31905</v>
          </cell>
          <cell r="H139">
            <v>1</v>
          </cell>
          <cell r="I139">
            <v>32709</v>
          </cell>
          <cell r="J139">
            <v>32709</v>
          </cell>
          <cell r="K139">
            <v>36515</v>
          </cell>
          <cell r="N139">
            <v>20</v>
          </cell>
          <cell r="O139">
            <v>20</v>
          </cell>
          <cell r="S139">
            <v>20</v>
          </cell>
        </row>
        <row r="140">
          <cell r="A140">
            <v>2245</v>
          </cell>
          <cell r="B140" t="str">
            <v>College of the Canyons</v>
          </cell>
          <cell r="C140" t="str">
            <v>SO3</v>
          </cell>
          <cell r="D140" t="str">
            <v>Cogeneration</v>
          </cell>
          <cell r="E140" t="str">
            <v>Bruce McCarthy</v>
          </cell>
          <cell r="F140" t="str">
            <v>Terminated</v>
          </cell>
          <cell r="G140">
            <v>31964</v>
          </cell>
          <cell r="H140">
            <v>1</v>
          </cell>
          <cell r="I140">
            <v>32024</v>
          </cell>
          <cell r="J140">
            <v>32024</v>
          </cell>
          <cell r="K140">
            <v>37714</v>
          </cell>
          <cell r="N140">
            <v>60</v>
          </cell>
          <cell r="O140">
            <v>60</v>
          </cell>
          <cell r="S140">
            <v>60</v>
          </cell>
        </row>
        <row r="141">
          <cell r="A141">
            <v>2248</v>
          </cell>
          <cell r="B141" t="str">
            <v>Hilton Costa Mesa</v>
          </cell>
          <cell r="C141" t="str">
            <v>SO1</v>
          </cell>
          <cell r="D141" t="str">
            <v>Cogeneration</v>
          </cell>
          <cell r="E141" t="str">
            <v>Cathy Mendoza</v>
          </cell>
          <cell r="F141" t="str">
            <v>Terminated</v>
          </cell>
          <cell r="G141">
            <v>31939</v>
          </cell>
          <cell r="H141">
            <v>1</v>
          </cell>
          <cell r="I141">
            <v>31943</v>
          </cell>
          <cell r="J141">
            <v>31943</v>
          </cell>
          <cell r="K141">
            <v>38551</v>
          </cell>
          <cell r="N141">
            <v>460</v>
          </cell>
          <cell r="O141">
            <v>460</v>
          </cell>
          <cell r="S141">
            <v>460</v>
          </cell>
        </row>
        <row r="142">
          <cell r="A142">
            <v>2252</v>
          </cell>
          <cell r="B142" t="str">
            <v>Western Rock Products Inc.</v>
          </cell>
          <cell r="C142" t="str">
            <v>SO1</v>
          </cell>
          <cell r="D142" t="str">
            <v>Cogeneration</v>
          </cell>
          <cell r="E142" t="str">
            <v>Cynthia Shindle</v>
          </cell>
          <cell r="F142" t="str">
            <v>Terminated</v>
          </cell>
          <cell r="G142">
            <v>32713</v>
          </cell>
          <cell r="H142">
            <v>1</v>
          </cell>
          <cell r="I142">
            <v>31868</v>
          </cell>
          <cell r="J142">
            <v>31868</v>
          </cell>
          <cell r="K142">
            <v>34912</v>
          </cell>
          <cell r="N142">
            <v>250</v>
          </cell>
          <cell r="O142">
            <v>250</v>
          </cell>
          <cell r="S142">
            <v>250</v>
          </cell>
        </row>
        <row r="143">
          <cell r="A143">
            <v>2258</v>
          </cell>
          <cell r="B143" t="str">
            <v>Vanguard Energy Systems</v>
          </cell>
          <cell r="C143" t="str">
            <v>SO3</v>
          </cell>
          <cell r="D143" t="str">
            <v>Cogeneration</v>
          </cell>
          <cell r="E143" t="str">
            <v>Anthony F Blakemore</v>
          </cell>
          <cell r="F143" t="str">
            <v>Active</v>
          </cell>
          <cell r="G143">
            <v>31749</v>
          </cell>
          <cell r="H143">
            <v>30</v>
          </cell>
          <cell r="I143">
            <v>31792</v>
          </cell>
          <cell r="J143">
            <v>31792</v>
          </cell>
          <cell r="K143">
            <v>42749</v>
          </cell>
          <cell r="N143">
            <v>85</v>
          </cell>
          <cell r="O143">
            <v>85</v>
          </cell>
          <cell r="S143">
            <v>85</v>
          </cell>
        </row>
        <row r="144">
          <cell r="A144">
            <v>2260</v>
          </cell>
          <cell r="B144" t="str">
            <v>Peterson Industries/D Points Maytag</v>
          </cell>
          <cell r="C144" t="str">
            <v>SO3</v>
          </cell>
          <cell r="D144" t="str">
            <v>Cogeneration</v>
          </cell>
          <cell r="E144" t="str">
            <v>Michele Walker</v>
          </cell>
          <cell r="F144" t="str">
            <v>Terminated</v>
          </cell>
          <cell r="G144">
            <v>31905</v>
          </cell>
          <cell r="H144">
            <v>1</v>
          </cell>
          <cell r="I144">
            <v>31929</v>
          </cell>
          <cell r="J144">
            <v>31929</v>
          </cell>
          <cell r="K144">
            <v>35171</v>
          </cell>
        </row>
        <row r="145">
          <cell r="A145">
            <v>2262</v>
          </cell>
          <cell r="B145" t="str">
            <v>Ridgewood Power (Sunnyside)</v>
          </cell>
          <cell r="C145" t="str">
            <v>SO3</v>
          </cell>
          <cell r="D145" t="str">
            <v>Cogeneration</v>
          </cell>
          <cell r="E145" t="str">
            <v>Michele Walker</v>
          </cell>
          <cell r="F145" t="str">
            <v>Inactive</v>
          </cell>
          <cell r="G145">
            <v>33445</v>
          </cell>
          <cell r="H145">
            <v>30</v>
          </cell>
          <cell r="I145">
            <v>33648</v>
          </cell>
          <cell r="J145">
            <v>33648</v>
          </cell>
          <cell r="K145">
            <v>44605</v>
          </cell>
          <cell r="N145">
            <v>50</v>
          </cell>
          <cell r="O145">
            <v>50</v>
          </cell>
          <cell r="S145">
            <v>50</v>
          </cell>
        </row>
        <row r="146">
          <cell r="A146">
            <v>2265</v>
          </cell>
          <cell r="B146" t="str">
            <v>Cogenic Energy Systems Inc. (Cal Lutheran)</v>
          </cell>
          <cell r="C146" t="str">
            <v>SO3</v>
          </cell>
          <cell r="D146" t="str">
            <v>Cogeneration</v>
          </cell>
          <cell r="E146" t="str">
            <v>Michele Walker</v>
          </cell>
          <cell r="F146" t="str">
            <v>Inactive</v>
          </cell>
          <cell r="G146">
            <v>31994</v>
          </cell>
          <cell r="H146">
            <v>1</v>
          </cell>
          <cell r="I146">
            <v>32273</v>
          </cell>
          <cell r="J146">
            <v>32273</v>
          </cell>
          <cell r="N146">
            <v>99</v>
          </cell>
          <cell r="O146">
            <v>99</v>
          </cell>
          <cell r="S146">
            <v>99</v>
          </cell>
        </row>
        <row r="147">
          <cell r="A147">
            <v>2266</v>
          </cell>
          <cell r="B147" t="str">
            <v>Transamerican Plastics Corp.</v>
          </cell>
          <cell r="C147" t="str">
            <v>SO1</v>
          </cell>
          <cell r="D147" t="str">
            <v>Cogeneration</v>
          </cell>
          <cell r="E147" t="str">
            <v>Michele Walker</v>
          </cell>
          <cell r="F147" t="str">
            <v>Terminated</v>
          </cell>
          <cell r="G147">
            <v>31935</v>
          </cell>
          <cell r="H147">
            <v>1</v>
          </cell>
          <cell r="I147">
            <v>31993</v>
          </cell>
          <cell r="J147">
            <v>31993</v>
          </cell>
          <cell r="K147">
            <v>35243</v>
          </cell>
          <cell r="N147">
            <v>340</v>
          </cell>
          <cell r="O147">
            <v>340</v>
          </cell>
          <cell r="S147">
            <v>340</v>
          </cell>
        </row>
        <row r="148">
          <cell r="A148">
            <v>2268</v>
          </cell>
          <cell r="B148" t="str">
            <v>Conejo Valley U.S.D. (Newbury Pk H.S.)</v>
          </cell>
          <cell r="C148" t="str">
            <v>SO3</v>
          </cell>
          <cell r="D148" t="str">
            <v>Cogeneration</v>
          </cell>
          <cell r="E148" t="str">
            <v>David R Cox</v>
          </cell>
          <cell r="F148" t="str">
            <v>Active</v>
          </cell>
          <cell r="G148">
            <v>31930</v>
          </cell>
          <cell r="H148">
            <v>1</v>
          </cell>
          <cell r="I148">
            <v>31933</v>
          </cell>
          <cell r="J148">
            <v>31933</v>
          </cell>
          <cell r="N148">
            <v>75</v>
          </cell>
          <cell r="O148">
            <v>75</v>
          </cell>
          <cell r="S148">
            <v>75</v>
          </cell>
        </row>
        <row r="149">
          <cell r="A149">
            <v>2269</v>
          </cell>
          <cell r="B149" t="str">
            <v>Vanguard Energy Systems</v>
          </cell>
          <cell r="C149" t="str">
            <v>SO3</v>
          </cell>
          <cell r="D149" t="str">
            <v>Cogeneration</v>
          </cell>
          <cell r="E149" t="str">
            <v>Cathy Mendoza</v>
          </cell>
          <cell r="F149" t="str">
            <v>Terminated</v>
          </cell>
          <cell r="G149">
            <v>32058</v>
          </cell>
          <cell r="H149">
            <v>1</v>
          </cell>
          <cell r="I149">
            <v>32174</v>
          </cell>
          <cell r="J149">
            <v>32174</v>
          </cell>
          <cell r="K149">
            <v>38470</v>
          </cell>
          <cell r="N149">
            <v>100</v>
          </cell>
          <cell r="O149">
            <v>100</v>
          </cell>
          <cell r="S149">
            <v>100</v>
          </cell>
        </row>
        <row r="150">
          <cell r="A150">
            <v>2273</v>
          </cell>
          <cell r="B150" t="str">
            <v>Clarke &amp; Rush Mechanical (Whittier Cllg)</v>
          </cell>
          <cell r="C150" t="str">
            <v>SO3</v>
          </cell>
          <cell r="D150" t="str">
            <v>Cogeneration</v>
          </cell>
          <cell r="E150" t="str">
            <v>Anthony F Blakemore</v>
          </cell>
          <cell r="F150" t="str">
            <v>Terminated</v>
          </cell>
          <cell r="G150">
            <v>32245</v>
          </cell>
          <cell r="H150">
            <v>1</v>
          </cell>
          <cell r="I150">
            <v>32283</v>
          </cell>
          <cell r="J150">
            <v>32283</v>
          </cell>
          <cell r="N150">
            <v>60</v>
          </cell>
          <cell r="O150">
            <v>60</v>
          </cell>
          <cell r="S150">
            <v>60</v>
          </cell>
        </row>
        <row r="151">
          <cell r="A151">
            <v>2276</v>
          </cell>
          <cell r="B151" t="str">
            <v>Visalia Unif School Dist-Golden West HS</v>
          </cell>
          <cell r="C151" t="str">
            <v>SO3</v>
          </cell>
          <cell r="D151" t="str">
            <v>Cogeneration</v>
          </cell>
          <cell r="E151" t="str">
            <v>Cathy Mendoza</v>
          </cell>
          <cell r="F151" t="str">
            <v>Terminated</v>
          </cell>
          <cell r="G151">
            <v>31876</v>
          </cell>
          <cell r="H151">
            <v>1</v>
          </cell>
          <cell r="I151">
            <v>31907</v>
          </cell>
          <cell r="J151">
            <v>31907</v>
          </cell>
          <cell r="K151">
            <v>35531</v>
          </cell>
          <cell r="N151">
            <v>60</v>
          </cell>
          <cell r="O151">
            <v>60</v>
          </cell>
          <cell r="S151">
            <v>60</v>
          </cell>
        </row>
        <row r="152">
          <cell r="A152">
            <v>2278</v>
          </cell>
          <cell r="B152" t="str">
            <v>Santa Monica Hotel Assoc. Ltd.</v>
          </cell>
          <cell r="C152" t="str">
            <v>SO1</v>
          </cell>
          <cell r="D152" t="str">
            <v>Cogeneration</v>
          </cell>
          <cell r="E152" t="str">
            <v>Bruce McCarthy</v>
          </cell>
          <cell r="F152" t="str">
            <v>Terminated</v>
          </cell>
          <cell r="G152">
            <v>31964</v>
          </cell>
          <cell r="H152">
            <v>1</v>
          </cell>
          <cell r="I152">
            <v>32829</v>
          </cell>
          <cell r="J152">
            <v>32829</v>
          </cell>
          <cell r="K152">
            <v>36801</v>
          </cell>
          <cell r="M152">
            <v>150</v>
          </cell>
          <cell r="N152">
            <v>800</v>
          </cell>
          <cell r="O152">
            <v>950</v>
          </cell>
          <cell r="Q152">
            <v>150</v>
          </cell>
          <cell r="R152">
            <v>150</v>
          </cell>
          <cell r="S152">
            <v>950</v>
          </cell>
        </row>
        <row r="153">
          <cell r="A153">
            <v>2283</v>
          </cell>
          <cell r="B153" t="str">
            <v>Los Alamitos U.S.D. (Los Alamitos H.S.)</v>
          </cell>
          <cell r="C153" t="str">
            <v>SO3</v>
          </cell>
          <cell r="D153" t="str">
            <v>Cogeneration</v>
          </cell>
          <cell r="E153" t="str">
            <v>Cathy Mendoza</v>
          </cell>
          <cell r="F153" t="str">
            <v>Terminated</v>
          </cell>
          <cell r="G153">
            <v>32030</v>
          </cell>
          <cell r="H153">
            <v>1</v>
          </cell>
          <cell r="I153">
            <v>32082</v>
          </cell>
          <cell r="J153">
            <v>32082</v>
          </cell>
          <cell r="K153">
            <v>37045</v>
          </cell>
          <cell r="N153">
            <v>70</v>
          </cell>
          <cell r="O153">
            <v>70</v>
          </cell>
          <cell r="S153">
            <v>70</v>
          </cell>
        </row>
        <row r="154">
          <cell r="A154">
            <v>2284</v>
          </cell>
          <cell r="B154" t="str">
            <v>La Canada U.S.D. (La Canada H.S.)</v>
          </cell>
          <cell r="C154" t="str">
            <v>SO3</v>
          </cell>
          <cell r="D154" t="str">
            <v>Cogeneration</v>
          </cell>
          <cell r="E154" t="str">
            <v>Bruce McCarthy</v>
          </cell>
          <cell r="F154" t="str">
            <v>Terminated</v>
          </cell>
          <cell r="G154">
            <v>32001</v>
          </cell>
          <cell r="H154">
            <v>1</v>
          </cell>
          <cell r="I154">
            <v>32035</v>
          </cell>
          <cell r="J154">
            <v>32035</v>
          </cell>
          <cell r="K154">
            <v>37713</v>
          </cell>
          <cell r="N154">
            <v>120</v>
          </cell>
          <cell r="O154">
            <v>120</v>
          </cell>
          <cell r="S154">
            <v>120</v>
          </cell>
        </row>
        <row r="155">
          <cell r="A155">
            <v>2287</v>
          </cell>
          <cell r="B155" t="str">
            <v>Huntington Beach Union H.S. District</v>
          </cell>
          <cell r="C155" t="str">
            <v>SO3</v>
          </cell>
          <cell r="D155" t="str">
            <v>Cogeneration</v>
          </cell>
          <cell r="E155" t="str">
            <v>Bruce McCarthy</v>
          </cell>
          <cell r="F155" t="str">
            <v>Terminated</v>
          </cell>
          <cell r="G155">
            <v>32073</v>
          </cell>
          <cell r="H155">
            <v>1</v>
          </cell>
          <cell r="I155">
            <v>32115</v>
          </cell>
          <cell r="J155">
            <v>32115</v>
          </cell>
          <cell r="K155">
            <v>38666</v>
          </cell>
          <cell r="N155">
            <v>85</v>
          </cell>
          <cell r="O155">
            <v>85</v>
          </cell>
          <cell r="S155">
            <v>85</v>
          </cell>
        </row>
        <row r="156">
          <cell r="A156">
            <v>2300</v>
          </cell>
          <cell r="B156" t="str">
            <v>El Rancho High School</v>
          </cell>
          <cell r="C156" t="str">
            <v>SO3</v>
          </cell>
          <cell r="D156" t="str">
            <v>Cogeneration</v>
          </cell>
          <cell r="E156" t="str">
            <v>Bruce McCarthy</v>
          </cell>
          <cell r="F156" t="str">
            <v>Terminated</v>
          </cell>
          <cell r="G156">
            <v>32058</v>
          </cell>
          <cell r="H156">
            <v>1</v>
          </cell>
          <cell r="I156">
            <v>32096</v>
          </cell>
          <cell r="J156">
            <v>32096</v>
          </cell>
          <cell r="K156">
            <v>37804</v>
          </cell>
          <cell r="N156">
            <v>75</v>
          </cell>
          <cell r="O156">
            <v>75</v>
          </cell>
          <cell r="S156">
            <v>75</v>
          </cell>
        </row>
        <row r="157">
          <cell r="A157">
            <v>2303</v>
          </cell>
          <cell r="B157" t="str">
            <v>Hanford Joint Union H.S. District</v>
          </cell>
          <cell r="C157" t="str">
            <v>SO3</v>
          </cell>
          <cell r="D157" t="str">
            <v>Cogeneration</v>
          </cell>
          <cell r="E157" t="str">
            <v>Pam Snethen</v>
          </cell>
          <cell r="F157" t="str">
            <v>Active</v>
          </cell>
          <cell r="G157">
            <v>32073</v>
          </cell>
          <cell r="H157">
            <v>1</v>
          </cell>
          <cell r="I157">
            <v>32119</v>
          </cell>
          <cell r="J157">
            <v>32119</v>
          </cell>
          <cell r="K157">
            <v>38869</v>
          </cell>
          <cell r="N157">
            <v>60</v>
          </cell>
          <cell r="O157">
            <v>60</v>
          </cell>
          <cell r="S157">
            <v>60</v>
          </cell>
        </row>
        <row r="158">
          <cell r="A158">
            <v>2311</v>
          </cell>
          <cell r="B158" t="str">
            <v>Azusa Unified School District</v>
          </cell>
          <cell r="C158" t="str">
            <v>SO3</v>
          </cell>
          <cell r="D158" t="str">
            <v>Cogeneration</v>
          </cell>
          <cell r="E158" t="str">
            <v>Pam Snethen</v>
          </cell>
          <cell r="F158" t="str">
            <v>Active</v>
          </cell>
          <cell r="G158">
            <v>32079</v>
          </cell>
          <cell r="H158">
            <v>1</v>
          </cell>
          <cell r="I158">
            <v>32752</v>
          </cell>
          <cell r="J158">
            <v>32752</v>
          </cell>
          <cell r="N158">
            <v>70</v>
          </cell>
          <cell r="O158">
            <v>70</v>
          </cell>
          <cell r="S158">
            <v>70</v>
          </cell>
        </row>
        <row r="159">
          <cell r="A159">
            <v>2312</v>
          </cell>
          <cell r="B159" t="str">
            <v>Monrovia Unified School District</v>
          </cell>
          <cell r="C159" t="str">
            <v>SO3</v>
          </cell>
          <cell r="D159" t="str">
            <v>Cogeneration</v>
          </cell>
          <cell r="E159" t="str">
            <v>Pam Snethen</v>
          </cell>
          <cell r="F159" t="str">
            <v>Active</v>
          </cell>
          <cell r="G159">
            <v>32178</v>
          </cell>
          <cell r="H159">
            <v>1</v>
          </cell>
          <cell r="I159">
            <v>32324</v>
          </cell>
          <cell r="J159">
            <v>32324</v>
          </cell>
          <cell r="N159">
            <v>70</v>
          </cell>
          <cell r="O159">
            <v>70</v>
          </cell>
          <cell r="S159">
            <v>70</v>
          </cell>
        </row>
        <row r="160">
          <cell r="A160">
            <v>2314</v>
          </cell>
          <cell r="B160" t="str">
            <v>Ridgewood Power (Cal Tron Plating)</v>
          </cell>
          <cell r="C160" t="str">
            <v>SO3</v>
          </cell>
          <cell r="D160" t="str">
            <v>Cogeneration</v>
          </cell>
          <cell r="E160" t="str">
            <v>Michele Walker</v>
          </cell>
          <cell r="F160" t="str">
            <v>Inactive</v>
          </cell>
          <cell r="G160">
            <v>32035</v>
          </cell>
          <cell r="H160">
            <v>1</v>
          </cell>
          <cell r="I160">
            <v>32335</v>
          </cell>
          <cell r="J160">
            <v>32335</v>
          </cell>
          <cell r="N160">
            <v>60</v>
          </cell>
          <cell r="O160">
            <v>60</v>
          </cell>
          <cell r="S160">
            <v>60</v>
          </cell>
        </row>
        <row r="161">
          <cell r="A161">
            <v>2316</v>
          </cell>
          <cell r="B161" t="str">
            <v>American Private Power Ventures</v>
          </cell>
          <cell r="C161" t="str">
            <v>SO1</v>
          </cell>
          <cell r="D161" t="str">
            <v>Cogeneration</v>
          </cell>
          <cell r="E161" t="str">
            <v>Cathy Mendoza</v>
          </cell>
          <cell r="F161" t="str">
            <v>Terminated</v>
          </cell>
          <cell r="G161">
            <v>32332</v>
          </cell>
          <cell r="H161">
            <v>1</v>
          </cell>
          <cell r="I161">
            <v>32597</v>
          </cell>
          <cell r="J161">
            <v>32597</v>
          </cell>
          <cell r="K161">
            <v>35526</v>
          </cell>
          <cell r="M161">
            <v>300</v>
          </cell>
          <cell r="N161">
            <v>700</v>
          </cell>
          <cell r="O161">
            <v>1000</v>
          </cell>
          <cell r="Q161">
            <v>300</v>
          </cell>
          <cell r="R161">
            <v>300</v>
          </cell>
          <cell r="S161">
            <v>1000</v>
          </cell>
        </row>
        <row r="162">
          <cell r="A162">
            <v>2318</v>
          </cell>
          <cell r="B162" t="str">
            <v>Redlands YMCA</v>
          </cell>
          <cell r="C162" t="str">
            <v>SO3</v>
          </cell>
          <cell r="D162" t="str">
            <v>Cogeneration</v>
          </cell>
          <cell r="E162" t="str">
            <v>Bruce McCarthy</v>
          </cell>
          <cell r="F162" t="str">
            <v>Terminated</v>
          </cell>
          <cell r="G162">
            <v>32002</v>
          </cell>
          <cell r="H162">
            <v>1</v>
          </cell>
          <cell r="I162">
            <v>32048</v>
          </cell>
          <cell r="J162">
            <v>32048</v>
          </cell>
          <cell r="K162">
            <v>37672</v>
          </cell>
          <cell r="N162">
            <v>33</v>
          </cell>
          <cell r="O162">
            <v>33</v>
          </cell>
          <cell r="S162">
            <v>33</v>
          </cell>
        </row>
        <row r="163">
          <cell r="A163">
            <v>2323</v>
          </cell>
          <cell r="B163" t="str">
            <v>Ridgewood Power (Lake Arrowhead Hilton)</v>
          </cell>
          <cell r="C163" t="str">
            <v>SO1</v>
          </cell>
          <cell r="D163" t="str">
            <v>Cogeneration</v>
          </cell>
          <cell r="E163" t="str">
            <v>Michele Walker</v>
          </cell>
          <cell r="F163" t="str">
            <v>Inactive</v>
          </cell>
          <cell r="G163">
            <v>33130</v>
          </cell>
          <cell r="H163">
            <v>1</v>
          </cell>
          <cell r="I163">
            <v>32399</v>
          </cell>
          <cell r="J163">
            <v>32399</v>
          </cell>
          <cell r="K163">
            <v>44087</v>
          </cell>
          <cell r="N163">
            <v>280</v>
          </cell>
          <cell r="O163">
            <v>280</v>
          </cell>
          <cell r="S163">
            <v>280</v>
          </cell>
        </row>
        <row r="164">
          <cell r="A164">
            <v>2326</v>
          </cell>
          <cell r="B164" t="str">
            <v>Conejo Valley U.S.D. (Thousand Oaks)</v>
          </cell>
          <cell r="C164" t="str">
            <v>SO3</v>
          </cell>
          <cell r="D164" t="str">
            <v>Cogeneration</v>
          </cell>
          <cell r="E164" t="str">
            <v>David R Cox</v>
          </cell>
          <cell r="F164" t="str">
            <v>Active</v>
          </cell>
          <cell r="G164">
            <v>32113</v>
          </cell>
          <cell r="H164">
            <v>1</v>
          </cell>
          <cell r="I164">
            <v>32120</v>
          </cell>
          <cell r="J164">
            <v>32120</v>
          </cell>
          <cell r="N164">
            <v>75</v>
          </cell>
          <cell r="O164">
            <v>75</v>
          </cell>
          <cell r="S164">
            <v>75</v>
          </cell>
        </row>
        <row r="165">
          <cell r="A165">
            <v>2327</v>
          </cell>
          <cell r="B165" t="str">
            <v>Ridgewood Power (Safe Plating)</v>
          </cell>
          <cell r="C165" t="str">
            <v>SO3</v>
          </cell>
          <cell r="D165" t="str">
            <v>Cogeneration</v>
          </cell>
          <cell r="E165" t="str">
            <v>Michele Walker</v>
          </cell>
          <cell r="F165" t="str">
            <v>Inactive</v>
          </cell>
          <cell r="G165">
            <v>32119</v>
          </cell>
          <cell r="H165">
            <v>1</v>
          </cell>
          <cell r="I165">
            <v>32370</v>
          </cell>
          <cell r="J165">
            <v>32370</v>
          </cell>
          <cell r="N165">
            <v>100</v>
          </cell>
          <cell r="O165">
            <v>100</v>
          </cell>
          <cell r="S165">
            <v>100</v>
          </cell>
        </row>
        <row r="166">
          <cell r="A166">
            <v>2339</v>
          </cell>
          <cell r="B166" t="str">
            <v>Ridgewood Power (Foss Plating)</v>
          </cell>
          <cell r="C166" t="str">
            <v>SO3</v>
          </cell>
          <cell r="D166" t="str">
            <v>Cogeneration</v>
          </cell>
          <cell r="E166" t="str">
            <v>Michele Walker</v>
          </cell>
          <cell r="F166" t="str">
            <v>Terminated</v>
          </cell>
          <cell r="G166">
            <v>32119</v>
          </cell>
          <cell r="H166">
            <v>1</v>
          </cell>
          <cell r="I166">
            <v>32335</v>
          </cell>
          <cell r="J166">
            <v>32335</v>
          </cell>
          <cell r="K166">
            <v>38666</v>
          </cell>
          <cell r="N166">
            <v>100</v>
          </cell>
          <cell r="O166">
            <v>100</v>
          </cell>
          <cell r="S166">
            <v>100</v>
          </cell>
        </row>
        <row r="167">
          <cell r="A167">
            <v>2343</v>
          </cell>
          <cell r="B167" t="str">
            <v>Micro Utility Partners of America</v>
          </cell>
          <cell r="C167" t="str">
            <v>SO3</v>
          </cell>
          <cell r="D167" t="str">
            <v>Cogeneration</v>
          </cell>
          <cell r="E167" t="str">
            <v>Michele Walker</v>
          </cell>
          <cell r="F167" t="str">
            <v>Terminated</v>
          </cell>
          <cell r="G167">
            <v>32195</v>
          </cell>
          <cell r="H167">
            <v>1</v>
          </cell>
          <cell r="I167">
            <v>32573</v>
          </cell>
          <cell r="J167">
            <v>32573</v>
          </cell>
          <cell r="K167">
            <v>36636</v>
          </cell>
          <cell r="N167">
            <v>90</v>
          </cell>
          <cell r="O167">
            <v>90</v>
          </cell>
          <cell r="S167">
            <v>90</v>
          </cell>
        </row>
        <row r="168">
          <cell r="A168">
            <v>2344</v>
          </cell>
          <cell r="B168" t="str">
            <v>Arcadia U.S.D. - Arcadia High School</v>
          </cell>
          <cell r="C168" t="str">
            <v>SO3</v>
          </cell>
          <cell r="D168" t="str">
            <v>Cogeneration</v>
          </cell>
          <cell r="E168" t="str">
            <v>Michele Walker</v>
          </cell>
          <cell r="F168" t="str">
            <v>Active</v>
          </cell>
          <cell r="G168">
            <v>32160</v>
          </cell>
          <cell r="H168">
            <v>1</v>
          </cell>
          <cell r="I168">
            <v>32531</v>
          </cell>
          <cell r="J168">
            <v>32531</v>
          </cell>
          <cell r="N168">
            <v>70</v>
          </cell>
          <cell r="O168">
            <v>70</v>
          </cell>
          <cell r="S168">
            <v>70</v>
          </cell>
        </row>
        <row r="169">
          <cell r="A169">
            <v>2347</v>
          </cell>
          <cell r="B169" t="str">
            <v>Simmax Energy LLC - Shoreline</v>
          </cell>
          <cell r="C169" t="str">
            <v>SO3</v>
          </cell>
          <cell r="D169" t="str">
            <v>Cogeneration</v>
          </cell>
          <cell r="E169" t="str">
            <v>Michele Walker</v>
          </cell>
          <cell r="F169" t="str">
            <v>Terminated</v>
          </cell>
          <cell r="G169">
            <v>32496</v>
          </cell>
          <cell r="H169">
            <v>1</v>
          </cell>
          <cell r="I169">
            <v>32612</v>
          </cell>
          <cell r="J169">
            <v>32612</v>
          </cell>
          <cell r="K169">
            <v>38445</v>
          </cell>
          <cell r="N169">
            <v>60</v>
          </cell>
          <cell r="O169">
            <v>60</v>
          </cell>
          <cell r="S169">
            <v>60</v>
          </cell>
        </row>
        <row r="170">
          <cell r="A170">
            <v>2348</v>
          </cell>
          <cell r="B170" t="str">
            <v>Simmax Energy LLC - St. Joseph Hospital</v>
          </cell>
          <cell r="C170" t="str">
            <v>SO3</v>
          </cell>
          <cell r="D170" t="str">
            <v>Cogeneration</v>
          </cell>
          <cell r="E170" t="str">
            <v>Michele Walker</v>
          </cell>
          <cell r="F170" t="str">
            <v>Terminated</v>
          </cell>
          <cell r="G170">
            <v>32420</v>
          </cell>
          <cell r="H170">
            <v>1</v>
          </cell>
          <cell r="I170">
            <v>32509</v>
          </cell>
          <cell r="J170">
            <v>32509</v>
          </cell>
          <cell r="K170">
            <v>38449</v>
          </cell>
          <cell r="N170">
            <v>60</v>
          </cell>
          <cell r="O170">
            <v>60</v>
          </cell>
          <cell r="S170">
            <v>60</v>
          </cell>
        </row>
        <row r="171">
          <cell r="A171">
            <v>2349</v>
          </cell>
          <cell r="B171" t="str">
            <v>Quaker City Plating</v>
          </cell>
          <cell r="C171" t="str">
            <v>SO3</v>
          </cell>
          <cell r="D171" t="str">
            <v>Cogeneration</v>
          </cell>
          <cell r="E171" t="str">
            <v>Michele Walker</v>
          </cell>
          <cell r="F171" t="str">
            <v>Inactive</v>
          </cell>
          <cell r="G171">
            <v>32128</v>
          </cell>
          <cell r="H171">
            <v>1</v>
          </cell>
          <cell r="I171">
            <v>32140</v>
          </cell>
          <cell r="J171">
            <v>32140</v>
          </cell>
          <cell r="N171">
            <v>100</v>
          </cell>
          <cell r="O171">
            <v>100</v>
          </cell>
          <cell r="S171">
            <v>100</v>
          </cell>
        </row>
        <row r="172">
          <cell r="A172">
            <v>2355</v>
          </cell>
          <cell r="B172" t="str">
            <v>Bassett Unified School Dist (Bassett HS)</v>
          </cell>
          <cell r="C172" t="str">
            <v>SO3</v>
          </cell>
          <cell r="D172" t="str">
            <v>Cogeneration</v>
          </cell>
          <cell r="E172" t="str">
            <v>Michele Walker</v>
          </cell>
          <cell r="F172" t="str">
            <v>Terminated</v>
          </cell>
          <cell r="G172">
            <v>32216</v>
          </cell>
          <cell r="H172">
            <v>1</v>
          </cell>
          <cell r="I172">
            <v>32325</v>
          </cell>
          <cell r="J172">
            <v>32325</v>
          </cell>
          <cell r="N172">
            <v>70</v>
          </cell>
          <cell r="O172">
            <v>70</v>
          </cell>
          <cell r="S172">
            <v>70</v>
          </cell>
        </row>
        <row r="173">
          <cell r="A173">
            <v>2356</v>
          </cell>
          <cell r="B173" t="str">
            <v>El Dorado Enterprise</v>
          </cell>
          <cell r="C173" t="str">
            <v>SO3</v>
          </cell>
          <cell r="D173" t="str">
            <v>Cogeneration</v>
          </cell>
          <cell r="E173" t="str">
            <v>Michele Walker</v>
          </cell>
          <cell r="F173" t="str">
            <v>Terminated</v>
          </cell>
          <cell r="G173">
            <v>32169</v>
          </cell>
          <cell r="H173">
            <v>1</v>
          </cell>
          <cell r="I173">
            <v>32233</v>
          </cell>
          <cell r="J173">
            <v>32233</v>
          </cell>
          <cell r="K173">
            <v>36068</v>
          </cell>
          <cell r="N173">
            <v>75</v>
          </cell>
          <cell r="O173">
            <v>75</v>
          </cell>
          <cell r="S173">
            <v>75</v>
          </cell>
        </row>
        <row r="174">
          <cell r="A174">
            <v>2357</v>
          </cell>
          <cell r="B174" t="str">
            <v>Tulare J.U.H.S.D. (Western High)</v>
          </cell>
          <cell r="C174" t="str">
            <v>SO3</v>
          </cell>
          <cell r="D174" t="str">
            <v>Cogeneration</v>
          </cell>
          <cell r="E174" t="str">
            <v>Cathy Mendoza</v>
          </cell>
          <cell r="F174" t="str">
            <v>Terminated</v>
          </cell>
          <cell r="G174">
            <v>32195</v>
          </cell>
          <cell r="H174">
            <v>1</v>
          </cell>
          <cell r="I174">
            <v>32203</v>
          </cell>
          <cell r="J174">
            <v>32203</v>
          </cell>
          <cell r="K174">
            <v>36740</v>
          </cell>
          <cell r="N174">
            <v>60</v>
          </cell>
          <cell r="O174">
            <v>60</v>
          </cell>
          <cell r="S174">
            <v>60</v>
          </cell>
        </row>
        <row r="175">
          <cell r="A175">
            <v>2358</v>
          </cell>
          <cell r="B175" t="str">
            <v>Chaffey Joint Union H.S. - Montclair HS</v>
          </cell>
          <cell r="C175" t="str">
            <v>SO3</v>
          </cell>
          <cell r="D175" t="str">
            <v>Cogeneration</v>
          </cell>
          <cell r="E175" t="str">
            <v>Anthony F Blakemore</v>
          </cell>
          <cell r="F175" t="str">
            <v>Active</v>
          </cell>
          <cell r="G175">
            <v>32673</v>
          </cell>
          <cell r="H175">
            <v>30</v>
          </cell>
          <cell r="I175">
            <v>32962</v>
          </cell>
          <cell r="J175">
            <v>32962</v>
          </cell>
          <cell r="K175">
            <v>43919</v>
          </cell>
          <cell r="N175">
            <v>70</v>
          </cell>
          <cell r="O175">
            <v>70</v>
          </cell>
          <cell r="S175">
            <v>70</v>
          </cell>
        </row>
        <row r="176">
          <cell r="A176">
            <v>2359</v>
          </cell>
          <cell r="B176" t="str">
            <v>Simmax Energy LLC (Holiday Inn)</v>
          </cell>
          <cell r="C176" t="str">
            <v>SO3</v>
          </cell>
          <cell r="D176" t="str">
            <v>Cogeneration</v>
          </cell>
          <cell r="E176" t="str">
            <v>Michele Walker</v>
          </cell>
          <cell r="F176" t="str">
            <v>Active</v>
          </cell>
          <cell r="G176">
            <v>32245</v>
          </cell>
          <cell r="H176">
            <v>1</v>
          </cell>
          <cell r="I176">
            <v>32295</v>
          </cell>
          <cell r="J176">
            <v>32295</v>
          </cell>
          <cell r="N176">
            <v>150</v>
          </cell>
          <cell r="O176">
            <v>150</v>
          </cell>
          <cell r="S176">
            <v>150</v>
          </cell>
        </row>
        <row r="177">
          <cell r="A177">
            <v>2364</v>
          </cell>
          <cell r="B177" t="str">
            <v>City of Long Beach</v>
          </cell>
          <cell r="C177" t="str">
            <v>SO1</v>
          </cell>
          <cell r="D177" t="str">
            <v>Cogeneration</v>
          </cell>
          <cell r="E177" t="str">
            <v>Bruce McCarthy</v>
          </cell>
          <cell r="F177" t="str">
            <v>Terminated</v>
          </cell>
          <cell r="G177">
            <v>33158</v>
          </cell>
          <cell r="H177">
            <v>30</v>
          </cell>
          <cell r="I177">
            <v>33242</v>
          </cell>
          <cell r="J177">
            <v>33242</v>
          </cell>
          <cell r="K177">
            <v>37016</v>
          </cell>
          <cell r="N177">
            <v>120</v>
          </cell>
          <cell r="O177">
            <v>120</v>
          </cell>
          <cell r="S177">
            <v>120</v>
          </cell>
        </row>
        <row r="178">
          <cell r="A178">
            <v>2366</v>
          </cell>
          <cell r="B178" t="str">
            <v>Omni Metal Finishing</v>
          </cell>
          <cell r="C178" t="str">
            <v>SO3</v>
          </cell>
          <cell r="D178" t="str">
            <v>Cogeneration</v>
          </cell>
          <cell r="E178" t="str">
            <v>Pam Snethen</v>
          </cell>
          <cell r="F178" t="str">
            <v>Active</v>
          </cell>
          <cell r="G178">
            <v>32398</v>
          </cell>
          <cell r="H178">
            <v>1</v>
          </cell>
          <cell r="I178">
            <v>32533</v>
          </cell>
          <cell r="J178">
            <v>32533</v>
          </cell>
          <cell r="N178">
            <v>60</v>
          </cell>
          <cell r="O178">
            <v>60</v>
          </cell>
          <cell r="S178">
            <v>60</v>
          </cell>
        </row>
        <row r="179">
          <cell r="A179">
            <v>2371</v>
          </cell>
          <cell r="B179" t="str">
            <v>Earlimart School Dist (Earlimart Sch #2)</v>
          </cell>
          <cell r="C179" t="str">
            <v>SO3</v>
          </cell>
          <cell r="D179" t="str">
            <v>Cogeneration</v>
          </cell>
          <cell r="E179" t="str">
            <v>Bruce McCarthy</v>
          </cell>
          <cell r="F179" t="str">
            <v>Terminated</v>
          </cell>
          <cell r="G179">
            <v>32528</v>
          </cell>
          <cell r="H179">
            <v>1</v>
          </cell>
          <cell r="I179">
            <v>32599</v>
          </cell>
          <cell r="J179">
            <v>32599</v>
          </cell>
          <cell r="K179">
            <v>36780</v>
          </cell>
          <cell r="N179">
            <v>60</v>
          </cell>
          <cell r="O179">
            <v>60</v>
          </cell>
          <cell r="S179">
            <v>60</v>
          </cell>
        </row>
        <row r="180">
          <cell r="A180">
            <v>2372</v>
          </cell>
          <cell r="B180" t="str">
            <v>South Kern U.S.D. (Rosamond H.S.)</v>
          </cell>
          <cell r="C180" t="str">
            <v>SO3</v>
          </cell>
          <cell r="D180" t="str">
            <v>Cogeneration</v>
          </cell>
          <cell r="E180" t="str">
            <v>Cathy Mendoza</v>
          </cell>
          <cell r="F180" t="str">
            <v>Terminated</v>
          </cell>
          <cell r="G180">
            <v>32394</v>
          </cell>
          <cell r="H180">
            <v>1</v>
          </cell>
          <cell r="I180">
            <v>32568</v>
          </cell>
          <cell r="J180">
            <v>32568</v>
          </cell>
          <cell r="K180">
            <v>36334</v>
          </cell>
          <cell r="N180">
            <v>60</v>
          </cell>
          <cell r="O180">
            <v>60</v>
          </cell>
          <cell r="S180">
            <v>60</v>
          </cell>
        </row>
        <row r="181">
          <cell r="A181">
            <v>2373</v>
          </cell>
          <cell r="B181" t="str">
            <v>Sacred Heart Hospital</v>
          </cell>
          <cell r="C181" t="str">
            <v>SO3</v>
          </cell>
          <cell r="D181" t="str">
            <v>Cogeneration</v>
          </cell>
          <cell r="E181" t="str">
            <v>Cathy Mendoza</v>
          </cell>
          <cell r="F181" t="str">
            <v>Terminated</v>
          </cell>
          <cell r="G181">
            <v>32528</v>
          </cell>
          <cell r="H181">
            <v>1</v>
          </cell>
          <cell r="I181">
            <v>32825</v>
          </cell>
          <cell r="J181">
            <v>32825</v>
          </cell>
          <cell r="K181">
            <v>36621</v>
          </cell>
          <cell r="N181">
            <v>60</v>
          </cell>
          <cell r="O181">
            <v>60</v>
          </cell>
          <cell r="S181">
            <v>60</v>
          </cell>
        </row>
        <row r="182">
          <cell r="A182">
            <v>2374</v>
          </cell>
          <cell r="B182" t="str">
            <v>Simmax Energy LLC - Country Inn &amp; Suites</v>
          </cell>
          <cell r="C182" t="str">
            <v>SO3</v>
          </cell>
          <cell r="D182" t="str">
            <v>Cogeneration</v>
          </cell>
          <cell r="E182" t="str">
            <v>Michele Walker</v>
          </cell>
          <cell r="F182" t="str">
            <v>Terminated</v>
          </cell>
          <cell r="G182">
            <v>32398</v>
          </cell>
          <cell r="H182">
            <v>1</v>
          </cell>
          <cell r="I182">
            <v>32479</v>
          </cell>
          <cell r="J182">
            <v>32479</v>
          </cell>
          <cell r="K182">
            <v>38452</v>
          </cell>
          <cell r="N182">
            <v>98</v>
          </cell>
          <cell r="O182">
            <v>98</v>
          </cell>
          <cell r="S182">
            <v>98</v>
          </cell>
        </row>
        <row r="183">
          <cell r="A183">
            <v>2378</v>
          </cell>
          <cell r="B183" t="str">
            <v>Falcon Foam Plastics</v>
          </cell>
          <cell r="C183" t="str">
            <v>SO1</v>
          </cell>
          <cell r="D183" t="str">
            <v>Cogeneration</v>
          </cell>
          <cell r="E183" t="str">
            <v>Michele Walker</v>
          </cell>
          <cell r="F183" t="str">
            <v>Terminated</v>
          </cell>
          <cell r="G183">
            <v>32686</v>
          </cell>
          <cell r="H183">
            <v>1</v>
          </cell>
          <cell r="I183">
            <v>32937</v>
          </cell>
          <cell r="J183">
            <v>32937</v>
          </cell>
          <cell r="K183">
            <v>36005</v>
          </cell>
          <cell r="N183">
            <v>365</v>
          </cell>
          <cell r="O183">
            <v>365</v>
          </cell>
          <cell r="S183">
            <v>365</v>
          </cell>
        </row>
        <row r="184">
          <cell r="A184">
            <v>2379</v>
          </cell>
          <cell r="B184" t="str">
            <v>Biola University</v>
          </cell>
          <cell r="C184" t="str">
            <v>SO1</v>
          </cell>
          <cell r="D184" t="str">
            <v>Cogeneration</v>
          </cell>
          <cell r="E184" t="str">
            <v>Cathy Mendoza</v>
          </cell>
          <cell r="F184" t="str">
            <v>Terminated</v>
          </cell>
          <cell r="G184">
            <v>32941</v>
          </cell>
          <cell r="H184">
            <v>30</v>
          </cell>
          <cell r="I184">
            <v>32974</v>
          </cell>
          <cell r="J184">
            <v>32974</v>
          </cell>
          <cell r="K184">
            <v>37629</v>
          </cell>
          <cell r="N184">
            <v>1124</v>
          </cell>
          <cell r="O184">
            <v>1124</v>
          </cell>
          <cell r="S184">
            <v>1124</v>
          </cell>
        </row>
        <row r="185">
          <cell r="A185">
            <v>2380</v>
          </cell>
          <cell r="B185" t="str">
            <v>Maclay Coin Laundry</v>
          </cell>
          <cell r="C185" t="str">
            <v>SO3</v>
          </cell>
          <cell r="D185" t="str">
            <v>Cogeneration</v>
          </cell>
          <cell r="E185" t="str">
            <v>Michele Walker</v>
          </cell>
          <cell r="F185" t="str">
            <v>Terminated</v>
          </cell>
          <cell r="G185">
            <v>32514</v>
          </cell>
          <cell r="H185">
            <v>1</v>
          </cell>
          <cell r="I185">
            <v>32639</v>
          </cell>
          <cell r="J185">
            <v>32639</v>
          </cell>
          <cell r="K185">
            <v>35893</v>
          </cell>
        </row>
        <row r="186">
          <cell r="A186">
            <v>2382</v>
          </cell>
          <cell r="B186" t="str">
            <v>UNOCAL Science and Technology</v>
          </cell>
          <cell r="C186" t="str">
            <v>SO1</v>
          </cell>
          <cell r="D186" t="str">
            <v>Cogeneration</v>
          </cell>
          <cell r="E186" t="str">
            <v>Michele Walker</v>
          </cell>
          <cell r="F186" t="str">
            <v>Terminated</v>
          </cell>
          <cell r="G186">
            <v>32965</v>
          </cell>
          <cell r="H186">
            <v>1</v>
          </cell>
          <cell r="I186">
            <v>33234</v>
          </cell>
          <cell r="J186">
            <v>33234</v>
          </cell>
          <cell r="K186">
            <v>36427</v>
          </cell>
          <cell r="M186">
            <v>456</v>
          </cell>
          <cell r="N186">
            <v>3167</v>
          </cell>
          <cell r="O186">
            <v>3623</v>
          </cell>
          <cell r="Q186">
            <v>456</v>
          </cell>
          <cell r="R186">
            <v>456</v>
          </cell>
          <cell r="S186">
            <v>3623</v>
          </cell>
        </row>
        <row r="187">
          <cell r="A187">
            <v>2384</v>
          </cell>
          <cell r="B187" t="str">
            <v>CES Energy-Corona Ltd.</v>
          </cell>
          <cell r="C187" t="str">
            <v>SO1</v>
          </cell>
          <cell r="D187" t="str">
            <v>Cogeneration</v>
          </cell>
          <cell r="E187" t="str">
            <v>Bruce McCarthy</v>
          </cell>
          <cell r="F187" t="str">
            <v>Terminated</v>
          </cell>
          <cell r="G187">
            <v>32792</v>
          </cell>
          <cell r="H187">
            <v>30</v>
          </cell>
          <cell r="I187">
            <v>33039</v>
          </cell>
          <cell r="J187">
            <v>33039</v>
          </cell>
          <cell r="K187">
            <v>36216</v>
          </cell>
          <cell r="M187">
            <v>175</v>
          </cell>
          <cell r="O187">
            <v>175</v>
          </cell>
          <cell r="Q187">
            <v>175</v>
          </cell>
          <cell r="R187">
            <v>175</v>
          </cell>
          <cell r="S187">
            <v>600</v>
          </cell>
        </row>
        <row r="188">
          <cell r="A188">
            <v>2386</v>
          </cell>
          <cell r="B188" t="str">
            <v>Brea-Olinda Unified School District</v>
          </cell>
          <cell r="C188" t="str">
            <v>SO3</v>
          </cell>
          <cell r="D188" t="str">
            <v>Cogeneration</v>
          </cell>
          <cell r="E188" t="str">
            <v>Michele Walker</v>
          </cell>
          <cell r="F188" t="str">
            <v>Active</v>
          </cell>
          <cell r="G188">
            <v>32911</v>
          </cell>
          <cell r="H188">
            <v>30</v>
          </cell>
          <cell r="I188">
            <v>32941</v>
          </cell>
          <cell r="J188">
            <v>32941</v>
          </cell>
          <cell r="K188">
            <v>43898</v>
          </cell>
          <cell r="N188">
            <v>70</v>
          </cell>
          <cell r="O188">
            <v>70</v>
          </cell>
          <cell r="S188">
            <v>70</v>
          </cell>
        </row>
        <row r="189">
          <cell r="A189">
            <v>2388</v>
          </cell>
          <cell r="B189" t="str">
            <v>Rialto Unified School District</v>
          </cell>
          <cell r="C189" t="str">
            <v>SO3</v>
          </cell>
          <cell r="D189" t="str">
            <v>Cogeneration</v>
          </cell>
          <cell r="E189" t="str">
            <v>Bruce McCarthy</v>
          </cell>
          <cell r="F189" t="str">
            <v>Terminated</v>
          </cell>
          <cell r="G189">
            <v>32713</v>
          </cell>
          <cell r="H189">
            <v>30</v>
          </cell>
          <cell r="I189">
            <v>32862</v>
          </cell>
          <cell r="J189">
            <v>32862</v>
          </cell>
          <cell r="K189">
            <v>36613</v>
          </cell>
          <cell r="M189">
            <v>100</v>
          </cell>
          <cell r="O189">
            <v>100</v>
          </cell>
          <cell r="Q189">
            <v>100</v>
          </cell>
          <cell r="R189">
            <v>100</v>
          </cell>
          <cell r="S189">
            <v>100</v>
          </cell>
        </row>
        <row r="190">
          <cell r="A190">
            <v>2389</v>
          </cell>
          <cell r="B190" t="str">
            <v>Whittier Union High School District</v>
          </cell>
          <cell r="C190" t="str">
            <v>SO3</v>
          </cell>
          <cell r="D190" t="str">
            <v>Cogeneration</v>
          </cell>
          <cell r="E190" t="str">
            <v>Cathy Mendoza</v>
          </cell>
          <cell r="F190" t="str">
            <v>Terminated</v>
          </cell>
          <cell r="G190">
            <v>32673</v>
          </cell>
          <cell r="H190">
            <v>30</v>
          </cell>
          <cell r="I190">
            <v>32877</v>
          </cell>
          <cell r="J190">
            <v>32877</v>
          </cell>
          <cell r="K190">
            <v>35685</v>
          </cell>
          <cell r="M190">
            <v>100</v>
          </cell>
          <cell r="O190">
            <v>100</v>
          </cell>
          <cell r="Q190">
            <v>100</v>
          </cell>
          <cell r="R190">
            <v>100</v>
          </cell>
          <cell r="S190">
            <v>100</v>
          </cell>
        </row>
        <row r="191">
          <cell r="A191">
            <v>2390</v>
          </cell>
          <cell r="B191" t="str">
            <v>American Golf Corporation, Monterey CC</v>
          </cell>
          <cell r="C191" t="str">
            <v>SO1</v>
          </cell>
          <cell r="D191" t="str">
            <v>Cogeneration</v>
          </cell>
          <cell r="E191" t="str">
            <v>Michele Walker</v>
          </cell>
          <cell r="F191" t="str">
            <v>Terminated</v>
          </cell>
          <cell r="G191">
            <v>32673</v>
          </cell>
          <cell r="H191">
            <v>30</v>
          </cell>
          <cell r="I191">
            <v>33275</v>
          </cell>
          <cell r="J191">
            <v>33275</v>
          </cell>
          <cell r="K191">
            <v>36432</v>
          </cell>
          <cell r="M191">
            <v>115</v>
          </cell>
          <cell r="O191">
            <v>115</v>
          </cell>
          <cell r="Q191">
            <v>115</v>
          </cell>
          <cell r="R191">
            <v>115</v>
          </cell>
          <cell r="S191">
            <v>115</v>
          </cell>
        </row>
        <row r="192">
          <cell r="A192">
            <v>2392</v>
          </cell>
          <cell r="B192" t="str">
            <v>American Golf Corporation (Palm Vly CC)</v>
          </cell>
          <cell r="C192" t="str">
            <v>SO1</v>
          </cell>
          <cell r="D192" t="str">
            <v>Cogeneration</v>
          </cell>
          <cell r="E192" t="str">
            <v>Michele Walker</v>
          </cell>
          <cell r="F192" t="str">
            <v>Terminated</v>
          </cell>
          <cell r="G192">
            <v>32673</v>
          </cell>
          <cell r="H192">
            <v>30</v>
          </cell>
          <cell r="I192">
            <v>33322</v>
          </cell>
          <cell r="J192">
            <v>33322</v>
          </cell>
          <cell r="K192">
            <v>36432</v>
          </cell>
          <cell r="M192">
            <v>94</v>
          </cell>
          <cell r="N192">
            <v>316</v>
          </cell>
          <cell r="O192">
            <v>410</v>
          </cell>
          <cell r="Q192">
            <v>94</v>
          </cell>
          <cell r="R192">
            <v>94</v>
          </cell>
          <cell r="S192">
            <v>410</v>
          </cell>
        </row>
        <row r="193">
          <cell r="A193">
            <v>2394</v>
          </cell>
          <cell r="B193" t="str">
            <v>Rimrock Road Apartments, LLC</v>
          </cell>
          <cell r="C193" t="str">
            <v>SO1</v>
          </cell>
          <cell r="D193" t="str">
            <v>Cogeneration</v>
          </cell>
          <cell r="E193" t="str">
            <v>Cathy Mendoza</v>
          </cell>
          <cell r="F193" t="str">
            <v>Active</v>
          </cell>
          <cell r="G193">
            <v>32792</v>
          </cell>
          <cell r="H193">
            <v>20</v>
          </cell>
          <cell r="I193">
            <v>32813</v>
          </cell>
          <cell r="J193">
            <v>32813</v>
          </cell>
          <cell r="K193">
            <v>40117</v>
          </cell>
          <cell r="M193">
            <v>17</v>
          </cell>
          <cell r="N193">
            <v>103</v>
          </cell>
          <cell r="O193">
            <v>120</v>
          </cell>
          <cell r="Q193">
            <v>17</v>
          </cell>
          <cell r="R193">
            <v>17</v>
          </cell>
          <cell r="S193">
            <v>120</v>
          </cell>
        </row>
        <row r="194">
          <cell r="A194">
            <v>2395</v>
          </cell>
          <cell r="B194" t="str">
            <v>2055 Harbor Blvd Assoc.</v>
          </cell>
          <cell r="C194" t="str">
            <v>SO1</v>
          </cell>
          <cell r="D194" t="str">
            <v>Cogeneration</v>
          </cell>
          <cell r="E194" t="str">
            <v>Bruce McCarthy</v>
          </cell>
          <cell r="F194" t="str">
            <v>Terminated</v>
          </cell>
          <cell r="G194">
            <v>32792</v>
          </cell>
          <cell r="H194">
            <v>30</v>
          </cell>
          <cell r="I194">
            <v>32815</v>
          </cell>
          <cell r="J194">
            <v>32815</v>
          </cell>
          <cell r="K194">
            <v>37704</v>
          </cell>
          <cell r="N194">
            <v>200</v>
          </cell>
          <cell r="O194">
            <v>200</v>
          </cell>
          <cell r="S194">
            <v>200</v>
          </cell>
        </row>
        <row r="195">
          <cell r="A195">
            <v>2396</v>
          </cell>
          <cell r="B195" t="str">
            <v>South End Racquet &amp; Health Club</v>
          </cell>
          <cell r="C195" t="str">
            <v>SO3</v>
          </cell>
          <cell r="D195" t="str">
            <v>Cogeneration</v>
          </cell>
          <cell r="E195" t="str">
            <v>Cathy Mendoza</v>
          </cell>
          <cell r="F195" t="str">
            <v>Active</v>
          </cell>
          <cell r="G195">
            <v>32713</v>
          </cell>
          <cell r="H195">
            <v>1</v>
          </cell>
          <cell r="I195">
            <v>32947</v>
          </cell>
          <cell r="J195">
            <v>32947</v>
          </cell>
          <cell r="K195">
            <v>43904</v>
          </cell>
          <cell r="M195">
            <v>60</v>
          </cell>
          <cell r="O195">
            <v>60</v>
          </cell>
          <cell r="Q195">
            <v>60</v>
          </cell>
          <cell r="R195">
            <v>60</v>
          </cell>
          <cell r="S195">
            <v>60</v>
          </cell>
        </row>
        <row r="196">
          <cell r="A196">
            <v>2398</v>
          </cell>
          <cell r="B196" t="str">
            <v>Huntington Beach UHSD/Edison HS</v>
          </cell>
          <cell r="C196" t="str">
            <v>SO3</v>
          </cell>
          <cell r="D196" t="str">
            <v>Cogeneration</v>
          </cell>
          <cell r="E196" t="str">
            <v>Bruce McCarthy</v>
          </cell>
          <cell r="F196" t="str">
            <v>Terminated</v>
          </cell>
          <cell r="G196">
            <v>33011</v>
          </cell>
          <cell r="H196">
            <v>15</v>
          </cell>
          <cell r="I196">
            <v>33208</v>
          </cell>
          <cell r="J196">
            <v>33208</v>
          </cell>
          <cell r="K196">
            <v>38605</v>
          </cell>
          <cell r="N196">
            <v>85</v>
          </cell>
          <cell r="O196">
            <v>85</v>
          </cell>
          <cell r="S196">
            <v>85</v>
          </cell>
        </row>
        <row r="197">
          <cell r="A197">
            <v>2399</v>
          </cell>
          <cell r="B197" t="str">
            <v>Huntington Beach UHSD/Marina HS</v>
          </cell>
          <cell r="C197" t="str">
            <v>SO3</v>
          </cell>
          <cell r="D197" t="str">
            <v>Cogeneration</v>
          </cell>
          <cell r="E197" t="str">
            <v>Bruce McCarthy</v>
          </cell>
          <cell r="F197" t="str">
            <v>Terminated</v>
          </cell>
          <cell r="G197">
            <v>33011</v>
          </cell>
          <cell r="H197">
            <v>15</v>
          </cell>
          <cell r="I197">
            <v>33208</v>
          </cell>
          <cell r="J197">
            <v>33208</v>
          </cell>
          <cell r="K197">
            <v>38605</v>
          </cell>
          <cell r="N197">
            <v>85</v>
          </cell>
          <cell r="O197">
            <v>85</v>
          </cell>
          <cell r="S197">
            <v>85</v>
          </cell>
        </row>
        <row r="198">
          <cell r="A198">
            <v>2400</v>
          </cell>
          <cell r="B198" t="str">
            <v>Huntington Beach UHSD/Westminster HS</v>
          </cell>
          <cell r="C198" t="str">
            <v>SO3</v>
          </cell>
          <cell r="D198" t="str">
            <v>Cogeneration</v>
          </cell>
          <cell r="E198" t="str">
            <v>Bruce McCarthy</v>
          </cell>
          <cell r="F198" t="str">
            <v>Terminated</v>
          </cell>
          <cell r="G198">
            <v>33011</v>
          </cell>
          <cell r="H198">
            <v>15</v>
          </cell>
          <cell r="I198">
            <v>33146</v>
          </cell>
          <cell r="J198">
            <v>33146</v>
          </cell>
          <cell r="K198">
            <v>38605</v>
          </cell>
          <cell r="N198">
            <v>70</v>
          </cell>
          <cell r="O198">
            <v>70</v>
          </cell>
          <cell r="S198">
            <v>70</v>
          </cell>
        </row>
        <row r="199">
          <cell r="A199">
            <v>2401</v>
          </cell>
          <cell r="B199" t="str">
            <v>City of Ventura/Eastside Wtr Renovation</v>
          </cell>
          <cell r="C199" t="str">
            <v>SO1</v>
          </cell>
          <cell r="D199" t="str">
            <v>Cogeneration</v>
          </cell>
          <cell r="E199" t="str">
            <v>Cathy Mendoza</v>
          </cell>
          <cell r="F199" t="str">
            <v>Active</v>
          </cell>
          <cell r="G199">
            <v>33564</v>
          </cell>
          <cell r="H199">
            <v>30</v>
          </cell>
          <cell r="I199">
            <v>33696</v>
          </cell>
          <cell r="J199">
            <v>33696</v>
          </cell>
          <cell r="K199">
            <v>44652</v>
          </cell>
          <cell r="N199">
            <v>548</v>
          </cell>
          <cell r="O199">
            <v>548</v>
          </cell>
          <cell r="S199">
            <v>548</v>
          </cell>
        </row>
        <row r="200">
          <cell r="A200">
            <v>2402</v>
          </cell>
          <cell r="B200" t="str">
            <v>Corona-Norco U.S.D. (Corona HS)</v>
          </cell>
          <cell r="C200" t="str">
            <v>SO3</v>
          </cell>
          <cell r="D200" t="str">
            <v>Cogeneration</v>
          </cell>
          <cell r="E200" t="str">
            <v>Bruce McCarthy</v>
          </cell>
          <cell r="F200" t="str">
            <v>Terminated</v>
          </cell>
          <cell r="G200">
            <v>34466</v>
          </cell>
          <cell r="H200">
            <v>5</v>
          </cell>
          <cell r="I200">
            <v>33573</v>
          </cell>
          <cell r="J200">
            <v>33573</v>
          </cell>
          <cell r="K200">
            <v>38383</v>
          </cell>
          <cell r="N200">
            <v>70</v>
          </cell>
          <cell r="O200">
            <v>70</v>
          </cell>
          <cell r="S200">
            <v>70</v>
          </cell>
        </row>
        <row r="201">
          <cell r="A201">
            <v>2403</v>
          </cell>
          <cell r="B201" t="str">
            <v>Corona-Norco U.S.D. (Norco HS)</v>
          </cell>
          <cell r="C201" t="str">
            <v>SO3</v>
          </cell>
          <cell r="D201" t="str">
            <v>Cogeneration</v>
          </cell>
          <cell r="E201" t="str">
            <v>Bruce McCarthy</v>
          </cell>
          <cell r="F201" t="str">
            <v>Terminated</v>
          </cell>
          <cell r="G201">
            <v>34474</v>
          </cell>
          <cell r="H201">
            <v>5</v>
          </cell>
          <cell r="I201">
            <v>33618</v>
          </cell>
          <cell r="J201">
            <v>33618</v>
          </cell>
          <cell r="K201">
            <v>38383</v>
          </cell>
          <cell r="N201">
            <v>70</v>
          </cell>
          <cell r="O201">
            <v>70</v>
          </cell>
          <cell r="S201">
            <v>70</v>
          </cell>
        </row>
        <row r="202">
          <cell r="A202">
            <v>2407</v>
          </cell>
          <cell r="B202" t="str">
            <v>The Vintage Club</v>
          </cell>
          <cell r="C202" t="str">
            <v>SO1</v>
          </cell>
          <cell r="D202" t="str">
            <v>Cogeneration</v>
          </cell>
          <cell r="E202" t="str">
            <v>Michele Walker</v>
          </cell>
          <cell r="F202" t="str">
            <v>Terminated</v>
          </cell>
          <cell r="G202">
            <v>33221</v>
          </cell>
          <cell r="H202">
            <v>20</v>
          </cell>
          <cell r="I202">
            <v>33431</v>
          </cell>
          <cell r="J202">
            <v>33431</v>
          </cell>
          <cell r="K202">
            <v>36055</v>
          </cell>
          <cell r="M202">
            <v>65</v>
          </cell>
          <cell r="N202">
            <v>535</v>
          </cell>
          <cell r="O202">
            <v>600</v>
          </cell>
          <cell r="Q202">
            <v>65</v>
          </cell>
          <cell r="R202">
            <v>65</v>
          </cell>
          <cell r="S202">
            <v>600</v>
          </cell>
        </row>
        <row r="203">
          <cell r="A203">
            <v>2409</v>
          </cell>
          <cell r="B203" t="str">
            <v>Central Quick Wash</v>
          </cell>
          <cell r="C203" t="str">
            <v>SO3</v>
          </cell>
          <cell r="D203" t="str">
            <v>Cogeneration</v>
          </cell>
          <cell r="E203" t="str">
            <v>Bruce McCarthy</v>
          </cell>
          <cell r="F203" t="str">
            <v>Terminated</v>
          </cell>
          <cell r="G203">
            <v>32924</v>
          </cell>
          <cell r="H203">
            <v>30</v>
          </cell>
          <cell r="I203">
            <v>33030</v>
          </cell>
          <cell r="J203">
            <v>33030</v>
          </cell>
          <cell r="K203">
            <v>37308</v>
          </cell>
          <cell r="N203">
            <v>12</v>
          </cell>
          <cell r="O203">
            <v>12</v>
          </cell>
          <cell r="S203">
            <v>12</v>
          </cell>
        </row>
        <row r="204">
          <cell r="A204">
            <v>2410</v>
          </cell>
          <cell r="B204" t="str">
            <v>Oxnard High School</v>
          </cell>
          <cell r="C204" t="str">
            <v>SO3</v>
          </cell>
          <cell r="D204" t="str">
            <v>Cogeneration</v>
          </cell>
          <cell r="E204" t="str">
            <v>Cathy Mendoza</v>
          </cell>
          <cell r="F204" t="str">
            <v>Terminated</v>
          </cell>
          <cell r="G204">
            <v>33011</v>
          </cell>
          <cell r="H204">
            <v>15</v>
          </cell>
          <cell r="I204">
            <v>33022</v>
          </cell>
          <cell r="J204">
            <v>33022</v>
          </cell>
          <cell r="K204">
            <v>36422</v>
          </cell>
          <cell r="M204">
            <v>120</v>
          </cell>
          <cell r="O204">
            <v>120</v>
          </cell>
          <cell r="Q204">
            <v>120</v>
          </cell>
          <cell r="R204">
            <v>120</v>
          </cell>
          <cell r="S204">
            <v>120</v>
          </cell>
        </row>
        <row r="205">
          <cell r="A205">
            <v>2411</v>
          </cell>
          <cell r="B205" t="str">
            <v>Hueneme High School</v>
          </cell>
          <cell r="C205" t="str">
            <v>SO3</v>
          </cell>
          <cell r="D205" t="str">
            <v>Cogeneration</v>
          </cell>
          <cell r="E205" t="str">
            <v>Pam Snethen</v>
          </cell>
          <cell r="F205" t="str">
            <v>Active</v>
          </cell>
          <cell r="G205">
            <v>33011</v>
          </cell>
          <cell r="H205">
            <v>1</v>
          </cell>
          <cell r="I205">
            <v>33018</v>
          </cell>
          <cell r="J205">
            <v>33018</v>
          </cell>
          <cell r="K205">
            <v>43975</v>
          </cell>
          <cell r="N205">
            <v>75</v>
          </cell>
          <cell r="O205">
            <v>75</v>
          </cell>
          <cell r="S205">
            <v>75</v>
          </cell>
        </row>
        <row r="206">
          <cell r="A206">
            <v>2413</v>
          </cell>
          <cell r="B206" t="str">
            <v>St. John's Hospital and Health Center</v>
          </cell>
          <cell r="C206" t="str">
            <v>SO1</v>
          </cell>
          <cell r="D206" t="str">
            <v>Cogeneration</v>
          </cell>
          <cell r="E206" t="str">
            <v>Pam Snethen</v>
          </cell>
          <cell r="F206" t="str">
            <v>Active</v>
          </cell>
          <cell r="G206">
            <v>33563</v>
          </cell>
          <cell r="H206">
            <v>20</v>
          </cell>
          <cell r="I206">
            <v>33639</v>
          </cell>
          <cell r="J206">
            <v>33639</v>
          </cell>
          <cell r="N206">
            <v>1080</v>
          </cell>
          <cell r="O206">
            <v>1080</v>
          </cell>
          <cell r="S206">
            <v>1080</v>
          </cell>
        </row>
        <row r="207">
          <cell r="A207">
            <v>2414</v>
          </cell>
          <cell r="B207" t="str">
            <v>Pacific Clay Product, Inc.</v>
          </cell>
          <cell r="C207" t="str">
            <v>SO1</v>
          </cell>
          <cell r="D207" t="str">
            <v>Cogeneration</v>
          </cell>
          <cell r="E207" t="str">
            <v>Bruce McCarthy</v>
          </cell>
          <cell r="F207" t="str">
            <v>Terminated</v>
          </cell>
          <cell r="G207">
            <v>33158</v>
          </cell>
          <cell r="H207">
            <v>20</v>
          </cell>
          <cell r="I207">
            <v>33362</v>
          </cell>
          <cell r="J207">
            <v>33362</v>
          </cell>
          <cell r="K207">
            <v>37295</v>
          </cell>
          <cell r="M207">
            <v>125</v>
          </cell>
          <cell r="N207">
            <v>435</v>
          </cell>
          <cell r="O207">
            <v>560</v>
          </cell>
          <cell r="Q207">
            <v>125</v>
          </cell>
          <cell r="R207">
            <v>125</v>
          </cell>
          <cell r="S207">
            <v>560</v>
          </cell>
        </row>
        <row r="208">
          <cell r="A208">
            <v>2420</v>
          </cell>
          <cell r="B208" t="str">
            <v>Redlands Unified School District</v>
          </cell>
          <cell r="C208" t="str">
            <v>SO3</v>
          </cell>
          <cell r="D208" t="str">
            <v>Cogeneration</v>
          </cell>
          <cell r="E208" t="str">
            <v>Cathy Mendoza</v>
          </cell>
          <cell r="F208" t="str">
            <v>Active</v>
          </cell>
          <cell r="G208">
            <v>33066</v>
          </cell>
          <cell r="H208">
            <v>15</v>
          </cell>
          <cell r="I208">
            <v>33228</v>
          </cell>
          <cell r="J208">
            <v>33228</v>
          </cell>
          <cell r="N208">
            <v>60</v>
          </cell>
          <cell r="O208">
            <v>60</v>
          </cell>
          <cell r="S208">
            <v>60</v>
          </cell>
        </row>
        <row r="209">
          <cell r="A209">
            <v>2423</v>
          </cell>
          <cell r="B209" t="str">
            <v>Orange U.S.D./Villa Park High School</v>
          </cell>
          <cell r="C209" t="str">
            <v>SO3</v>
          </cell>
          <cell r="D209" t="str">
            <v>Cogeneration</v>
          </cell>
          <cell r="E209" t="str">
            <v>Pam Snethen</v>
          </cell>
          <cell r="F209" t="str">
            <v>Active</v>
          </cell>
          <cell r="G209">
            <v>34452</v>
          </cell>
          <cell r="H209">
            <v>5</v>
          </cell>
          <cell r="I209">
            <v>34227</v>
          </cell>
          <cell r="J209">
            <v>34227</v>
          </cell>
          <cell r="N209">
            <v>85</v>
          </cell>
          <cell r="O209">
            <v>85</v>
          </cell>
          <cell r="S209">
            <v>85</v>
          </cell>
        </row>
        <row r="210">
          <cell r="A210">
            <v>2424</v>
          </cell>
          <cell r="B210" t="str">
            <v>Rio Hondo College</v>
          </cell>
          <cell r="C210" t="str">
            <v>SO3</v>
          </cell>
          <cell r="D210" t="str">
            <v>Cogeneration</v>
          </cell>
          <cell r="E210" t="str">
            <v>Bruce McCarthy</v>
          </cell>
          <cell r="F210" t="str">
            <v>Terminated</v>
          </cell>
          <cell r="G210">
            <v>33130</v>
          </cell>
          <cell r="H210">
            <v>15</v>
          </cell>
          <cell r="I210">
            <v>33289</v>
          </cell>
          <cell r="J210">
            <v>33289</v>
          </cell>
          <cell r="K210">
            <v>36611</v>
          </cell>
          <cell r="N210">
            <v>60</v>
          </cell>
          <cell r="O210">
            <v>60</v>
          </cell>
          <cell r="S210">
            <v>60</v>
          </cell>
        </row>
        <row r="211">
          <cell r="A211">
            <v>2430</v>
          </cell>
          <cell r="B211" t="str">
            <v>DCOR, LLC</v>
          </cell>
          <cell r="C211" t="str">
            <v>SO1</v>
          </cell>
          <cell r="D211" t="str">
            <v>Cogeneration</v>
          </cell>
          <cell r="E211" t="str">
            <v>Michele Walker</v>
          </cell>
          <cell r="F211" t="str">
            <v>Active</v>
          </cell>
          <cell r="G211">
            <v>33620</v>
          </cell>
          <cell r="H211">
            <v>30</v>
          </cell>
          <cell r="I211">
            <v>33654</v>
          </cell>
          <cell r="J211">
            <v>33654</v>
          </cell>
          <cell r="K211">
            <v>44611</v>
          </cell>
          <cell r="M211">
            <v>1400</v>
          </cell>
          <cell r="N211">
            <v>2100</v>
          </cell>
          <cell r="O211">
            <v>3500</v>
          </cell>
          <cell r="Q211">
            <v>1400</v>
          </cell>
          <cell r="R211">
            <v>1400</v>
          </cell>
          <cell r="S211">
            <v>3500</v>
          </cell>
        </row>
        <row r="212">
          <cell r="A212">
            <v>2431</v>
          </cell>
          <cell r="B212" t="str">
            <v>Delano Joint UHSD/Delano High School</v>
          </cell>
          <cell r="C212" t="str">
            <v>SO3</v>
          </cell>
          <cell r="D212" t="str">
            <v>Cogeneration</v>
          </cell>
          <cell r="E212" t="str">
            <v>Michele Walker</v>
          </cell>
          <cell r="F212" t="str">
            <v>Terminated</v>
          </cell>
          <cell r="G212">
            <v>33655</v>
          </cell>
          <cell r="H212">
            <v>10</v>
          </cell>
          <cell r="I212">
            <v>33725</v>
          </cell>
          <cell r="J212">
            <v>33725</v>
          </cell>
          <cell r="K212">
            <v>37833</v>
          </cell>
          <cell r="N212">
            <v>60</v>
          </cell>
          <cell r="O212">
            <v>60</v>
          </cell>
          <cell r="S212">
            <v>60</v>
          </cell>
        </row>
        <row r="213">
          <cell r="A213">
            <v>2433</v>
          </cell>
          <cell r="B213" t="str">
            <v>Chaffey U.S.D. (Chaffey High School)</v>
          </cell>
          <cell r="C213" t="str">
            <v>SO3</v>
          </cell>
          <cell r="D213" t="str">
            <v>Cogeneration</v>
          </cell>
          <cell r="E213" t="str">
            <v>Pam Snethen</v>
          </cell>
          <cell r="F213" t="str">
            <v>Active</v>
          </cell>
          <cell r="G213">
            <v>33679</v>
          </cell>
          <cell r="H213">
            <v>30</v>
          </cell>
          <cell r="I213">
            <v>33662</v>
          </cell>
          <cell r="J213">
            <v>33662</v>
          </cell>
          <cell r="N213">
            <v>75</v>
          </cell>
          <cell r="O213">
            <v>75</v>
          </cell>
          <cell r="S213">
            <v>75</v>
          </cell>
        </row>
        <row r="214">
          <cell r="A214">
            <v>2434</v>
          </cell>
          <cell r="B214" t="str">
            <v>So Cal Gas (SCAQMD)</v>
          </cell>
          <cell r="C214" t="str">
            <v>SO1</v>
          </cell>
          <cell r="D214" t="str">
            <v>Cogeneration</v>
          </cell>
          <cell r="E214" t="str">
            <v>Michele Walker</v>
          </cell>
          <cell r="F214" t="str">
            <v>Terminated</v>
          </cell>
          <cell r="G214">
            <v>33683</v>
          </cell>
          <cell r="H214">
            <v>20</v>
          </cell>
          <cell r="I214">
            <v>33704</v>
          </cell>
          <cell r="J214">
            <v>33704</v>
          </cell>
          <cell r="K214">
            <v>38453</v>
          </cell>
          <cell r="N214">
            <v>200</v>
          </cell>
          <cell r="O214">
            <v>200</v>
          </cell>
          <cell r="S214">
            <v>200</v>
          </cell>
        </row>
        <row r="215">
          <cell r="A215">
            <v>2435</v>
          </cell>
          <cell r="B215" t="str">
            <v>So Cal Gas (Hyatt Regency)</v>
          </cell>
          <cell r="C215" t="str">
            <v>SO1</v>
          </cell>
          <cell r="D215" t="str">
            <v>Cogeneration</v>
          </cell>
          <cell r="E215" t="str">
            <v>Michele Walker</v>
          </cell>
          <cell r="F215" t="str">
            <v>Terminated</v>
          </cell>
          <cell r="G215">
            <v>33683</v>
          </cell>
          <cell r="H215">
            <v>20</v>
          </cell>
          <cell r="I215">
            <v>33861</v>
          </cell>
          <cell r="J215">
            <v>33861</v>
          </cell>
          <cell r="K215">
            <v>38453</v>
          </cell>
          <cell r="N215">
            <v>200</v>
          </cell>
          <cell r="O215">
            <v>200</v>
          </cell>
          <cell r="S215">
            <v>200</v>
          </cell>
        </row>
        <row r="216">
          <cell r="A216">
            <v>2440</v>
          </cell>
          <cell r="B216" t="str">
            <v>Royalty Carpet Mills</v>
          </cell>
          <cell r="C216" t="str">
            <v>SO1</v>
          </cell>
          <cell r="D216" t="str">
            <v>Cogeneration</v>
          </cell>
          <cell r="E216" t="str">
            <v>Michele Walker</v>
          </cell>
          <cell r="F216" t="str">
            <v>Terminated</v>
          </cell>
          <cell r="G216">
            <v>33905</v>
          </cell>
          <cell r="H216">
            <v>30</v>
          </cell>
          <cell r="I216">
            <v>34745</v>
          </cell>
          <cell r="K216">
            <v>37117</v>
          </cell>
          <cell r="N216">
            <v>425</v>
          </cell>
          <cell r="O216">
            <v>425</v>
          </cell>
          <cell r="S216">
            <v>425</v>
          </cell>
        </row>
        <row r="217">
          <cell r="A217">
            <v>2441</v>
          </cell>
          <cell r="B217" t="str">
            <v>Metal Surfaces Inc.</v>
          </cell>
          <cell r="C217" t="str">
            <v>SO1</v>
          </cell>
          <cell r="D217" t="str">
            <v>Cogeneration</v>
          </cell>
          <cell r="E217" t="str">
            <v>Anthony F Blakemore</v>
          </cell>
          <cell r="F217" t="str">
            <v>Inactive</v>
          </cell>
          <cell r="G217">
            <v>34152</v>
          </cell>
          <cell r="H217">
            <v>30</v>
          </cell>
          <cell r="I217">
            <v>34129</v>
          </cell>
          <cell r="J217">
            <v>34129</v>
          </cell>
          <cell r="K217">
            <v>45085</v>
          </cell>
          <cell r="N217">
            <v>350</v>
          </cell>
          <cell r="O217">
            <v>350</v>
          </cell>
          <cell r="S217">
            <v>350</v>
          </cell>
        </row>
        <row r="218">
          <cell r="A218">
            <v>2442</v>
          </cell>
          <cell r="B218" t="str">
            <v>Campbell Motel &amp; Properties Inc.</v>
          </cell>
          <cell r="C218" t="str">
            <v>SO3</v>
          </cell>
          <cell r="D218" t="str">
            <v>Cogeneration</v>
          </cell>
          <cell r="E218" t="str">
            <v>Anthony F Blakemore</v>
          </cell>
          <cell r="F218" t="str">
            <v>Terminated</v>
          </cell>
          <cell r="G218">
            <v>33801</v>
          </cell>
          <cell r="H218">
            <v>20</v>
          </cell>
          <cell r="I218">
            <v>33641</v>
          </cell>
          <cell r="J218">
            <v>33641</v>
          </cell>
          <cell r="K218">
            <v>38802</v>
          </cell>
          <cell r="N218">
            <v>42</v>
          </cell>
          <cell r="O218">
            <v>42</v>
          </cell>
          <cell r="S218">
            <v>42</v>
          </cell>
        </row>
        <row r="219">
          <cell r="A219">
            <v>2443</v>
          </cell>
          <cell r="B219" t="str">
            <v>So Cal Gas (Santa Barbara County Jail)</v>
          </cell>
          <cell r="C219" t="str">
            <v>SO1</v>
          </cell>
          <cell r="D219" t="str">
            <v>Cogeneration</v>
          </cell>
          <cell r="E219" t="str">
            <v>Michele Walker</v>
          </cell>
          <cell r="F219" t="str">
            <v>Terminated</v>
          </cell>
          <cell r="G219">
            <v>33945</v>
          </cell>
          <cell r="H219">
            <v>20</v>
          </cell>
          <cell r="I219">
            <v>34349</v>
          </cell>
          <cell r="J219">
            <v>34349</v>
          </cell>
          <cell r="K219">
            <v>38453</v>
          </cell>
          <cell r="N219">
            <v>200</v>
          </cell>
          <cell r="O219">
            <v>200</v>
          </cell>
          <cell r="S219">
            <v>200</v>
          </cell>
        </row>
        <row r="220">
          <cell r="A220">
            <v>2446</v>
          </cell>
          <cell r="B220" t="str">
            <v>Chaffey Joint UHSD (Etiwanda HS)</v>
          </cell>
          <cell r="C220" t="str">
            <v>SO3</v>
          </cell>
          <cell r="D220" t="str">
            <v>Cogeneration</v>
          </cell>
          <cell r="E220" t="str">
            <v>Pam Snethen</v>
          </cell>
          <cell r="F220" t="str">
            <v>Active</v>
          </cell>
          <cell r="G220">
            <v>33905</v>
          </cell>
          <cell r="H220">
            <v>1</v>
          </cell>
          <cell r="I220">
            <v>34253</v>
          </cell>
          <cell r="J220">
            <v>34253</v>
          </cell>
          <cell r="N220">
            <v>75</v>
          </cell>
          <cell r="O220">
            <v>75</v>
          </cell>
          <cell r="S220">
            <v>75</v>
          </cell>
        </row>
        <row r="221">
          <cell r="A221">
            <v>2448</v>
          </cell>
          <cell r="B221" t="str">
            <v>Porterville Inn</v>
          </cell>
          <cell r="C221" t="str">
            <v>SO3</v>
          </cell>
          <cell r="D221" t="str">
            <v>Cogeneration</v>
          </cell>
          <cell r="E221" t="str">
            <v>Michele Walker</v>
          </cell>
          <cell r="F221" t="str">
            <v>Active</v>
          </cell>
          <cell r="G221">
            <v>34066</v>
          </cell>
          <cell r="H221">
            <v>1</v>
          </cell>
          <cell r="I221">
            <v>34125</v>
          </cell>
          <cell r="J221">
            <v>34125</v>
          </cell>
          <cell r="N221">
            <v>60</v>
          </cell>
          <cell r="O221">
            <v>60</v>
          </cell>
          <cell r="S221">
            <v>60</v>
          </cell>
        </row>
        <row r="222">
          <cell r="A222">
            <v>2451</v>
          </cell>
          <cell r="B222" t="str">
            <v>Southern California Gas (Kraft Food)</v>
          </cell>
          <cell r="C222" t="str">
            <v>SO1</v>
          </cell>
          <cell r="D222" t="str">
            <v>Cogeneration</v>
          </cell>
          <cell r="E222" t="str">
            <v>Michele Walker</v>
          </cell>
          <cell r="F222" t="str">
            <v>Terminated</v>
          </cell>
          <cell r="G222">
            <v>33945</v>
          </cell>
          <cell r="H222">
            <v>20</v>
          </cell>
          <cell r="I222">
            <v>34157</v>
          </cell>
          <cell r="J222">
            <v>34157</v>
          </cell>
          <cell r="K222">
            <v>36839</v>
          </cell>
          <cell r="N222">
            <v>200</v>
          </cell>
          <cell r="O222">
            <v>200</v>
          </cell>
          <cell r="S222">
            <v>200</v>
          </cell>
        </row>
        <row r="223">
          <cell r="A223">
            <v>2452</v>
          </cell>
          <cell r="B223" t="str">
            <v>Southern California Gas (UCSB)</v>
          </cell>
          <cell r="C223" t="str">
            <v>SO1</v>
          </cell>
          <cell r="D223" t="str">
            <v>Cogeneration</v>
          </cell>
          <cell r="E223" t="str">
            <v>Michele Walker</v>
          </cell>
          <cell r="F223" t="str">
            <v>Terminated</v>
          </cell>
          <cell r="G223">
            <v>33945</v>
          </cell>
          <cell r="H223">
            <v>20</v>
          </cell>
          <cell r="I223">
            <v>34241</v>
          </cell>
          <cell r="J223">
            <v>34241</v>
          </cell>
          <cell r="K223">
            <v>36839</v>
          </cell>
          <cell r="N223">
            <v>200</v>
          </cell>
          <cell r="O223">
            <v>200</v>
          </cell>
          <cell r="S223">
            <v>200</v>
          </cell>
        </row>
        <row r="224">
          <cell r="A224">
            <v>2453</v>
          </cell>
          <cell r="B224" t="str">
            <v>Decogen Inc.</v>
          </cell>
          <cell r="C224" t="str">
            <v>SO1</v>
          </cell>
          <cell r="D224" t="str">
            <v>Cogeneration</v>
          </cell>
          <cell r="E224" t="str">
            <v>Michele Walker</v>
          </cell>
          <cell r="F224" t="str">
            <v>Terminated</v>
          </cell>
          <cell r="G224">
            <v>34066</v>
          </cell>
          <cell r="H224">
            <v>20</v>
          </cell>
          <cell r="I224">
            <v>34452</v>
          </cell>
          <cell r="J224">
            <v>34452</v>
          </cell>
          <cell r="K224">
            <v>37955</v>
          </cell>
          <cell r="N224">
            <v>500</v>
          </cell>
          <cell r="O224">
            <v>500</v>
          </cell>
          <cell r="S224">
            <v>500</v>
          </cell>
        </row>
        <row r="225">
          <cell r="A225">
            <v>2455</v>
          </cell>
          <cell r="B225" t="str">
            <v>West End Tennis Club</v>
          </cell>
          <cell r="C225" t="str">
            <v>SO3</v>
          </cell>
          <cell r="D225" t="str">
            <v>Cogeneration</v>
          </cell>
          <cell r="E225" t="str">
            <v>Michele Walker</v>
          </cell>
          <cell r="F225" t="str">
            <v>Terminated</v>
          </cell>
          <cell r="G225">
            <v>34274</v>
          </cell>
          <cell r="H225">
            <v>20</v>
          </cell>
          <cell r="I225">
            <v>34276</v>
          </cell>
          <cell r="J225">
            <v>34276</v>
          </cell>
          <cell r="K225">
            <v>38287</v>
          </cell>
          <cell r="N225">
            <v>20</v>
          </cell>
          <cell r="O225">
            <v>20</v>
          </cell>
          <cell r="S225">
            <v>20</v>
          </cell>
        </row>
        <row r="226">
          <cell r="A226">
            <v>2456</v>
          </cell>
          <cell r="B226" t="str">
            <v>Southern Kern USD (Tropico Middle Sch)</v>
          </cell>
          <cell r="C226" t="str">
            <v>SO3</v>
          </cell>
          <cell r="D226" t="str">
            <v>Cogeneration</v>
          </cell>
          <cell r="E226" t="str">
            <v>Cathy Mendoza</v>
          </cell>
          <cell r="F226" t="str">
            <v>Terminated</v>
          </cell>
          <cell r="G226">
            <v>34400</v>
          </cell>
          <cell r="H226">
            <v>5</v>
          </cell>
          <cell r="I226">
            <v>34415</v>
          </cell>
          <cell r="J226">
            <v>34415</v>
          </cell>
          <cell r="K226">
            <v>36769</v>
          </cell>
          <cell r="N226">
            <v>60</v>
          </cell>
          <cell r="O226">
            <v>60</v>
          </cell>
          <cell r="S226">
            <v>60</v>
          </cell>
        </row>
        <row r="227">
          <cell r="A227">
            <v>2458</v>
          </cell>
          <cell r="B227" t="str">
            <v>Berryman Health #1</v>
          </cell>
          <cell r="C227" t="str">
            <v>SO3</v>
          </cell>
          <cell r="D227" t="str">
            <v>Cogeneration</v>
          </cell>
          <cell r="E227" t="str">
            <v>Michele Walker</v>
          </cell>
          <cell r="F227" t="str">
            <v>Active</v>
          </cell>
          <cell r="G227">
            <v>34304</v>
          </cell>
          <cell r="H227">
            <v>20</v>
          </cell>
          <cell r="I227">
            <v>34291</v>
          </cell>
          <cell r="J227">
            <v>34291</v>
          </cell>
          <cell r="N227">
            <v>35</v>
          </cell>
          <cell r="O227">
            <v>35</v>
          </cell>
          <cell r="S227">
            <v>38</v>
          </cell>
        </row>
        <row r="228">
          <cell r="A228">
            <v>2459</v>
          </cell>
          <cell r="B228" t="str">
            <v>McAnally Egg Ranch</v>
          </cell>
          <cell r="C228" t="str">
            <v>SO1</v>
          </cell>
          <cell r="D228" t="str">
            <v>Cogeneration</v>
          </cell>
          <cell r="E228" t="str">
            <v>Michele Walker</v>
          </cell>
          <cell r="F228" t="str">
            <v>Terminated</v>
          </cell>
          <cell r="G228">
            <v>34344</v>
          </cell>
          <cell r="H228">
            <v>5</v>
          </cell>
          <cell r="I228">
            <v>34335</v>
          </cell>
          <cell r="J228">
            <v>34335</v>
          </cell>
          <cell r="K228">
            <v>37342</v>
          </cell>
          <cell r="N228">
            <v>120</v>
          </cell>
          <cell r="O228">
            <v>120</v>
          </cell>
          <cell r="S228">
            <v>120</v>
          </cell>
        </row>
        <row r="229">
          <cell r="A229">
            <v>2460</v>
          </cell>
          <cell r="B229" t="str">
            <v>Orange County Sanitation District</v>
          </cell>
          <cell r="C229" t="str">
            <v>SO1</v>
          </cell>
          <cell r="D229" t="str">
            <v>Cogeneration</v>
          </cell>
          <cell r="E229" t="str">
            <v>David R Cox</v>
          </cell>
          <cell r="F229" t="str">
            <v>Active</v>
          </cell>
          <cell r="G229">
            <v>33787</v>
          </cell>
          <cell r="H229">
            <v>30</v>
          </cell>
          <cell r="I229">
            <v>34136</v>
          </cell>
          <cell r="J229">
            <v>34136</v>
          </cell>
          <cell r="K229">
            <v>45092</v>
          </cell>
          <cell r="N229">
            <v>4500</v>
          </cell>
          <cell r="O229">
            <v>4500</v>
          </cell>
          <cell r="S229">
            <v>4500</v>
          </cell>
        </row>
        <row r="230">
          <cell r="A230">
            <v>2461</v>
          </cell>
          <cell r="B230" t="str">
            <v>Farm Fresh Foods</v>
          </cell>
          <cell r="C230" t="str">
            <v>SO3</v>
          </cell>
          <cell r="D230" t="str">
            <v>Cogeneration</v>
          </cell>
          <cell r="E230" t="str">
            <v>Bruce McCarthy</v>
          </cell>
          <cell r="F230" t="str">
            <v>Terminated</v>
          </cell>
          <cell r="G230">
            <v>34358</v>
          </cell>
          <cell r="H230">
            <v>5</v>
          </cell>
          <cell r="I230">
            <v>34458</v>
          </cell>
          <cell r="J230">
            <v>34458</v>
          </cell>
          <cell r="K230">
            <v>36958</v>
          </cell>
          <cell r="N230">
            <v>65</v>
          </cell>
          <cell r="O230">
            <v>65</v>
          </cell>
          <cell r="S230">
            <v>65</v>
          </cell>
        </row>
        <row r="231">
          <cell r="A231">
            <v>2462</v>
          </cell>
          <cell r="B231" t="str">
            <v>B. Braun Medical Inc.</v>
          </cell>
          <cell r="C231" t="str">
            <v>SO1</v>
          </cell>
          <cell r="D231" t="str">
            <v>Cogeneration</v>
          </cell>
          <cell r="E231" t="str">
            <v>Anthony F Blakemore</v>
          </cell>
          <cell r="F231" t="str">
            <v>Active</v>
          </cell>
          <cell r="G231">
            <v>34751</v>
          </cell>
          <cell r="H231">
            <v>1</v>
          </cell>
          <cell r="I231">
            <v>34751</v>
          </cell>
          <cell r="J231">
            <v>34751</v>
          </cell>
          <cell r="N231">
            <v>6100</v>
          </cell>
          <cell r="O231">
            <v>6100</v>
          </cell>
          <cell r="S231">
            <v>6100</v>
          </cell>
        </row>
        <row r="232">
          <cell r="A232">
            <v>2463</v>
          </cell>
          <cell r="B232" t="str">
            <v>All Metals Processing of Orange County</v>
          </cell>
          <cell r="C232" t="str">
            <v>SO1</v>
          </cell>
          <cell r="D232" t="str">
            <v>Cogeneration</v>
          </cell>
          <cell r="E232" t="str">
            <v>Michele Walker</v>
          </cell>
          <cell r="F232" t="str">
            <v>Terminated</v>
          </cell>
          <cell r="G232">
            <v>34431</v>
          </cell>
          <cell r="H232">
            <v>30</v>
          </cell>
          <cell r="I232">
            <v>34612</v>
          </cell>
          <cell r="J232">
            <v>34612</v>
          </cell>
          <cell r="K232">
            <v>38561</v>
          </cell>
          <cell r="M232">
            <v>175</v>
          </cell>
          <cell r="O232">
            <v>175</v>
          </cell>
          <cell r="Q232">
            <v>175</v>
          </cell>
          <cell r="R232">
            <v>175</v>
          </cell>
          <cell r="S232">
            <v>175</v>
          </cell>
        </row>
        <row r="233">
          <cell r="A233">
            <v>2464</v>
          </cell>
          <cell r="B233" t="str">
            <v>Corona/Norco USD (Centennial HS)</v>
          </cell>
          <cell r="C233" t="str">
            <v>SO3</v>
          </cell>
          <cell r="D233" t="str">
            <v>Cogeneration</v>
          </cell>
          <cell r="E233" t="str">
            <v>Michele Walker</v>
          </cell>
          <cell r="F233" t="str">
            <v>Terminated</v>
          </cell>
          <cell r="G233">
            <v>34534</v>
          </cell>
          <cell r="H233">
            <v>5</v>
          </cell>
          <cell r="I233">
            <v>34043</v>
          </cell>
          <cell r="J233">
            <v>34043</v>
          </cell>
          <cell r="K233">
            <v>38383</v>
          </cell>
          <cell r="N233">
            <v>70</v>
          </cell>
          <cell r="O233">
            <v>70</v>
          </cell>
          <cell r="S233">
            <v>70</v>
          </cell>
        </row>
        <row r="234">
          <cell r="A234">
            <v>2465</v>
          </cell>
          <cell r="B234" t="str">
            <v>Great Western Malting Company</v>
          </cell>
          <cell r="C234" t="str">
            <v>SO1</v>
          </cell>
          <cell r="D234" t="str">
            <v>Cogeneration</v>
          </cell>
          <cell r="E234" t="str">
            <v>Bruce McCarthy</v>
          </cell>
          <cell r="F234" t="str">
            <v>Terminated</v>
          </cell>
          <cell r="G234">
            <v>34520</v>
          </cell>
          <cell r="H234">
            <v>30</v>
          </cell>
          <cell r="I234">
            <v>34702</v>
          </cell>
          <cell r="J234">
            <v>37095</v>
          </cell>
          <cell r="K234">
            <v>37657</v>
          </cell>
          <cell r="N234">
            <v>750</v>
          </cell>
          <cell r="O234">
            <v>750</v>
          </cell>
          <cell r="S234">
            <v>750</v>
          </cell>
        </row>
        <row r="235">
          <cell r="A235">
            <v>2466</v>
          </cell>
          <cell r="B235" t="str">
            <v>Bixby Knolls Towers</v>
          </cell>
          <cell r="C235" t="str">
            <v>SO1</v>
          </cell>
          <cell r="D235" t="str">
            <v>Cogeneration</v>
          </cell>
          <cell r="E235" t="str">
            <v>Michele Walker</v>
          </cell>
          <cell r="F235" t="str">
            <v>Terminated</v>
          </cell>
          <cell r="G235">
            <v>34495</v>
          </cell>
          <cell r="H235">
            <v>5</v>
          </cell>
          <cell r="I235">
            <v>34743</v>
          </cell>
          <cell r="J235">
            <v>34743</v>
          </cell>
          <cell r="K235">
            <v>37740</v>
          </cell>
          <cell r="N235">
            <v>124</v>
          </cell>
          <cell r="O235">
            <v>124</v>
          </cell>
          <cell r="S235">
            <v>120</v>
          </cell>
        </row>
        <row r="236">
          <cell r="A236">
            <v>2467</v>
          </cell>
          <cell r="B236" t="str">
            <v>Mt. San Antonio College</v>
          </cell>
          <cell r="C236" t="str">
            <v>SO1</v>
          </cell>
          <cell r="D236" t="str">
            <v>Cogeneration</v>
          </cell>
          <cell r="E236" t="str">
            <v>Michele Walker</v>
          </cell>
          <cell r="F236" t="str">
            <v>Terminated</v>
          </cell>
          <cell r="G236">
            <v>34554</v>
          </cell>
          <cell r="H236">
            <v>0</v>
          </cell>
          <cell r="I236">
            <v>34900</v>
          </cell>
          <cell r="J236">
            <v>34554</v>
          </cell>
          <cell r="K236">
            <v>36274</v>
          </cell>
        </row>
        <row r="237">
          <cell r="A237">
            <v>2468</v>
          </cell>
          <cell r="B237" t="str">
            <v>San Bernardino City UHSD (Pacific HS)</v>
          </cell>
          <cell r="C237" t="str">
            <v>SO3</v>
          </cell>
          <cell r="D237" t="str">
            <v>Cogeneration</v>
          </cell>
          <cell r="E237" t="str">
            <v>Pam Snethen</v>
          </cell>
          <cell r="F237" t="str">
            <v>Active</v>
          </cell>
          <cell r="G237">
            <v>34481</v>
          </cell>
          <cell r="H237">
            <v>30</v>
          </cell>
          <cell r="I237">
            <v>34625</v>
          </cell>
          <cell r="J237">
            <v>34625</v>
          </cell>
          <cell r="N237">
            <v>75</v>
          </cell>
          <cell r="O237">
            <v>75</v>
          </cell>
          <cell r="S237">
            <v>75</v>
          </cell>
        </row>
        <row r="238">
          <cell r="A238">
            <v>2469</v>
          </cell>
          <cell r="B238" t="str">
            <v>Oasis Water Park</v>
          </cell>
          <cell r="C238" t="str">
            <v>SO3</v>
          </cell>
          <cell r="D238" t="str">
            <v>Cogeneration</v>
          </cell>
          <cell r="E238" t="str">
            <v>Michele Walker</v>
          </cell>
          <cell r="F238" t="str">
            <v>Terminated</v>
          </cell>
          <cell r="G238">
            <v>34500</v>
          </cell>
          <cell r="H238">
            <v>20</v>
          </cell>
          <cell r="I238">
            <v>34599</v>
          </cell>
          <cell r="J238">
            <v>34599</v>
          </cell>
          <cell r="K238">
            <v>36651</v>
          </cell>
          <cell r="N238">
            <v>70</v>
          </cell>
          <cell r="O238">
            <v>70</v>
          </cell>
          <cell r="S238">
            <v>70</v>
          </cell>
        </row>
        <row r="239">
          <cell r="A239">
            <v>2471</v>
          </cell>
          <cell r="B239" t="str">
            <v>Berryman Health #2</v>
          </cell>
          <cell r="C239" t="str">
            <v>SO3</v>
          </cell>
          <cell r="D239" t="str">
            <v>Cogeneration</v>
          </cell>
          <cell r="E239" t="str">
            <v>Michele Walker</v>
          </cell>
          <cell r="F239" t="str">
            <v>Active</v>
          </cell>
          <cell r="G239">
            <v>34669</v>
          </cell>
          <cell r="H239">
            <v>30</v>
          </cell>
          <cell r="I239">
            <v>34759</v>
          </cell>
          <cell r="J239">
            <v>34759</v>
          </cell>
          <cell r="N239">
            <v>85</v>
          </cell>
          <cell r="O239">
            <v>85</v>
          </cell>
          <cell r="S239">
            <v>85</v>
          </cell>
        </row>
        <row r="240">
          <cell r="A240">
            <v>2472</v>
          </cell>
          <cell r="B240" t="str">
            <v>PCA Metal Finishing, Inc.</v>
          </cell>
          <cell r="C240" t="str">
            <v>SO3</v>
          </cell>
          <cell r="D240" t="str">
            <v>Cogeneration</v>
          </cell>
          <cell r="E240" t="str">
            <v>Cathy Mendoza</v>
          </cell>
          <cell r="F240" t="str">
            <v>Terminated</v>
          </cell>
          <cell r="G240">
            <v>34638</v>
          </cell>
          <cell r="H240">
            <v>30</v>
          </cell>
          <cell r="I240">
            <v>34683</v>
          </cell>
          <cell r="J240">
            <v>34683</v>
          </cell>
          <cell r="K240">
            <v>38769</v>
          </cell>
          <cell r="N240">
            <v>100</v>
          </cell>
          <cell r="O240">
            <v>100</v>
          </cell>
          <cell r="S240">
            <v>100</v>
          </cell>
        </row>
        <row r="241">
          <cell r="A241">
            <v>2473</v>
          </cell>
          <cell r="B241" t="str">
            <v>Cotija Cheese, Incorporated</v>
          </cell>
          <cell r="C241" t="str">
            <v>SO1</v>
          </cell>
          <cell r="D241" t="str">
            <v>Cogeneration</v>
          </cell>
          <cell r="E241" t="str">
            <v>Pam Snethen</v>
          </cell>
          <cell r="F241" t="str">
            <v>Terminated</v>
          </cell>
          <cell r="G241">
            <v>34603</v>
          </cell>
          <cell r="H241">
            <v>5</v>
          </cell>
          <cell r="I241">
            <v>34823</v>
          </cell>
          <cell r="J241">
            <v>34823</v>
          </cell>
          <cell r="K241">
            <v>38834</v>
          </cell>
          <cell r="N241">
            <v>120</v>
          </cell>
          <cell r="O241">
            <v>120</v>
          </cell>
          <cell r="S241">
            <v>120</v>
          </cell>
        </row>
        <row r="242">
          <cell r="A242">
            <v>2474</v>
          </cell>
          <cell r="B242" t="str">
            <v>LA CO Sanitation (Total Energy Facility)</v>
          </cell>
          <cell r="C242" t="str">
            <v>SO1</v>
          </cell>
          <cell r="D242" t="str">
            <v>Cogeneration</v>
          </cell>
          <cell r="E242" t="str">
            <v>Cathy Mendoza</v>
          </cell>
          <cell r="F242" t="str">
            <v>Terminated</v>
          </cell>
          <cell r="G242">
            <v>34862</v>
          </cell>
          <cell r="H242">
            <v>10</v>
          </cell>
          <cell r="I242">
            <v>34862</v>
          </cell>
          <cell r="J242">
            <v>34862</v>
          </cell>
          <cell r="K242">
            <v>36868</v>
          </cell>
          <cell r="M242">
            <v>3276</v>
          </cell>
          <cell r="N242">
            <v>13224</v>
          </cell>
          <cell r="O242">
            <v>16500</v>
          </cell>
          <cell r="Q242">
            <v>3276</v>
          </cell>
          <cell r="R242">
            <v>3276</v>
          </cell>
          <cell r="S242">
            <v>16500</v>
          </cell>
        </row>
        <row r="243">
          <cell r="A243">
            <v>2475</v>
          </cell>
          <cell r="B243" t="str">
            <v>Anderson Lithographic Co.</v>
          </cell>
          <cell r="C243" t="str">
            <v>SO1</v>
          </cell>
          <cell r="D243" t="str">
            <v>Cogeneration</v>
          </cell>
          <cell r="E243" t="str">
            <v>Pam Snethen</v>
          </cell>
          <cell r="F243" t="str">
            <v>Active</v>
          </cell>
          <cell r="G243">
            <v>34661</v>
          </cell>
          <cell r="H243">
            <v>15</v>
          </cell>
          <cell r="I243">
            <v>34899</v>
          </cell>
          <cell r="J243">
            <v>34899</v>
          </cell>
          <cell r="K243">
            <v>40377</v>
          </cell>
          <cell r="M243">
            <v>2750</v>
          </cell>
          <cell r="N243">
            <v>2250</v>
          </cell>
          <cell r="O243">
            <v>5000</v>
          </cell>
          <cell r="Q243">
            <v>2750</v>
          </cell>
          <cell r="R243">
            <v>2750</v>
          </cell>
          <cell r="S243">
            <v>5000</v>
          </cell>
        </row>
        <row r="244">
          <cell r="A244">
            <v>2476</v>
          </cell>
          <cell r="B244" t="str">
            <v>Quaker City Plating</v>
          </cell>
          <cell r="C244" t="str">
            <v>SO3</v>
          </cell>
          <cell r="D244" t="str">
            <v>Cogeneration</v>
          </cell>
          <cell r="E244" t="str">
            <v>Michele Walker</v>
          </cell>
          <cell r="F244" t="str">
            <v>Active</v>
          </cell>
          <cell r="G244">
            <v>34792</v>
          </cell>
          <cell r="H244">
            <v>30</v>
          </cell>
          <cell r="I244">
            <v>34852</v>
          </cell>
          <cell r="J244">
            <v>34852</v>
          </cell>
          <cell r="N244">
            <v>32</v>
          </cell>
          <cell r="O244">
            <v>32</v>
          </cell>
          <cell r="S244">
            <v>32</v>
          </cell>
        </row>
        <row r="245">
          <cell r="A245">
            <v>2478</v>
          </cell>
          <cell r="B245" t="str">
            <v>Charter Oak High School Dist.</v>
          </cell>
          <cell r="C245" t="str">
            <v>SO3</v>
          </cell>
          <cell r="D245" t="str">
            <v>Cogeneration</v>
          </cell>
          <cell r="E245" t="str">
            <v>Michele Walker</v>
          </cell>
          <cell r="F245" t="str">
            <v>Active</v>
          </cell>
          <cell r="G245">
            <v>35094</v>
          </cell>
          <cell r="H245">
            <v>15</v>
          </cell>
          <cell r="I245">
            <v>35117</v>
          </cell>
          <cell r="J245">
            <v>35117</v>
          </cell>
          <cell r="K245">
            <v>38843</v>
          </cell>
          <cell r="N245">
            <v>85</v>
          </cell>
          <cell r="O245">
            <v>85</v>
          </cell>
          <cell r="S245">
            <v>85</v>
          </cell>
        </row>
        <row r="246">
          <cell r="A246">
            <v>2479</v>
          </cell>
          <cell r="B246" t="str">
            <v>Termo Company</v>
          </cell>
          <cell r="C246" t="str">
            <v>SO1</v>
          </cell>
          <cell r="D246" t="str">
            <v>Cogeneration</v>
          </cell>
          <cell r="E246" t="str">
            <v>Cathy Mendoza</v>
          </cell>
          <cell r="F246" t="str">
            <v>Active</v>
          </cell>
          <cell r="G246">
            <v>35201</v>
          </cell>
          <cell r="H246">
            <v>1</v>
          </cell>
          <cell r="I246">
            <v>35223</v>
          </cell>
          <cell r="J246">
            <v>35223</v>
          </cell>
          <cell r="K246">
            <v>46179</v>
          </cell>
          <cell r="N246">
            <v>190</v>
          </cell>
          <cell r="O246">
            <v>190</v>
          </cell>
          <cell r="S246">
            <v>190</v>
          </cell>
        </row>
        <row r="247">
          <cell r="A247">
            <v>2480</v>
          </cell>
          <cell r="B247" t="str">
            <v>Chevron El Segundo III</v>
          </cell>
          <cell r="C247" t="str">
            <v>SO1</v>
          </cell>
          <cell r="D247" t="str">
            <v>Cogeneration</v>
          </cell>
          <cell r="E247" t="str">
            <v>David R Cox</v>
          </cell>
          <cell r="F247" t="str">
            <v>Active</v>
          </cell>
          <cell r="G247">
            <v>35128</v>
          </cell>
          <cell r="H247">
            <v>1</v>
          </cell>
          <cell r="I247">
            <v>35138</v>
          </cell>
          <cell r="J247">
            <v>35138</v>
          </cell>
          <cell r="N247">
            <v>48200</v>
          </cell>
          <cell r="O247">
            <v>48200</v>
          </cell>
          <cell r="S247">
            <v>48200</v>
          </cell>
        </row>
        <row r="248">
          <cell r="A248">
            <v>2482</v>
          </cell>
          <cell r="B248" t="str">
            <v>Cogen Partners</v>
          </cell>
          <cell r="C248" t="str">
            <v>NEG</v>
          </cell>
          <cell r="D248" t="str">
            <v>Cogeneration</v>
          </cell>
          <cell r="E248" t="str">
            <v>Michele Walker</v>
          </cell>
          <cell r="F248" t="str">
            <v>Terminated</v>
          </cell>
          <cell r="G248">
            <v>35559</v>
          </cell>
          <cell r="H248">
            <v>4</v>
          </cell>
          <cell r="I248">
            <v>35582</v>
          </cell>
          <cell r="K248">
            <v>37255</v>
          </cell>
          <cell r="N248">
            <v>120</v>
          </cell>
          <cell r="O248">
            <v>120</v>
          </cell>
          <cell r="S248">
            <v>120</v>
          </cell>
        </row>
        <row r="249">
          <cell r="A249">
            <v>2483</v>
          </cell>
          <cell r="B249" t="str">
            <v>Culver City (Pool)</v>
          </cell>
          <cell r="C249" t="str">
            <v>NEG</v>
          </cell>
          <cell r="D249" t="str">
            <v>Cogeneration</v>
          </cell>
          <cell r="E249" t="str">
            <v>Michele Walker</v>
          </cell>
          <cell r="F249" t="str">
            <v>Terminated</v>
          </cell>
          <cell r="G249">
            <v>35517</v>
          </cell>
          <cell r="H249">
            <v>4</v>
          </cell>
          <cell r="K249">
            <v>37255</v>
          </cell>
          <cell r="N249">
            <v>60</v>
          </cell>
          <cell r="O249">
            <v>60</v>
          </cell>
          <cell r="S249">
            <v>60</v>
          </cell>
        </row>
        <row r="250">
          <cell r="A250">
            <v>2484</v>
          </cell>
          <cell r="B250" t="str">
            <v>Culver City (City Hall)</v>
          </cell>
          <cell r="C250" t="str">
            <v>NEG</v>
          </cell>
          <cell r="D250" t="str">
            <v>Cogeneration</v>
          </cell>
          <cell r="E250" t="str">
            <v>Michele Walker</v>
          </cell>
          <cell r="F250" t="str">
            <v>Terminated</v>
          </cell>
          <cell r="G250">
            <v>35572</v>
          </cell>
          <cell r="H250">
            <v>0</v>
          </cell>
          <cell r="I250">
            <v>35582</v>
          </cell>
          <cell r="K250">
            <v>37255</v>
          </cell>
          <cell r="N250">
            <v>120</v>
          </cell>
          <cell r="O250">
            <v>120</v>
          </cell>
          <cell r="S250">
            <v>120</v>
          </cell>
        </row>
        <row r="251">
          <cell r="A251">
            <v>2485</v>
          </cell>
          <cell r="B251" t="str">
            <v>Culver City (Vets Bldg)</v>
          </cell>
          <cell r="C251" t="str">
            <v>NEG</v>
          </cell>
          <cell r="D251" t="str">
            <v>Cogeneration</v>
          </cell>
          <cell r="E251" t="str">
            <v>Michele Walker</v>
          </cell>
          <cell r="F251" t="str">
            <v>Terminated</v>
          </cell>
          <cell r="G251">
            <v>35572</v>
          </cell>
          <cell r="H251">
            <v>4</v>
          </cell>
          <cell r="I251">
            <v>35643</v>
          </cell>
          <cell r="K251">
            <v>37255</v>
          </cell>
          <cell r="N251">
            <v>120</v>
          </cell>
          <cell r="O251">
            <v>120</v>
          </cell>
          <cell r="S251">
            <v>120</v>
          </cell>
        </row>
        <row r="252">
          <cell r="A252">
            <v>2486</v>
          </cell>
          <cell r="B252" t="str">
            <v>Culver City (Police Bldg)</v>
          </cell>
          <cell r="C252" t="str">
            <v>NEG</v>
          </cell>
          <cell r="D252" t="str">
            <v>Cogeneration</v>
          </cell>
          <cell r="E252" t="str">
            <v>Michele Walker</v>
          </cell>
          <cell r="F252" t="str">
            <v>Terminated</v>
          </cell>
          <cell r="G252">
            <v>35572</v>
          </cell>
          <cell r="H252">
            <v>4</v>
          </cell>
          <cell r="I252">
            <v>35643</v>
          </cell>
          <cell r="K252">
            <v>37255</v>
          </cell>
          <cell r="N252">
            <v>120</v>
          </cell>
          <cell r="O252">
            <v>120</v>
          </cell>
          <cell r="S252">
            <v>120</v>
          </cell>
        </row>
        <row r="253">
          <cell r="A253">
            <v>2487</v>
          </cell>
          <cell r="B253" t="str">
            <v>City of Montery Park</v>
          </cell>
          <cell r="C253" t="str">
            <v>NEG</v>
          </cell>
          <cell r="D253" t="str">
            <v>Cogeneration</v>
          </cell>
          <cell r="E253" t="str">
            <v>Michele Walker</v>
          </cell>
          <cell r="F253" t="str">
            <v>Terminated</v>
          </cell>
          <cell r="G253">
            <v>35682</v>
          </cell>
          <cell r="H253">
            <v>0</v>
          </cell>
          <cell r="I253">
            <v>35704</v>
          </cell>
          <cell r="K253">
            <v>37255</v>
          </cell>
          <cell r="N253">
            <v>60</v>
          </cell>
          <cell r="O253">
            <v>60</v>
          </cell>
          <cell r="S253">
            <v>60</v>
          </cell>
        </row>
        <row r="254">
          <cell r="A254">
            <v>2488</v>
          </cell>
          <cell r="B254" t="str">
            <v>City of South Gate</v>
          </cell>
          <cell r="C254" t="str">
            <v>NEG</v>
          </cell>
          <cell r="D254" t="str">
            <v>Cogeneration</v>
          </cell>
          <cell r="E254" t="str">
            <v>Michele Walker</v>
          </cell>
          <cell r="F254" t="str">
            <v>Terminated</v>
          </cell>
          <cell r="G254">
            <v>35957</v>
          </cell>
          <cell r="H254">
            <v>0</v>
          </cell>
          <cell r="I254">
            <v>35977</v>
          </cell>
          <cell r="K254">
            <v>37255</v>
          </cell>
          <cell r="N254">
            <v>120</v>
          </cell>
          <cell r="O254">
            <v>120</v>
          </cell>
          <cell r="S254">
            <v>120</v>
          </cell>
        </row>
        <row r="255">
          <cell r="A255">
            <v>2490</v>
          </cell>
          <cell r="B255" t="str">
            <v>City of Oxnard</v>
          </cell>
          <cell r="C255" t="str">
            <v>SO1</v>
          </cell>
          <cell r="D255" t="str">
            <v>Cogeneration</v>
          </cell>
          <cell r="E255" t="str">
            <v>Cathy Mendoza</v>
          </cell>
          <cell r="F255" t="str">
            <v>Active</v>
          </cell>
          <cell r="G255">
            <v>32308</v>
          </cell>
          <cell r="H255">
            <v>0</v>
          </cell>
          <cell r="I255">
            <v>29963</v>
          </cell>
          <cell r="J255">
            <v>29963</v>
          </cell>
          <cell r="N255">
            <v>1500</v>
          </cell>
          <cell r="O255">
            <v>1500</v>
          </cell>
          <cell r="S255">
            <v>1500</v>
          </cell>
        </row>
        <row r="256">
          <cell r="A256">
            <v>2496</v>
          </cell>
          <cell r="B256" t="str">
            <v>LA CO Sanitation (Total Energy Facility)</v>
          </cell>
          <cell r="C256" t="str">
            <v>GF Bypass</v>
          </cell>
          <cell r="D256" t="str">
            <v>Cogeneration</v>
          </cell>
          <cell r="E256" t="str">
            <v>Cathy Mendoza</v>
          </cell>
          <cell r="F256" t="str">
            <v>Terminated</v>
          </cell>
          <cell r="G256">
            <v>36869</v>
          </cell>
          <cell r="H256">
            <v>1</v>
          </cell>
          <cell r="I256">
            <v>34862</v>
          </cell>
          <cell r="K256">
            <v>37116</v>
          </cell>
        </row>
        <row r="257">
          <cell r="A257">
            <v>2502</v>
          </cell>
          <cell r="B257" t="str">
            <v>San Antonio Community Hospital</v>
          </cell>
          <cell r="C257" t="str">
            <v>GF Bypass</v>
          </cell>
          <cell r="D257" t="str">
            <v>Cogeneration</v>
          </cell>
          <cell r="E257" t="str">
            <v>Cathy Mendoza</v>
          </cell>
          <cell r="F257" t="str">
            <v>Active</v>
          </cell>
          <cell r="G257">
            <v>36972</v>
          </cell>
          <cell r="H257">
            <v>1</v>
          </cell>
          <cell r="I257">
            <v>31306</v>
          </cell>
        </row>
        <row r="258">
          <cell r="A258">
            <v>2717</v>
          </cell>
          <cell r="B258" t="str">
            <v>Kern River Cogeneration Company</v>
          </cell>
          <cell r="C258" t="str">
            <v>RSO1</v>
          </cell>
          <cell r="D258" t="str">
            <v>Cogeneration</v>
          </cell>
          <cell r="E258" t="str">
            <v>David R Cox</v>
          </cell>
          <cell r="F258" t="str">
            <v>Active</v>
          </cell>
          <cell r="G258">
            <v>38569</v>
          </cell>
          <cell r="H258">
            <v>5</v>
          </cell>
          <cell r="I258">
            <v>38574</v>
          </cell>
          <cell r="J258">
            <v>38574</v>
          </cell>
          <cell r="K258">
            <v>38868</v>
          </cell>
          <cell r="M258">
            <v>300000</v>
          </cell>
          <cell r="O258">
            <v>300000</v>
          </cell>
          <cell r="Q258">
            <v>300000</v>
          </cell>
          <cell r="R258">
            <v>300000</v>
          </cell>
          <cell r="S258">
            <v>300000</v>
          </cell>
        </row>
        <row r="259">
          <cell r="A259">
            <v>2801</v>
          </cell>
          <cell r="B259" t="str">
            <v>Kern River Cogeneration Company</v>
          </cell>
          <cell r="C259" t="str">
            <v>NEG</v>
          </cell>
          <cell r="D259" t="str">
            <v>Cogeneration</v>
          </cell>
          <cell r="E259" t="str">
            <v>David R Cox</v>
          </cell>
          <cell r="F259" t="str">
            <v>Inactive</v>
          </cell>
          <cell r="G259">
            <v>38701</v>
          </cell>
          <cell r="H259">
            <v>5</v>
          </cell>
          <cell r="I259">
            <v>38869</v>
          </cell>
          <cell r="J259">
            <v>38869</v>
          </cell>
          <cell r="K259">
            <v>40724</v>
          </cell>
        </row>
        <row r="260">
          <cell r="A260">
            <v>2802</v>
          </cell>
          <cell r="B260" t="str">
            <v>City of Palm Springs (Municipal Complex)</v>
          </cell>
          <cell r="C260" t="str">
            <v>RSO1</v>
          </cell>
          <cell r="D260" t="str">
            <v>Cogeneration</v>
          </cell>
          <cell r="E260" t="str">
            <v>David R Cox</v>
          </cell>
          <cell r="F260" t="str">
            <v>Active</v>
          </cell>
          <cell r="G260">
            <v>38596</v>
          </cell>
          <cell r="H260">
            <v>5</v>
          </cell>
          <cell r="I260">
            <v>38601</v>
          </cell>
          <cell r="J260">
            <v>38601</v>
          </cell>
          <cell r="K260">
            <v>40426</v>
          </cell>
          <cell r="M260">
            <v>380</v>
          </cell>
          <cell r="O260">
            <v>380</v>
          </cell>
          <cell r="Q260">
            <v>380</v>
          </cell>
          <cell r="R260">
            <v>380</v>
          </cell>
          <cell r="S260">
            <v>1300</v>
          </cell>
        </row>
        <row r="261">
          <cell r="A261">
            <v>2803</v>
          </cell>
          <cell r="B261" t="str">
            <v>City of Palm Springs (Sunrise Plaza)</v>
          </cell>
          <cell r="C261" t="str">
            <v>RSO1</v>
          </cell>
          <cell r="D261" t="str">
            <v>Cogeneration</v>
          </cell>
          <cell r="E261" t="str">
            <v>David R Cox</v>
          </cell>
          <cell r="F261" t="str">
            <v>Active</v>
          </cell>
          <cell r="G261">
            <v>38596</v>
          </cell>
          <cell r="H261">
            <v>5</v>
          </cell>
          <cell r="I261">
            <v>38626</v>
          </cell>
          <cell r="J261">
            <v>38626</v>
          </cell>
          <cell r="K261">
            <v>40451</v>
          </cell>
          <cell r="M261">
            <v>216</v>
          </cell>
          <cell r="O261">
            <v>216</v>
          </cell>
          <cell r="Q261">
            <v>216</v>
          </cell>
          <cell r="R261">
            <v>216</v>
          </cell>
          <cell r="S261">
            <v>650</v>
          </cell>
        </row>
        <row r="262">
          <cell r="A262">
            <v>2901</v>
          </cell>
          <cell r="B262" t="str">
            <v>US Generating Company</v>
          </cell>
          <cell r="C262" t="str">
            <v>BRPU</v>
          </cell>
          <cell r="D262" t="str">
            <v>Cogeneration</v>
          </cell>
          <cell r="E262" t="str">
            <v>Cynthia Shindle</v>
          </cell>
          <cell r="F262" t="str">
            <v>Terminated</v>
          </cell>
          <cell r="G262">
            <v>36100</v>
          </cell>
          <cell r="H262">
            <v>0</v>
          </cell>
        </row>
        <row r="263">
          <cell r="A263">
            <v>3001</v>
          </cell>
          <cell r="B263" t="str">
            <v>Heber Geothermal Company</v>
          </cell>
          <cell r="C263" t="str">
            <v>NEG</v>
          </cell>
          <cell r="D263" t="str">
            <v>Geothermal</v>
          </cell>
          <cell r="E263" t="str">
            <v>Michele Walker</v>
          </cell>
          <cell r="F263" t="str">
            <v>Active</v>
          </cell>
          <cell r="G263">
            <v>30554</v>
          </cell>
          <cell r="H263">
            <v>30</v>
          </cell>
          <cell r="I263">
            <v>31260</v>
          </cell>
          <cell r="J263">
            <v>31396</v>
          </cell>
          <cell r="K263">
            <v>42352</v>
          </cell>
          <cell r="L263">
            <v>45000</v>
          </cell>
          <cell r="M263">
            <v>2000</v>
          </cell>
          <cell r="N263">
            <v>5000</v>
          </cell>
          <cell r="O263">
            <v>52000</v>
          </cell>
          <cell r="P263">
            <v>45000</v>
          </cell>
          <cell r="Q263">
            <v>2000</v>
          </cell>
          <cell r="R263">
            <v>47000</v>
          </cell>
          <cell r="S263">
            <v>52000</v>
          </cell>
        </row>
        <row r="264">
          <cell r="A264">
            <v>3002</v>
          </cell>
          <cell r="B264" t="str">
            <v>Geo East Mesa Electric Company</v>
          </cell>
          <cell r="C264" t="str">
            <v>NEG</v>
          </cell>
          <cell r="D264" t="str">
            <v>Geothermal</v>
          </cell>
          <cell r="E264" t="str">
            <v>Cynthia Shindle</v>
          </cell>
          <cell r="F264" t="str">
            <v>Terminated</v>
          </cell>
          <cell r="G264">
            <v>30720</v>
          </cell>
          <cell r="H264">
            <v>30</v>
          </cell>
          <cell r="I264">
            <v>30590</v>
          </cell>
          <cell r="J264">
            <v>30720</v>
          </cell>
          <cell r="K264">
            <v>45330</v>
          </cell>
          <cell r="L264">
            <v>6000</v>
          </cell>
          <cell r="M264">
            <v>3000</v>
          </cell>
          <cell r="N264">
            <v>4490</v>
          </cell>
          <cell r="O264">
            <v>13490</v>
          </cell>
          <cell r="P264">
            <v>6000</v>
          </cell>
          <cell r="Q264">
            <v>3000</v>
          </cell>
          <cell r="R264">
            <v>9000</v>
          </cell>
          <cell r="S264">
            <v>13490</v>
          </cell>
        </row>
        <row r="265">
          <cell r="A265">
            <v>3003</v>
          </cell>
          <cell r="B265" t="str">
            <v>Mammoth Pacific L. P. (MP1)</v>
          </cell>
          <cell r="C265" t="str">
            <v>NEG</v>
          </cell>
          <cell r="D265" t="str">
            <v>Geothermal</v>
          </cell>
          <cell r="E265" t="str">
            <v>Michele Walker</v>
          </cell>
          <cell r="F265" t="str">
            <v>Active</v>
          </cell>
          <cell r="G265">
            <v>30609</v>
          </cell>
          <cell r="H265">
            <v>30</v>
          </cell>
          <cell r="I265">
            <v>31012</v>
          </cell>
          <cell r="J265">
            <v>31104</v>
          </cell>
          <cell r="K265">
            <v>42061</v>
          </cell>
          <cell r="L265">
            <v>6398</v>
          </cell>
          <cell r="O265">
            <v>6398</v>
          </cell>
          <cell r="P265">
            <v>6398</v>
          </cell>
          <cell r="R265">
            <v>6398</v>
          </cell>
          <cell r="S265">
            <v>10000</v>
          </cell>
        </row>
        <row r="266">
          <cell r="A266">
            <v>3004</v>
          </cell>
          <cell r="B266" t="str">
            <v>Del Ranch, LTD., (Niland #2)</v>
          </cell>
          <cell r="C266" t="str">
            <v>NEG</v>
          </cell>
          <cell r="D266" t="str">
            <v>Geothermal</v>
          </cell>
          <cell r="E266" t="str">
            <v>Cathy Mendoza</v>
          </cell>
          <cell r="F266" t="str">
            <v>Active</v>
          </cell>
          <cell r="G266">
            <v>30734</v>
          </cell>
          <cell r="H266">
            <v>30</v>
          </cell>
          <cell r="I266">
            <v>32431</v>
          </cell>
          <cell r="J266">
            <v>32509</v>
          </cell>
          <cell r="K266">
            <v>43466</v>
          </cell>
          <cell r="L266">
            <v>34000</v>
          </cell>
          <cell r="M266">
            <v>4000</v>
          </cell>
          <cell r="O266">
            <v>38000</v>
          </cell>
          <cell r="P266">
            <v>34000</v>
          </cell>
          <cell r="Q266">
            <v>4000</v>
          </cell>
          <cell r="R266">
            <v>38000</v>
          </cell>
          <cell r="S266">
            <v>42000</v>
          </cell>
        </row>
        <row r="267">
          <cell r="A267">
            <v>3006</v>
          </cell>
          <cell r="B267" t="str">
            <v>Vulcan/Bn Geothermal</v>
          </cell>
          <cell r="C267" t="str">
            <v>SO4</v>
          </cell>
          <cell r="D267" t="str">
            <v>Geothermal</v>
          </cell>
          <cell r="E267" t="str">
            <v>Cathy Mendoza</v>
          </cell>
          <cell r="F267" t="str">
            <v>Active</v>
          </cell>
          <cell r="G267">
            <v>30742</v>
          </cell>
          <cell r="H267">
            <v>30</v>
          </cell>
          <cell r="I267">
            <v>31387</v>
          </cell>
          <cell r="J267">
            <v>31453</v>
          </cell>
          <cell r="K267">
            <v>42409</v>
          </cell>
          <cell r="L267">
            <v>29500</v>
          </cell>
          <cell r="M267">
            <v>4500</v>
          </cell>
          <cell r="O267">
            <v>34000</v>
          </cell>
          <cell r="P267">
            <v>29500</v>
          </cell>
          <cell r="Q267">
            <v>4500</v>
          </cell>
          <cell r="R267">
            <v>34000</v>
          </cell>
          <cell r="S267">
            <v>34000</v>
          </cell>
        </row>
        <row r="268">
          <cell r="A268">
            <v>3008</v>
          </cell>
          <cell r="B268" t="str">
            <v>Coso Finance Partners (Navy I)</v>
          </cell>
          <cell r="C268" t="str">
            <v>SO4</v>
          </cell>
          <cell r="D268" t="str">
            <v>Geothermal</v>
          </cell>
          <cell r="E268" t="str">
            <v>Anthony F Blakemore</v>
          </cell>
          <cell r="F268" t="str">
            <v>Active</v>
          </cell>
          <cell r="G268">
            <v>30837</v>
          </cell>
          <cell r="H268">
            <v>24</v>
          </cell>
          <cell r="I268">
            <v>31971</v>
          </cell>
          <cell r="J268">
            <v>32008</v>
          </cell>
          <cell r="K268">
            <v>40773</v>
          </cell>
          <cell r="L268">
            <v>75000</v>
          </cell>
          <cell r="N268">
            <v>4500</v>
          </cell>
          <cell r="O268">
            <v>79500</v>
          </cell>
          <cell r="P268">
            <v>75000</v>
          </cell>
          <cell r="R268">
            <v>75000</v>
          </cell>
          <cell r="S268">
            <v>79500</v>
          </cell>
        </row>
        <row r="269">
          <cell r="A269">
            <v>3009</v>
          </cell>
          <cell r="B269" t="str">
            <v>Elmore Ltd.</v>
          </cell>
          <cell r="C269" t="str">
            <v>SO4</v>
          </cell>
          <cell r="D269" t="str">
            <v>Geothermal</v>
          </cell>
          <cell r="E269" t="str">
            <v>Cathy Mendoza</v>
          </cell>
          <cell r="F269" t="str">
            <v>Active</v>
          </cell>
          <cell r="G269">
            <v>30848</v>
          </cell>
          <cell r="H269">
            <v>30</v>
          </cell>
          <cell r="I269">
            <v>32482</v>
          </cell>
          <cell r="J269">
            <v>32509</v>
          </cell>
          <cell r="K269">
            <v>43466</v>
          </cell>
          <cell r="L269">
            <v>34000</v>
          </cell>
          <cell r="M269">
            <v>4000</v>
          </cell>
          <cell r="O269">
            <v>38000</v>
          </cell>
          <cell r="P269">
            <v>34000</v>
          </cell>
          <cell r="Q269">
            <v>4000</v>
          </cell>
          <cell r="R269">
            <v>38000</v>
          </cell>
          <cell r="S269">
            <v>42000</v>
          </cell>
        </row>
        <row r="270">
          <cell r="A270">
            <v>3010</v>
          </cell>
          <cell r="B270" t="str">
            <v>Ormesa Geothermal I</v>
          </cell>
          <cell r="C270" t="str">
            <v>SO4</v>
          </cell>
          <cell r="D270" t="str">
            <v>Geothermal</v>
          </cell>
          <cell r="E270" t="str">
            <v>David R Cox</v>
          </cell>
          <cell r="F270" t="str">
            <v>Active</v>
          </cell>
          <cell r="G270">
            <v>30881</v>
          </cell>
          <cell r="H270">
            <v>30</v>
          </cell>
          <cell r="I270">
            <v>31761</v>
          </cell>
          <cell r="J270">
            <v>32059</v>
          </cell>
          <cell r="K270">
            <v>43017</v>
          </cell>
          <cell r="L270">
            <v>31500</v>
          </cell>
          <cell r="M270">
            <v>6500</v>
          </cell>
          <cell r="O270">
            <v>38000</v>
          </cell>
          <cell r="P270">
            <v>31500</v>
          </cell>
          <cell r="Q270">
            <v>6500</v>
          </cell>
          <cell r="R270">
            <v>38000</v>
          </cell>
          <cell r="S270">
            <v>38000</v>
          </cell>
        </row>
        <row r="271">
          <cell r="A271">
            <v>3011</v>
          </cell>
          <cell r="B271" t="str">
            <v>Caithness Dixie Valley, LLC</v>
          </cell>
          <cell r="C271" t="str">
            <v>SO4</v>
          </cell>
          <cell r="D271" t="str">
            <v>Geothermal</v>
          </cell>
          <cell r="E271" t="str">
            <v>Anthony F Blakemore</v>
          </cell>
          <cell r="F271" t="str">
            <v>Active</v>
          </cell>
          <cell r="G271">
            <v>30883</v>
          </cell>
          <cell r="H271">
            <v>30</v>
          </cell>
          <cell r="I271">
            <v>32308</v>
          </cell>
          <cell r="J271">
            <v>32329</v>
          </cell>
          <cell r="K271">
            <v>43285</v>
          </cell>
          <cell r="L271">
            <v>49800</v>
          </cell>
          <cell r="N271">
            <v>6200</v>
          </cell>
          <cell r="O271">
            <v>56000</v>
          </cell>
          <cell r="P271">
            <v>49800</v>
          </cell>
          <cell r="R271">
            <v>49800</v>
          </cell>
          <cell r="S271">
            <v>56000</v>
          </cell>
        </row>
        <row r="272">
          <cell r="A272">
            <v>3012</v>
          </cell>
          <cell r="B272" t="str">
            <v>Ormesa Geothermal II</v>
          </cell>
          <cell r="C272" t="str">
            <v>SO4</v>
          </cell>
          <cell r="D272" t="str">
            <v>Geothermal</v>
          </cell>
          <cell r="E272" t="str">
            <v>David R Cox</v>
          </cell>
          <cell r="F272" t="str">
            <v>Active</v>
          </cell>
          <cell r="G272">
            <v>30846</v>
          </cell>
          <cell r="H272">
            <v>30</v>
          </cell>
          <cell r="I272">
            <v>32142</v>
          </cell>
          <cell r="J272">
            <v>32212</v>
          </cell>
          <cell r="K272">
            <v>43169</v>
          </cell>
          <cell r="L272">
            <v>15000</v>
          </cell>
          <cell r="N272">
            <v>3500</v>
          </cell>
          <cell r="O272">
            <v>18500</v>
          </cell>
          <cell r="P272">
            <v>15000</v>
          </cell>
          <cell r="R272">
            <v>15000</v>
          </cell>
          <cell r="S272">
            <v>18500</v>
          </cell>
        </row>
        <row r="273">
          <cell r="A273">
            <v>3015</v>
          </cell>
          <cell r="B273" t="str">
            <v>Geo East Mesa Limited Partnership</v>
          </cell>
          <cell r="C273" t="str">
            <v>SO4</v>
          </cell>
          <cell r="D273" t="str">
            <v>Geothermal</v>
          </cell>
          <cell r="E273" t="str">
            <v>Cynthia Shindle</v>
          </cell>
          <cell r="F273" t="str">
            <v>Terminated</v>
          </cell>
          <cell r="G273">
            <v>31016</v>
          </cell>
          <cell r="H273">
            <v>30</v>
          </cell>
          <cell r="I273">
            <v>32632</v>
          </cell>
          <cell r="J273">
            <v>32689</v>
          </cell>
          <cell r="K273">
            <v>35885</v>
          </cell>
          <cell r="L273">
            <v>18500</v>
          </cell>
          <cell r="M273">
            <v>18500</v>
          </cell>
          <cell r="O273">
            <v>37000</v>
          </cell>
          <cell r="P273">
            <v>18500</v>
          </cell>
          <cell r="Q273">
            <v>18500</v>
          </cell>
          <cell r="R273">
            <v>37000</v>
          </cell>
          <cell r="S273">
            <v>37000</v>
          </cell>
        </row>
        <row r="274">
          <cell r="A274">
            <v>3016</v>
          </cell>
          <cell r="B274" t="str">
            <v>Geo East Mesa Escrow Account</v>
          </cell>
          <cell r="C274" t="str">
            <v>SO4</v>
          </cell>
          <cell r="D274" t="str">
            <v>Geothermal</v>
          </cell>
          <cell r="E274" t="str">
            <v>Cynthia Shindle</v>
          </cell>
          <cell r="F274" t="str">
            <v>Terminated</v>
          </cell>
          <cell r="G274">
            <v>31016</v>
          </cell>
          <cell r="H274">
            <v>30</v>
          </cell>
          <cell r="I274">
            <v>32646</v>
          </cell>
          <cell r="J274">
            <v>32661</v>
          </cell>
          <cell r="K274">
            <v>35885</v>
          </cell>
          <cell r="L274">
            <v>20000</v>
          </cell>
          <cell r="M274">
            <v>17000</v>
          </cell>
          <cell r="O274">
            <v>37000</v>
          </cell>
          <cell r="P274">
            <v>20000</v>
          </cell>
          <cell r="Q274">
            <v>17000</v>
          </cell>
          <cell r="R274">
            <v>37000</v>
          </cell>
          <cell r="S274">
            <v>37000</v>
          </cell>
        </row>
        <row r="275">
          <cell r="A275">
            <v>3017</v>
          </cell>
          <cell r="B275" t="str">
            <v>Beowawe Power, LLC</v>
          </cell>
          <cell r="C275" t="str">
            <v>SO4</v>
          </cell>
          <cell r="D275" t="str">
            <v>Geothermal</v>
          </cell>
          <cell r="E275" t="str">
            <v>Anthony F Blakemore</v>
          </cell>
          <cell r="F275" t="str">
            <v>Terminated</v>
          </cell>
          <cell r="G275">
            <v>30995</v>
          </cell>
          <cell r="H275">
            <v>30</v>
          </cell>
          <cell r="I275">
            <v>31631</v>
          </cell>
          <cell r="J275">
            <v>31631</v>
          </cell>
          <cell r="K275">
            <v>38717</v>
          </cell>
          <cell r="L275">
            <v>10000</v>
          </cell>
          <cell r="M275">
            <v>1000</v>
          </cell>
          <cell r="N275">
            <v>1500</v>
          </cell>
          <cell r="O275">
            <v>12500</v>
          </cell>
          <cell r="P275">
            <v>10000</v>
          </cell>
          <cell r="Q275">
            <v>1000</v>
          </cell>
          <cell r="R275">
            <v>11000</v>
          </cell>
          <cell r="S275">
            <v>12500</v>
          </cell>
        </row>
        <row r="276">
          <cell r="A276">
            <v>3018</v>
          </cell>
          <cell r="B276" t="str">
            <v>Mammoth Pacific L. P. I (PLES)</v>
          </cell>
          <cell r="C276" t="str">
            <v>SO4</v>
          </cell>
          <cell r="D276" t="str">
            <v>Geothermal</v>
          </cell>
          <cell r="E276" t="str">
            <v>Michele Walker</v>
          </cell>
          <cell r="F276" t="str">
            <v>Active</v>
          </cell>
          <cell r="G276">
            <v>31153</v>
          </cell>
          <cell r="H276">
            <v>30</v>
          </cell>
          <cell r="I276">
            <v>33229</v>
          </cell>
          <cell r="J276">
            <v>33235</v>
          </cell>
          <cell r="K276">
            <v>44192</v>
          </cell>
          <cell r="L276">
            <v>10000</v>
          </cell>
          <cell r="O276">
            <v>10000</v>
          </cell>
          <cell r="P276">
            <v>10000</v>
          </cell>
          <cell r="R276">
            <v>10000</v>
          </cell>
          <cell r="S276">
            <v>10000</v>
          </cell>
        </row>
        <row r="277">
          <cell r="A277">
            <v>3019</v>
          </cell>
          <cell r="B277" t="str">
            <v>Mammoth Pacific, L. P.</v>
          </cell>
          <cell r="C277" t="str">
            <v>NEG</v>
          </cell>
          <cell r="D277" t="str">
            <v>Geothermal</v>
          </cell>
          <cell r="E277" t="str">
            <v>Bruce McCarthy</v>
          </cell>
          <cell r="F277" t="str">
            <v>Terminated</v>
          </cell>
          <cell r="G277">
            <v>35916</v>
          </cell>
          <cell r="H277">
            <v>0</v>
          </cell>
          <cell r="I277">
            <v>35916</v>
          </cell>
          <cell r="K277">
            <v>37407</v>
          </cell>
        </row>
        <row r="278">
          <cell r="A278">
            <v>3021</v>
          </cell>
          <cell r="B278" t="str">
            <v>Second Imperial Geothermal Co.</v>
          </cell>
          <cell r="C278" t="str">
            <v>NEG</v>
          </cell>
          <cell r="D278" t="str">
            <v>Geothermal</v>
          </cell>
          <cell r="E278" t="str">
            <v>Michele Walker</v>
          </cell>
          <cell r="F278" t="str">
            <v>Active</v>
          </cell>
          <cell r="G278">
            <v>31153</v>
          </cell>
          <cell r="H278">
            <v>30</v>
          </cell>
          <cell r="I278">
            <v>34141</v>
          </cell>
          <cell r="J278">
            <v>34155</v>
          </cell>
          <cell r="K278">
            <v>45111</v>
          </cell>
          <cell r="L278">
            <v>32000</v>
          </cell>
          <cell r="M278">
            <v>5000</v>
          </cell>
          <cell r="O278">
            <v>37000</v>
          </cell>
          <cell r="P278">
            <v>32000</v>
          </cell>
          <cell r="Q278">
            <v>5000</v>
          </cell>
          <cell r="R278">
            <v>37000</v>
          </cell>
          <cell r="S278">
            <v>37000</v>
          </cell>
        </row>
        <row r="279">
          <cell r="A279">
            <v>3025</v>
          </cell>
          <cell r="B279" t="str">
            <v>Salton Sea Power Generation L.P. #3</v>
          </cell>
          <cell r="C279" t="str">
            <v>SO4</v>
          </cell>
          <cell r="D279" t="str">
            <v>Geothermal</v>
          </cell>
          <cell r="E279" t="str">
            <v>Cathy Mendoza</v>
          </cell>
          <cell r="F279" t="str">
            <v>Active</v>
          </cell>
          <cell r="G279">
            <v>31153</v>
          </cell>
          <cell r="H279">
            <v>30</v>
          </cell>
          <cell r="I279">
            <v>32511</v>
          </cell>
          <cell r="J279">
            <v>32553</v>
          </cell>
          <cell r="K279">
            <v>43509</v>
          </cell>
          <cell r="L279">
            <v>47500</v>
          </cell>
          <cell r="N279">
            <v>2300</v>
          </cell>
          <cell r="O279">
            <v>49800</v>
          </cell>
          <cell r="P279">
            <v>47500</v>
          </cell>
          <cell r="R279">
            <v>47500</v>
          </cell>
          <cell r="S279">
            <v>49800</v>
          </cell>
        </row>
        <row r="280">
          <cell r="A280">
            <v>3026</v>
          </cell>
          <cell r="B280" t="str">
            <v>Leathers L. P.</v>
          </cell>
          <cell r="C280" t="str">
            <v>SO4</v>
          </cell>
          <cell r="D280" t="str">
            <v>Geothermal</v>
          </cell>
          <cell r="E280" t="str">
            <v>Cathy Mendoza</v>
          </cell>
          <cell r="F280" t="str">
            <v>Active</v>
          </cell>
          <cell r="G280">
            <v>31153</v>
          </cell>
          <cell r="H280">
            <v>30</v>
          </cell>
          <cell r="I280">
            <v>32819</v>
          </cell>
          <cell r="J280">
            <v>32874</v>
          </cell>
          <cell r="K280">
            <v>43830</v>
          </cell>
          <cell r="L280">
            <v>34000</v>
          </cell>
          <cell r="M280">
            <v>4000</v>
          </cell>
          <cell r="O280">
            <v>38000</v>
          </cell>
          <cell r="P280">
            <v>34000</v>
          </cell>
          <cell r="Q280">
            <v>4000</v>
          </cell>
          <cell r="R280">
            <v>38000</v>
          </cell>
          <cell r="S280">
            <v>42000</v>
          </cell>
        </row>
        <row r="281">
          <cell r="A281">
            <v>3027</v>
          </cell>
          <cell r="B281" t="str">
            <v>Mammoth Pacific L P II (MP2)</v>
          </cell>
          <cell r="C281" t="str">
            <v>SO4</v>
          </cell>
          <cell r="D281" t="str">
            <v>Geothermal</v>
          </cell>
          <cell r="E281" t="str">
            <v>Michele Walker</v>
          </cell>
          <cell r="F281" t="str">
            <v>Active</v>
          </cell>
          <cell r="G281">
            <v>31152</v>
          </cell>
          <cell r="H281">
            <v>30</v>
          </cell>
          <cell r="I281">
            <v>33214</v>
          </cell>
          <cell r="J281">
            <v>33214</v>
          </cell>
          <cell r="K281">
            <v>44171</v>
          </cell>
          <cell r="M281">
            <v>9100</v>
          </cell>
          <cell r="N281">
            <v>2900</v>
          </cell>
          <cell r="O281">
            <v>12000</v>
          </cell>
          <cell r="Q281">
            <v>9100</v>
          </cell>
          <cell r="R281">
            <v>9100</v>
          </cell>
          <cell r="S281">
            <v>12000</v>
          </cell>
        </row>
        <row r="282">
          <cell r="A282">
            <v>3028</v>
          </cell>
          <cell r="B282" t="str">
            <v>Salton Sea Power Generation L.P. #2</v>
          </cell>
          <cell r="C282" t="str">
            <v>SO4</v>
          </cell>
          <cell r="D282" t="str">
            <v>Geothermal</v>
          </cell>
          <cell r="E282" t="str">
            <v>Cathy Mendoza</v>
          </cell>
          <cell r="F282" t="str">
            <v>Active</v>
          </cell>
          <cell r="G282">
            <v>31153</v>
          </cell>
          <cell r="H282">
            <v>30</v>
          </cell>
          <cell r="I282">
            <v>32941</v>
          </cell>
          <cell r="J282">
            <v>32968</v>
          </cell>
          <cell r="K282">
            <v>43926</v>
          </cell>
          <cell r="L282">
            <v>15000</v>
          </cell>
          <cell r="N282">
            <v>5000</v>
          </cell>
          <cell r="O282">
            <v>20000</v>
          </cell>
          <cell r="P282">
            <v>15000</v>
          </cell>
          <cell r="R282">
            <v>15000</v>
          </cell>
          <cell r="S282">
            <v>20000</v>
          </cell>
        </row>
        <row r="283">
          <cell r="A283">
            <v>3029</v>
          </cell>
          <cell r="B283" t="str">
            <v>Coso Power Developers</v>
          </cell>
          <cell r="C283" t="str">
            <v>SO4</v>
          </cell>
          <cell r="D283" t="str">
            <v>Geothermal</v>
          </cell>
          <cell r="E283" t="str">
            <v>Anthony F Blakemore</v>
          </cell>
          <cell r="F283" t="str">
            <v>Active</v>
          </cell>
          <cell r="G283">
            <v>31079</v>
          </cell>
          <cell r="H283">
            <v>20</v>
          </cell>
          <cell r="I283">
            <v>32865</v>
          </cell>
          <cell r="J283">
            <v>32885</v>
          </cell>
          <cell r="K283">
            <v>40189</v>
          </cell>
          <cell r="L283">
            <v>67500</v>
          </cell>
          <cell r="N283">
            <v>7500</v>
          </cell>
          <cell r="O283">
            <v>75000</v>
          </cell>
          <cell r="P283">
            <v>67500</v>
          </cell>
          <cell r="R283">
            <v>67500</v>
          </cell>
          <cell r="S283">
            <v>75000</v>
          </cell>
        </row>
        <row r="284">
          <cell r="A284">
            <v>3030</v>
          </cell>
          <cell r="B284" t="str">
            <v>Coso Energy Developers</v>
          </cell>
          <cell r="C284" t="str">
            <v>SO4</v>
          </cell>
          <cell r="D284" t="str">
            <v>Geothermal</v>
          </cell>
          <cell r="E284" t="str">
            <v>Anthony F Blakemore</v>
          </cell>
          <cell r="F284" t="str">
            <v>Active</v>
          </cell>
          <cell r="G284">
            <v>31079</v>
          </cell>
          <cell r="H284">
            <v>30</v>
          </cell>
          <cell r="I284">
            <v>32482</v>
          </cell>
          <cell r="J284">
            <v>32580</v>
          </cell>
          <cell r="K284">
            <v>43536</v>
          </cell>
          <cell r="L284">
            <v>67500</v>
          </cell>
          <cell r="N284">
            <v>7500</v>
          </cell>
          <cell r="O284">
            <v>75000</v>
          </cell>
          <cell r="P284">
            <v>67500</v>
          </cell>
          <cell r="R284">
            <v>67500</v>
          </cell>
          <cell r="S284">
            <v>75000</v>
          </cell>
        </row>
        <row r="285">
          <cell r="A285">
            <v>3032</v>
          </cell>
          <cell r="B285" t="str">
            <v>Dixie Valley Power Partnership</v>
          </cell>
          <cell r="C285" t="str">
            <v>SO1</v>
          </cell>
          <cell r="D285" t="str">
            <v>Geothermal</v>
          </cell>
          <cell r="E285" t="str">
            <v>Bruce McCarthy</v>
          </cell>
          <cell r="F285" t="str">
            <v>Terminated</v>
          </cell>
          <cell r="G285">
            <v>33221</v>
          </cell>
          <cell r="H285">
            <v>4</v>
          </cell>
          <cell r="K285">
            <v>36691</v>
          </cell>
        </row>
        <row r="286">
          <cell r="A286">
            <v>3039</v>
          </cell>
          <cell r="B286" t="str">
            <v>Salton Sea Power Generation L.P. #1</v>
          </cell>
          <cell r="C286" t="str">
            <v>NEG</v>
          </cell>
          <cell r="D286" t="str">
            <v>Geothermal</v>
          </cell>
          <cell r="E286" t="str">
            <v>Cathy Mendoza</v>
          </cell>
          <cell r="F286" t="str">
            <v>Active</v>
          </cell>
          <cell r="G286">
            <v>31905</v>
          </cell>
          <cell r="H286">
            <v>30</v>
          </cell>
          <cell r="I286">
            <v>31959</v>
          </cell>
          <cell r="J286">
            <v>31959</v>
          </cell>
          <cell r="K286">
            <v>42917</v>
          </cell>
          <cell r="L286">
            <v>10000</v>
          </cell>
          <cell r="O286">
            <v>10000</v>
          </cell>
          <cell r="P286">
            <v>10000</v>
          </cell>
          <cell r="R286">
            <v>10000</v>
          </cell>
          <cell r="S286">
            <v>10000</v>
          </cell>
        </row>
        <row r="287">
          <cell r="A287">
            <v>3050</v>
          </cell>
          <cell r="B287" t="str">
            <v>Salton Sea IV</v>
          </cell>
          <cell r="C287" t="str">
            <v>NEG</v>
          </cell>
          <cell r="D287" t="str">
            <v>Geothermal</v>
          </cell>
          <cell r="E287" t="str">
            <v>Cathy Mendoza</v>
          </cell>
          <cell r="F287" t="str">
            <v>Active</v>
          </cell>
          <cell r="G287">
            <v>34667</v>
          </cell>
          <cell r="H287">
            <v>30</v>
          </cell>
          <cell r="I287">
            <v>35194</v>
          </cell>
          <cell r="J287">
            <v>35209</v>
          </cell>
          <cell r="K287">
            <v>46165</v>
          </cell>
          <cell r="L287">
            <v>34000</v>
          </cell>
          <cell r="M287">
            <v>2000</v>
          </cell>
          <cell r="O287">
            <v>36000</v>
          </cell>
          <cell r="P287">
            <v>34000</v>
          </cell>
          <cell r="Q287">
            <v>2000</v>
          </cell>
          <cell r="R287">
            <v>36000</v>
          </cell>
          <cell r="S287">
            <v>36000</v>
          </cell>
        </row>
        <row r="288">
          <cell r="A288">
            <v>3052</v>
          </cell>
          <cell r="B288" t="str">
            <v>Calpine Energy Services, L.P.</v>
          </cell>
          <cell r="C288" t="str">
            <v>ERR</v>
          </cell>
          <cell r="D288" t="str">
            <v>Geothermal</v>
          </cell>
          <cell r="E288" t="str">
            <v>Cathy Mendoza</v>
          </cell>
          <cell r="F288" t="str">
            <v>Active</v>
          </cell>
          <cell r="G288">
            <v>37610</v>
          </cell>
          <cell r="H288">
            <v>10</v>
          </cell>
          <cell r="I288">
            <v>37742</v>
          </cell>
          <cell r="J288">
            <v>37742</v>
          </cell>
          <cell r="K288">
            <v>41394</v>
          </cell>
          <cell r="L288">
            <v>200000</v>
          </cell>
          <cell r="O288">
            <v>200000</v>
          </cell>
          <cell r="P288">
            <v>200000</v>
          </cell>
          <cell r="R288">
            <v>200000</v>
          </cell>
          <cell r="S288">
            <v>200000</v>
          </cell>
        </row>
        <row r="289">
          <cell r="A289">
            <v>3101</v>
          </cell>
          <cell r="B289" t="str">
            <v>Green Borders Geothermal LLC</v>
          </cell>
          <cell r="C289" t="str">
            <v>ERR</v>
          </cell>
          <cell r="D289" t="str">
            <v>Geothermal</v>
          </cell>
          <cell r="E289" t="str">
            <v>David R Cox</v>
          </cell>
          <cell r="F289" t="str">
            <v>Active</v>
          </cell>
          <cell r="G289">
            <v>38419</v>
          </cell>
          <cell r="H289">
            <v>20</v>
          </cell>
          <cell r="I289">
            <v>39538</v>
          </cell>
          <cell r="S289">
            <v>30000</v>
          </cell>
        </row>
        <row r="290">
          <cell r="A290">
            <v>3901</v>
          </cell>
          <cell r="B290" t="str">
            <v>MAGMA Generating Company II</v>
          </cell>
          <cell r="C290" t="str">
            <v>BRPU</v>
          </cell>
          <cell r="D290" t="str">
            <v>Geothermal</v>
          </cell>
          <cell r="E290" t="str">
            <v>Cynthia Shindle</v>
          </cell>
          <cell r="F290" t="str">
            <v>Terminated</v>
          </cell>
          <cell r="G290">
            <v>36100</v>
          </cell>
          <cell r="H290">
            <v>0</v>
          </cell>
        </row>
        <row r="291">
          <cell r="A291">
            <v>3903</v>
          </cell>
          <cell r="B291" t="str">
            <v>Mammoth Power Associates</v>
          </cell>
          <cell r="C291" t="str">
            <v>BRPU</v>
          </cell>
          <cell r="D291" t="str">
            <v>Geothermal</v>
          </cell>
          <cell r="E291" t="str">
            <v>Cynthia Shindle</v>
          </cell>
          <cell r="F291" t="str">
            <v>Terminated</v>
          </cell>
          <cell r="G291">
            <v>36161</v>
          </cell>
          <cell r="H291">
            <v>0</v>
          </cell>
          <cell r="I291">
            <v>36161</v>
          </cell>
        </row>
        <row r="292">
          <cell r="A292">
            <v>3904</v>
          </cell>
          <cell r="B292" t="str">
            <v>Oxbow Power Corporation</v>
          </cell>
          <cell r="C292" t="str">
            <v>BRPU</v>
          </cell>
          <cell r="D292" t="str">
            <v>Geothermal</v>
          </cell>
          <cell r="E292" t="str">
            <v>Cynthia Shindle</v>
          </cell>
          <cell r="F292" t="str">
            <v>Terminated</v>
          </cell>
          <cell r="G292">
            <v>36100</v>
          </cell>
          <cell r="H292">
            <v>0</v>
          </cell>
        </row>
        <row r="293">
          <cell r="A293">
            <v>4003</v>
          </cell>
          <cell r="B293" t="str">
            <v>City of La Habra</v>
          </cell>
          <cell r="C293" t="str">
            <v>SO3</v>
          </cell>
          <cell r="D293" t="str">
            <v>Small Hydro</v>
          </cell>
          <cell r="E293" t="str">
            <v>Michele Walker</v>
          </cell>
          <cell r="F293" t="str">
            <v>Terminated</v>
          </cell>
          <cell r="G293">
            <v>30317</v>
          </cell>
          <cell r="H293">
            <v>1</v>
          </cell>
          <cell r="I293">
            <v>30011</v>
          </cell>
          <cell r="J293">
            <v>30011</v>
          </cell>
          <cell r="K293">
            <v>36003</v>
          </cell>
          <cell r="M293">
            <v>100</v>
          </cell>
          <cell r="O293">
            <v>100</v>
          </cell>
          <cell r="Q293">
            <v>100</v>
          </cell>
          <cell r="R293">
            <v>100</v>
          </cell>
          <cell r="S293">
            <v>100</v>
          </cell>
        </row>
        <row r="294">
          <cell r="A294">
            <v>4004</v>
          </cell>
          <cell r="B294" t="str">
            <v>Hi Head Hydro Incorporated</v>
          </cell>
          <cell r="C294" t="str">
            <v>NEG</v>
          </cell>
          <cell r="D294" t="str">
            <v>Small Hydro</v>
          </cell>
          <cell r="E294" t="str">
            <v>Michele Walker</v>
          </cell>
          <cell r="F294" t="str">
            <v>Active</v>
          </cell>
          <cell r="G294">
            <v>29812</v>
          </cell>
          <cell r="H294">
            <v>40</v>
          </cell>
          <cell r="I294">
            <v>30072</v>
          </cell>
          <cell r="J294">
            <v>30072</v>
          </cell>
          <cell r="K294">
            <v>44681</v>
          </cell>
          <cell r="L294">
            <v>350</v>
          </cell>
          <cell r="O294">
            <v>350</v>
          </cell>
          <cell r="P294">
            <v>350</v>
          </cell>
          <cell r="R294">
            <v>350</v>
          </cell>
          <cell r="S294">
            <v>350</v>
          </cell>
        </row>
        <row r="295">
          <cell r="A295">
            <v>4005</v>
          </cell>
          <cell r="B295" t="str">
            <v>Metropolitan Water District</v>
          </cell>
          <cell r="C295" t="str">
            <v>ERR</v>
          </cell>
          <cell r="D295" t="str">
            <v>Small Hydro</v>
          </cell>
          <cell r="E295" t="str">
            <v>David R Cox</v>
          </cell>
          <cell r="F295" t="str">
            <v>Active</v>
          </cell>
          <cell r="G295">
            <v>30125</v>
          </cell>
          <cell r="H295">
            <v>25</v>
          </cell>
          <cell r="I295">
            <v>28907</v>
          </cell>
          <cell r="J295">
            <v>37926</v>
          </cell>
          <cell r="K295">
            <v>39752</v>
          </cell>
          <cell r="L295">
            <v>12000</v>
          </cell>
          <cell r="M295">
            <v>35200</v>
          </cell>
          <cell r="O295">
            <v>47200</v>
          </cell>
          <cell r="P295">
            <v>12000</v>
          </cell>
          <cell r="Q295">
            <v>35200</v>
          </cell>
          <cell r="R295">
            <v>47200</v>
          </cell>
          <cell r="S295">
            <v>47200</v>
          </cell>
        </row>
        <row r="296">
          <cell r="A296">
            <v>4006</v>
          </cell>
          <cell r="B296" t="str">
            <v>Henwood Associates</v>
          </cell>
          <cell r="C296" t="str">
            <v>NEG</v>
          </cell>
          <cell r="D296" t="str">
            <v>Small Hydro</v>
          </cell>
          <cell r="E296" t="str">
            <v>Michele Walker</v>
          </cell>
          <cell r="F296" t="str">
            <v>Active</v>
          </cell>
          <cell r="G296">
            <v>30160</v>
          </cell>
          <cell r="H296">
            <v>27</v>
          </cell>
          <cell r="I296">
            <v>30498</v>
          </cell>
          <cell r="J296">
            <v>30527</v>
          </cell>
          <cell r="K296">
            <v>40388</v>
          </cell>
          <cell r="L296">
            <v>290</v>
          </cell>
          <cell r="O296">
            <v>290</v>
          </cell>
          <cell r="P296">
            <v>290</v>
          </cell>
          <cell r="R296">
            <v>290</v>
          </cell>
          <cell r="S296">
            <v>290</v>
          </cell>
        </row>
        <row r="297">
          <cell r="A297">
            <v>4007</v>
          </cell>
          <cell r="B297" t="str">
            <v>Lake Hemet MWD</v>
          </cell>
          <cell r="C297" t="str">
            <v>SO3</v>
          </cell>
          <cell r="D297" t="str">
            <v>Small Hydro</v>
          </cell>
          <cell r="E297" t="str">
            <v>Bruce McCarthy</v>
          </cell>
          <cell r="F297" t="str">
            <v>Terminated</v>
          </cell>
          <cell r="G297">
            <v>30133</v>
          </cell>
          <cell r="H297">
            <v>1</v>
          </cell>
          <cell r="I297">
            <v>30072</v>
          </cell>
          <cell r="J297">
            <v>30072</v>
          </cell>
          <cell r="K297">
            <v>38152</v>
          </cell>
          <cell r="M297">
            <v>95</v>
          </cell>
          <cell r="O297">
            <v>95</v>
          </cell>
          <cell r="Q297">
            <v>95</v>
          </cell>
          <cell r="R297">
            <v>95</v>
          </cell>
          <cell r="S297">
            <v>95</v>
          </cell>
        </row>
        <row r="298">
          <cell r="A298">
            <v>4008</v>
          </cell>
          <cell r="B298" t="str">
            <v>Desert Power Company</v>
          </cell>
          <cell r="C298" t="str">
            <v>NEG</v>
          </cell>
          <cell r="D298" t="str">
            <v>Small Hydro</v>
          </cell>
          <cell r="E298" t="str">
            <v>Michele Walker</v>
          </cell>
          <cell r="F298" t="str">
            <v>Active</v>
          </cell>
          <cell r="G298">
            <v>30176</v>
          </cell>
          <cell r="H298">
            <v>45</v>
          </cell>
          <cell r="I298">
            <v>30511</v>
          </cell>
          <cell r="J298">
            <v>30511</v>
          </cell>
          <cell r="K298">
            <v>46947</v>
          </cell>
          <cell r="L298">
            <v>600</v>
          </cell>
          <cell r="M298">
            <v>348</v>
          </cell>
          <cell r="O298">
            <v>948</v>
          </cell>
          <cell r="P298">
            <v>600</v>
          </cell>
          <cell r="Q298">
            <v>348</v>
          </cell>
          <cell r="R298">
            <v>948</v>
          </cell>
          <cell r="S298">
            <v>948</v>
          </cell>
        </row>
        <row r="299">
          <cell r="A299">
            <v>4009</v>
          </cell>
          <cell r="B299" t="str">
            <v>Cucamonga County Water District</v>
          </cell>
          <cell r="C299" t="str">
            <v>SO1</v>
          </cell>
          <cell r="D299" t="str">
            <v>Small Hydro</v>
          </cell>
          <cell r="E299" t="str">
            <v>Michele Walker</v>
          </cell>
          <cell r="F299" t="str">
            <v>Terminated</v>
          </cell>
          <cell r="G299">
            <v>30164</v>
          </cell>
          <cell r="H299">
            <v>1</v>
          </cell>
          <cell r="I299">
            <v>29618</v>
          </cell>
          <cell r="J299">
            <v>29618</v>
          </cell>
          <cell r="K299">
            <v>36733</v>
          </cell>
          <cell r="M299">
            <v>17</v>
          </cell>
          <cell r="O299">
            <v>17</v>
          </cell>
          <cell r="Q299">
            <v>17</v>
          </cell>
          <cell r="R299">
            <v>17</v>
          </cell>
          <cell r="S299">
            <v>17</v>
          </cell>
        </row>
        <row r="300">
          <cell r="A300">
            <v>4010</v>
          </cell>
          <cell r="B300" t="str">
            <v>Calleguas MWD - Unit 1</v>
          </cell>
          <cell r="C300" t="str">
            <v>SO4</v>
          </cell>
          <cell r="D300" t="str">
            <v>Small Hydro</v>
          </cell>
          <cell r="E300" t="str">
            <v>Cathy Mendoza</v>
          </cell>
          <cell r="F300" t="str">
            <v>Active</v>
          </cell>
          <cell r="G300">
            <v>31154</v>
          </cell>
          <cell r="H300">
            <v>30</v>
          </cell>
          <cell r="I300">
            <v>30225</v>
          </cell>
          <cell r="J300">
            <v>30225</v>
          </cell>
          <cell r="K300">
            <v>41182</v>
          </cell>
          <cell r="M300">
            <v>550</v>
          </cell>
          <cell r="O300">
            <v>550</v>
          </cell>
          <cell r="Q300">
            <v>550</v>
          </cell>
          <cell r="R300">
            <v>550</v>
          </cell>
          <cell r="S300">
            <v>550</v>
          </cell>
        </row>
        <row r="301">
          <cell r="A301">
            <v>4011</v>
          </cell>
          <cell r="B301" t="str">
            <v>San Gabriel Valley MWD</v>
          </cell>
          <cell r="C301" t="str">
            <v>SO2</v>
          </cell>
          <cell r="D301" t="str">
            <v>Small Hydro</v>
          </cell>
          <cell r="E301" t="str">
            <v>David R Cox</v>
          </cell>
          <cell r="F301" t="str">
            <v>Active</v>
          </cell>
          <cell r="G301">
            <v>31044</v>
          </cell>
          <cell r="H301">
            <v>20</v>
          </cell>
          <cell r="I301">
            <v>31440</v>
          </cell>
          <cell r="J301">
            <v>31594</v>
          </cell>
          <cell r="K301">
            <v>38899</v>
          </cell>
          <cell r="L301">
            <v>1050</v>
          </cell>
          <cell r="O301">
            <v>1050</v>
          </cell>
          <cell r="P301">
            <v>1050</v>
          </cell>
          <cell r="R301">
            <v>1050</v>
          </cell>
          <cell r="S301">
            <v>1050</v>
          </cell>
        </row>
        <row r="302">
          <cell r="A302">
            <v>4012</v>
          </cell>
          <cell r="B302" t="str">
            <v>City of Santa Barbara</v>
          </cell>
          <cell r="C302" t="str">
            <v>NEG</v>
          </cell>
          <cell r="D302" t="str">
            <v>Small Hydro</v>
          </cell>
          <cell r="E302" t="str">
            <v>Bruce McCarthy</v>
          </cell>
          <cell r="F302" t="str">
            <v>Terminated</v>
          </cell>
          <cell r="G302">
            <v>30292</v>
          </cell>
          <cell r="H302">
            <v>30</v>
          </cell>
          <cell r="I302">
            <v>31224</v>
          </cell>
          <cell r="J302">
            <v>32295</v>
          </cell>
          <cell r="K302">
            <v>36122</v>
          </cell>
          <cell r="L302">
            <v>450</v>
          </cell>
          <cell r="O302">
            <v>450</v>
          </cell>
          <cell r="P302">
            <v>450</v>
          </cell>
          <cell r="R302">
            <v>450</v>
          </cell>
          <cell r="S302">
            <v>700</v>
          </cell>
        </row>
        <row r="303">
          <cell r="A303">
            <v>4013</v>
          </cell>
          <cell r="B303" t="str">
            <v>Tehachapi Cummings Co. Water District</v>
          </cell>
          <cell r="C303" t="str">
            <v>SO3</v>
          </cell>
          <cell r="D303" t="str">
            <v>Small Hydro</v>
          </cell>
          <cell r="E303" t="str">
            <v>Cathy Mendoza</v>
          </cell>
          <cell r="F303" t="str">
            <v>Inactive</v>
          </cell>
          <cell r="G303">
            <v>30383</v>
          </cell>
          <cell r="H303">
            <v>1</v>
          </cell>
          <cell r="I303">
            <v>30590</v>
          </cell>
          <cell r="J303">
            <v>30590</v>
          </cell>
          <cell r="M303">
            <v>35</v>
          </cell>
          <cell r="O303">
            <v>35</v>
          </cell>
          <cell r="Q303">
            <v>35</v>
          </cell>
          <cell r="R303">
            <v>35</v>
          </cell>
          <cell r="S303">
            <v>35</v>
          </cell>
        </row>
        <row r="304">
          <cell r="A304">
            <v>4014</v>
          </cell>
          <cell r="B304" t="str">
            <v>San Bernardino MWD</v>
          </cell>
          <cell r="C304" t="str">
            <v>SO3</v>
          </cell>
          <cell r="D304" t="str">
            <v>Small Hydro</v>
          </cell>
          <cell r="E304" t="str">
            <v>Michele Walker</v>
          </cell>
          <cell r="F304" t="str">
            <v>Active</v>
          </cell>
          <cell r="G304">
            <v>30362</v>
          </cell>
          <cell r="H304">
            <v>1</v>
          </cell>
          <cell r="I304">
            <v>30498</v>
          </cell>
          <cell r="J304">
            <v>30498</v>
          </cell>
          <cell r="M304">
            <v>178</v>
          </cell>
          <cell r="O304">
            <v>178</v>
          </cell>
          <cell r="Q304">
            <v>178</v>
          </cell>
          <cell r="R304">
            <v>178</v>
          </cell>
          <cell r="S304">
            <v>178</v>
          </cell>
        </row>
        <row r="305">
          <cell r="A305">
            <v>4016</v>
          </cell>
          <cell r="B305" t="str">
            <v>Walnut Valley Water District</v>
          </cell>
          <cell r="C305" t="str">
            <v>SO4</v>
          </cell>
          <cell r="D305" t="str">
            <v>Small Hydro</v>
          </cell>
          <cell r="E305" t="str">
            <v>Cathy Mendoza</v>
          </cell>
          <cell r="F305" t="str">
            <v>Active</v>
          </cell>
          <cell r="G305">
            <v>30988</v>
          </cell>
          <cell r="H305">
            <v>30</v>
          </cell>
          <cell r="I305">
            <v>30972</v>
          </cell>
          <cell r="J305">
            <v>30972</v>
          </cell>
          <cell r="K305">
            <v>41928</v>
          </cell>
          <cell r="M305">
            <v>125</v>
          </cell>
          <cell r="O305">
            <v>125</v>
          </cell>
          <cell r="Q305">
            <v>125</v>
          </cell>
          <cell r="R305">
            <v>125</v>
          </cell>
          <cell r="S305">
            <v>125</v>
          </cell>
        </row>
        <row r="306">
          <cell r="A306">
            <v>4017</v>
          </cell>
          <cell r="B306" t="str">
            <v>Irvine Ranch Water District</v>
          </cell>
          <cell r="C306" t="str">
            <v>RSO1</v>
          </cell>
          <cell r="D306" t="str">
            <v>Small Hydro</v>
          </cell>
          <cell r="E306" t="str">
            <v>Michele Walker</v>
          </cell>
          <cell r="F306" t="str">
            <v>Active</v>
          </cell>
          <cell r="G306">
            <v>30568</v>
          </cell>
          <cell r="H306">
            <v>20</v>
          </cell>
          <cell r="I306">
            <v>30773</v>
          </cell>
          <cell r="J306">
            <v>30773</v>
          </cell>
          <cell r="K306">
            <v>40106</v>
          </cell>
          <cell r="M306">
            <v>187</v>
          </cell>
          <cell r="N306">
            <v>4</v>
          </cell>
          <cell r="O306">
            <v>191</v>
          </cell>
          <cell r="Q306">
            <v>187</v>
          </cell>
          <cell r="R306">
            <v>187</v>
          </cell>
          <cell r="S306">
            <v>191</v>
          </cell>
        </row>
        <row r="307">
          <cell r="A307">
            <v>4018</v>
          </cell>
          <cell r="B307" t="str">
            <v>Ordell ad Rita Portwood</v>
          </cell>
          <cell r="C307" t="str">
            <v>SO1</v>
          </cell>
          <cell r="D307" t="str">
            <v>Small Hydro</v>
          </cell>
          <cell r="E307" t="str">
            <v>Cynthia Shindle</v>
          </cell>
          <cell r="F307" t="str">
            <v>Terminated</v>
          </cell>
          <cell r="G307">
            <v>30521</v>
          </cell>
          <cell r="H307">
            <v>1</v>
          </cell>
          <cell r="I307">
            <v>30664</v>
          </cell>
          <cell r="J307">
            <v>30664</v>
          </cell>
          <cell r="K307">
            <v>34863</v>
          </cell>
          <cell r="M307">
            <v>325</v>
          </cell>
          <cell r="O307">
            <v>325</v>
          </cell>
          <cell r="Q307">
            <v>325</v>
          </cell>
          <cell r="R307">
            <v>325</v>
          </cell>
          <cell r="S307">
            <v>325</v>
          </cell>
        </row>
        <row r="308">
          <cell r="A308">
            <v>4019</v>
          </cell>
          <cell r="B308" t="str">
            <v>City of Upland</v>
          </cell>
          <cell r="C308" t="str">
            <v>SO3</v>
          </cell>
          <cell r="D308" t="str">
            <v>Small Hydro</v>
          </cell>
          <cell r="E308" t="str">
            <v>Michele Walker</v>
          </cell>
          <cell r="F308" t="str">
            <v>Terminated</v>
          </cell>
          <cell r="G308">
            <v>30881</v>
          </cell>
          <cell r="H308">
            <v>1</v>
          </cell>
          <cell r="I308">
            <v>30773</v>
          </cell>
          <cell r="J308">
            <v>30773</v>
          </cell>
          <cell r="K308">
            <v>36018</v>
          </cell>
          <cell r="M308">
            <v>90</v>
          </cell>
          <cell r="O308">
            <v>90</v>
          </cell>
          <cell r="Q308">
            <v>90</v>
          </cell>
          <cell r="R308">
            <v>90</v>
          </cell>
          <cell r="S308">
            <v>90</v>
          </cell>
        </row>
        <row r="309">
          <cell r="A309">
            <v>4020</v>
          </cell>
          <cell r="B309" t="str">
            <v>Lake Hemet MWD (Unit 2)</v>
          </cell>
          <cell r="C309" t="str">
            <v>SO4</v>
          </cell>
          <cell r="D309" t="str">
            <v>Small Hydro</v>
          </cell>
          <cell r="E309" t="str">
            <v>Bruce McCarthy</v>
          </cell>
          <cell r="F309" t="str">
            <v>Terminated</v>
          </cell>
          <cell r="G309">
            <v>30708</v>
          </cell>
          <cell r="H309">
            <v>30</v>
          </cell>
          <cell r="I309">
            <v>30854</v>
          </cell>
          <cell r="J309">
            <v>30854</v>
          </cell>
          <cell r="K309">
            <v>38081</v>
          </cell>
          <cell r="M309">
            <v>650</v>
          </cell>
          <cell r="O309">
            <v>650</v>
          </cell>
          <cell r="Q309">
            <v>650</v>
          </cell>
          <cell r="R309">
            <v>650</v>
          </cell>
          <cell r="S309">
            <v>650</v>
          </cell>
        </row>
        <row r="310">
          <cell r="A310">
            <v>4021</v>
          </cell>
          <cell r="B310" t="str">
            <v>City of Buena Park</v>
          </cell>
          <cell r="C310" t="str">
            <v>SO4</v>
          </cell>
          <cell r="D310" t="str">
            <v>Small Hydro</v>
          </cell>
          <cell r="E310" t="str">
            <v>Cynthia Shindle</v>
          </cell>
          <cell r="F310" t="str">
            <v>Terminated</v>
          </cell>
          <cell r="G310">
            <v>30757</v>
          </cell>
          <cell r="H310">
            <v>30</v>
          </cell>
          <cell r="I310">
            <v>31147</v>
          </cell>
          <cell r="J310">
            <v>31218</v>
          </cell>
          <cell r="K310">
            <v>35327</v>
          </cell>
          <cell r="L310">
            <v>100</v>
          </cell>
          <cell r="M310">
            <v>18</v>
          </cell>
          <cell r="O310">
            <v>118</v>
          </cell>
          <cell r="P310">
            <v>100</v>
          </cell>
          <cell r="Q310">
            <v>18</v>
          </cell>
          <cell r="R310">
            <v>118</v>
          </cell>
          <cell r="S310">
            <v>118</v>
          </cell>
        </row>
        <row r="311">
          <cell r="A311">
            <v>4022</v>
          </cell>
          <cell r="B311" t="str">
            <v>Calleguas MWD - Unit 2 (East Portal)</v>
          </cell>
          <cell r="C311" t="str">
            <v>SO4</v>
          </cell>
          <cell r="D311" t="str">
            <v>Small Hydro</v>
          </cell>
          <cell r="E311" t="str">
            <v>Cathy Mendoza</v>
          </cell>
          <cell r="F311" t="str">
            <v>Active</v>
          </cell>
          <cell r="G311">
            <v>31154</v>
          </cell>
          <cell r="H311">
            <v>30</v>
          </cell>
          <cell r="I311">
            <v>30956</v>
          </cell>
          <cell r="J311">
            <v>31154</v>
          </cell>
          <cell r="K311">
            <v>42110</v>
          </cell>
          <cell r="M311">
            <v>1250</v>
          </cell>
          <cell r="O311">
            <v>1250</v>
          </cell>
          <cell r="Q311">
            <v>1250</v>
          </cell>
          <cell r="R311">
            <v>1250</v>
          </cell>
          <cell r="S311">
            <v>1250</v>
          </cell>
        </row>
        <row r="312">
          <cell r="A312">
            <v>4023</v>
          </cell>
          <cell r="B312" t="str">
            <v>San Bernardino MWD (Unit 2)</v>
          </cell>
          <cell r="C312" t="str">
            <v>SO3</v>
          </cell>
          <cell r="D312" t="str">
            <v>Small Hydro</v>
          </cell>
          <cell r="E312" t="str">
            <v>Michele Walker</v>
          </cell>
          <cell r="F312" t="str">
            <v>Terminated</v>
          </cell>
          <cell r="G312">
            <v>30823</v>
          </cell>
          <cell r="H312">
            <v>1</v>
          </cell>
          <cell r="I312">
            <v>30864</v>
          </cell>
          <cell r="K312">
            <v>37255</v>
          </cell>
          <cell r="M312">
            <v>83</v>
          </cell>
          <cell r="O312">
            <v>83</v>
          </cell>
          <cell r="Q312">
            <v>83</v>
          </cell>
          <cell r="R312">
            <v>83</v>
          </cell>
          <cell r="S312">
            <v>83</v>
          </cell>
        </row>
        <row r="313">
          <cell r="A313">
            <v>4025</v>
          </cell>
          <cell r="B313" t="str">
            <v>Desert Water Agency</v>
          </cell>
          <cell r="C313" t="str">
            <v>SO4</v>
          </cell>
          <cell r="D313" t="str">
            <v>Small Hydro</v>
          </cell>
          <cell r="E313" t="str">
            <v>Anthony F Blakemore</v>
          </cell>
          <cell r="F313" t="str">
            <v>Active</v>
          </cell>
          <cell r="G313">
            <v>31006</v>
          </cell>
          <cell r="H313">
            <v>30</v>
          </cell>
          <cell r="I313">
            <v>31513</v>
          </cell>
          <cell r="J313">
            <v>31513</v>
          </cell>
          <cell r="K313">
            <v>42470</v>
          </cell>
          <cell r="M313">
            <v>1000</v>
          </cell>
          <cell r="O313">
            <v>1000</v>
          </cell>
          <cell r="Q313">
            <v>1000</v>
          </cell>
          <cell r="R313">
            <v>1000</v>
          </cell>
          <cell r="S313">
            <v>1000</v>
          </cell>
        </row>
        <row r="314">
          <cell r="A314">
            <v>4026</v>
          </cell>
          <cell r="B314" t="str">
            <v>Desert Water Agency (Snow Creek)</v>
          </cell>
          <cell r="C314" t="str">
            <v>SO4</v>
          </cell>
          <cell r="D314" t="str">
            <v>Small Hydro</v>
          </cell>
          <cell r="E314" t="str">
            <v>Anthony F Blakemore</v>
          </cell>
          <cell r="F314" t="str">
            <v>Active</v>
          </cell>
          <cell r="G314">
            <v>31006</v>
          </cell>
          <cell r="H314">
            <v>30</v>
          </cell>
          <cell r="I314">
            <v>32175</v>
          </cell>
          <cell r="J314">
            <v>32175</v>
          </cell>
          <cell r="K314">
            <v>43132</v>
          </cell>
          <cell r="M314">
            <v>300</v>
          </cell>
          <cell r="O314">
            <v>300</v>
          </cell>
          <cell r="Q314">
            <v>300</v>
          </cell>
          <cell r="R314">
            <v>300</v>
          </cell>
          <cell r="S314">
            <v>300</v>
          </cell>
        </row>
        <row r="315">
          <cell r="A315">
            <v>4027</v>
          </cell>
          <cell r="B315" t="str">
            <v>L. A. County Flood Control District</v>
          </cell>
          <cell r="C315" t="str">
            <v>SO4</v>
          </cell>
          <cell r="D315" t="str">
            <v>Small Hydro</v>
          </cell>
          <cell r="E315" t="str">
            <v>Cathy Mendoza</v>
          </cell>
          <cell r="F315" t="str">
            <v>Terminated</v>
          </cell>
          <cell r="G315">
            <v>31016</v>
          </cell>
          <cell r="H315">
            <v>30</v>
          </cell>
          <cell r="I315">
            <v>31404</v>
          </cell>
          <cell r="J315">
            <v>31404</v>
          </cell>
          <cell r="K315">
            <v>37777</v>
          </cell>
          <cell r="M315">
            <v>950</v>
          </cell>
          <cell r="O315">
            <v>950</v>
          </cell>
          <cell r="Q315">
            <v>950</v>
          </cell>
          <cell r="R315">
            <v>950</v>
          </cell>
          <cell r="S315">
            <v>950</v>
          </cell>
        </row>
        <row r="316">
          <cell r="A316">
            <v>4028</v>
          </cell>
          <cell r="B316" t="str">
            <v>Lower Tule River Irrigation Dist.</v>
          </cell>
          <cell r="C316" t="str">
            <v>SO4</v>
          </cell>
          <cell r="D316" t="str">
            <v>Small Hydro</v>
          </cell>
          <cell r="E316" t="str">
            <v>Anthony F Blakemore</v>
          </cell>
          <cell r="F316" t="str">
            <v>Active</v>
          </cell>
          <cell r="G316">
            <v>31043</v>
          </cell>
          <cell r="H316">
            <v>20</v>
          </cell>
          <cell r="I316">
            <v>32845</v>
          </cell>
          <cell r="J316">
            <v>32845</v>
          </cell>
          <cell r="K316">
            <v>40149</v>
          </cell>
          <cell r="M316">
            <v>1500</v>
          </cell>
          <cell r="O316">
            <v>1500</v>
          </cell>
          <cell r="Q316">
            <v>1500</v>
          </cell>
          <cell r="R316">
            <v>1500</v>
          </cell>
          <cell r="S316">
            <v>1500</v>
          </cell>
        </row>
        <row r="317">
          <cell r="A317">
            <v>4029</v>
          </cell>
          <cell r="B317" t="str">
            <v>LA CO Flood Control District</v>
          </cell>
          <cell r="C317" t="str">
            <v>SO4</v>
          </cell>
          <cell r="D317" t="str">
            <v>Small Hydro</v>
          </cell>
          <cell r="E317" t="str">
            <v>Anthony F Blakemore</v>
          </cell>
          <cell r="F317" t="str">
            <v>Active</v>
          </cell>
          <cell r="G317">
            <v>31023</v>
          </cell>
          <cell r="H317">
            <v>30</v>
          </cell>
          <cell r="I317">
            <v>32067</v>
          </cell>
          <cell r="J317">
            <v>32067</v>
          </cell>
          <cell r="K317">
            <v>43024</v>
          </cell>
          <cell r="M317">
            <v>4975</v>
          </cell>
          <cell r="O317">
            <v>4975</v>
          </cell>
          <cell r="Q317">
            <v>4975</v>
          </cell>
          <cell r="R317">
            <v>4975</v>
          </cell>
          <cell r="S317">
            <v>4975</v>
          </cell>
        </row>
        <row r="318">
          <cell r="A318">
            <v>4030</v>
          </cell>
          <cell r="B318" t="str">
            <v>Daniel M. Bates</v>
          </cell>
          <cell r="C318" t="str">
            <v>SO4</v>
          </cell>
          <cell r="D318" t="str">
            <v>Small Hydro</v>
          </cell>
          <cell r="E318" t="str">
            <v>Pam Snethen</v>
          </cell>
          <cell r="F318" t="str">
            <v>Active</v>
          </cell>
          <cell r="G318">
            <v>31134</v>
          </cell>
          <cell r="H318">
            <v>30</v>
          </cell>
          <cell r="I318">
            <v>32834</v>
          </cell>
          <cell r="J318">
            <v>32834</v>
          </cell>
          <cell r="K318">
            <v>43780</v>
          </cell>
          <cell r="M318">
            <v>350</v>
          </cell>
          <cell r="O318">
            <v>350</v>
          </cell>
          <cell r="Q318">
            <v>350</v>
          </cell>
          <cell r="R318">
            <v>350</v>
          </cell>
          <cell r="S318">
            <v>350</v>
          </cell>
        </row>
        <row r="319">
          <cell r="A319">
            <v>4031</v>
          </cell>
          <cell r="B319" t="str">
            <v>Richard Moss</v>
          </cell>
          <cell r="C319" t="str">
            <v>SO4</v>
          </cell>
          <cell r="D319" t="str">
            <v>Small Hydro</v>
          </cell>
          <cell r="E319" t="str">
            <v>Pam Snethen</v>
          </cell>
          <cell r="F319" t="str">
            <v>Active</v>
          </cell>
          <cell r="G319">
            <v>31135</v>
          </cell>
          <cell r="H319">
            <v>30</v>
          </cell>
          <cell r="I319">
            <v>31527</v>
          </cell>
          <cell r="J319">
            <v>31723</v>
          </cell>
          <cell r="K319">
            <v>42680</v>
          </cell>
          <cell r="M319">
            <v>155</v>
          </cell>
          <cell r="O319">
            <v>155</v>
          </cell>
          <cell r="Q319">
            <v>155</v>
          </cell>
          <cell r="R319">
            <v>155</v>
          </cell>
          <cell r="S319">
            <v>155</v>
          </cell>
        </row>
        <row r="320">
          <cell r="A320">
            <v>4032</v>
          </cell>
          <cell r="B320" t="str">
            <v>Walnut Valley Water District (#2)</v>
          </cell>
          <cell r="C320" t="str">
            <v>SO3</v>
          </cell>
          <cell r="D320" t="str">
            <v>Small Hydro</v>
          </cell>
          <cell r="E320" t="str">
            <v>Cathy Mendoza</v>
          </cell>
          <cell r="F320" t="str">
            <v>Active</v>
          </cell>
          <cell r="G320">
            <v>31127</v>
          </cell>
          <cell r="H320">
            <v>30</v>
          </cell>
          <cell r="I320">
            <v>30972</v>
          </cell>
          <cell r="K320">
            <v>42083</v>
          </cell>
          <cell r="N320">
            <v>25</v>
          </cell>
          <cell r="O320">
            <v>25</v>
          </cell>
          <cell r="S320">
            <v>25</v>
          </cell>
        </row>
        <row r="321">
          <cell r="A321">
            <v>4034</v>
          </cell>
          <cell r="B321" t="str">
            <v>Central Hydroelectric Corp.</v>
          </cell>
          <cell r="C321" t="str">
            <v>SO4</v>
          </cell>
          <cell r="D321" t="str">
            <v>Small Hydro</v>
          </cell>
          <cell r="E321" t="str">
            <v>David R Cox</v>
          </cell>
          <cell r="F321" t="str">
            <v>Active</v>
          </cell>
          <cell r="G321">
            <v>31154</v>
          </cell>
          <cell r="H321">
            <v>30</v>
          </cell>
          <cell r="I321">
            <v>33215</v>
          </cell>
          <cell r="J321">
            <v>33215</v>
          </cell>
          <cell r="K321">
            <v>44172</v>
          </cell>
          <cell r="M321">
            <v>11950</v>
          </cell>
          <cell r="O321">
            <v>11950</v>
          </cell>
          <cell r="Q321">
            <v>11950</v>
          </cell>
          <cell r="R321">
            <v>11950</v>
          </cell>
          <cell r="S321">
            <v>11950</v>
          </cell>
        </row>
        <row r="322">
          <cell r="A322">
            <v>4035</v>
          </cell>
          <cell r="B322" t="str">
            <v>Three Valleys MWD (Fulton Road)</v>
          </cell>
          <cell r="C322" t="str">
            <v>SO4</v>
          </cell>
          <cell r="D322" t="str">
            <v>Small Hydro</v>
          </cell>
          <cell r="E322" t="str">
            <v>David R Cox</v>
          </cell>
          <cell r="F322" t="str">
            <v>Active</v>
          </cell>
          <cell r="G322">
            <v>31153</v>
          </cell>
          <cell r="H322">
            <v>30</v>
          </cell>
          <cell r="I322">
            <v>31869</v>
          </cell>
          <cell r="J322">
            <v>31869</v>
          </cell>
          <cell r="K322">
            <v>42826</v>
          </cell>
          <cell r="M322">
            <v>200</v>
          </cell>
          <cell r="O322">
            <v>200</v>
          </cell>
          <cell r="Q322">
            <v>200</v>
          </cell>
          <cell r="R322">
            <v>200</v>
          </cell>
          <cell r="S322">
            <v>200</v>
          </cell>
        </row>
        <row r="323">
          <cell r="A323">
            <v>4036</v>
          </cell>
          <cell r="B323" t="str">
            <v>Three Valleys MWD (Miramar)</v>
          </cell>
          <cell r="C323" t="str">
            <v>SO4</v>
          </cell>
          <cell r="D323" t="str">
            <v>Small Hydro</v>
          </cell>
          <cell r="E323" t="str">
            <v>David R Cox</v>
          </cell>
          <cell r="F323" t="str">
            <v>Active</v>
          </cell>
          <cell r="G323">
            <v>31153</v>
          </cell>
          <cell r="H323">
            <v>30</v>
          </cell>
          <cell r="I323">
            <v>31880</v>
          </cell>
          <cell r="J323">
            <v>31880</v>
          </cell>
          <cell r="K323">
            <v>42837</v>
          </cell>
          <cell r="M323">
            <v>520</v>
          </cell>
          <cell r="O323">
            <v>520</v>
          </cell>
          <cell r="Q323">
            <v>520</v>
          </cell>
          <cell r="R323">
            <v>520</v>
          </cell>
          <cell r="S323">
            <v>520</v>
          </cell>
        </row>
        <row r="324">
          <cell r="A324">
            <v>4037</v>
          </cell>
          <cell r="B324" t="str">
            <v>Three Valleys MWD (Williams)</v>
          </cell>
          <cell r="C324" t="str">
            <v>SO4</v>
          </cell>
          <cell r="D324" t="str">
            <v>Small Hydro</v>
          </cell>
          <cell r="E324" t="str">
            <v>David R Cox</v>
          </cell>
          <cell r="F324" t="str">
            <v>Active</v>
          </cell>
          <cell r="G324">
            <v>30422</v>
          </cell>
          <cell r="H324">
            <v>30</v>
          </cell>
          <cell r="I324">
            <v>31870</v>
          </cell>
          <cell r="J324">
            <v>31870</v>
          </cell>
          <cell r="K324">
            <v>42827</v>
          </cell>
          <cell r="M324">
            <v>350</v>
          </cell>
          <cell r="O324">
            <v>350</v>
          </cell>
          <cell r="Q324">
            <v>350</v>
          </cell>
          <cell r="R324">
            <v>350</v>
          </cell>
          <cell r="S324">
            <v>350</v>
          </cell>
        </row>
        <row r="325">
          <cell r="A325">
            <v>4039</v>
          </cell>
          <cell r="B325" t="str">
            <v>Kaweah River Power Authority</v>
          </cell>
          <cell r="C325" t="str">
            <v>SO4</v>
          </cell>
          <cell r="D325" t="str">
            <v>Small Hydro</v>
          </cell>
          <cell r="E325" t="str">
            <v>David R Cox</v>
          </cell>
          <cell r="F325" t="str">
            <v>Active</v>
          </cell>
          <cell r="G325">
            <v>31152</v>
          </cell>
          <cell r="H325">
            <v>30</v>
          </cell>
          <cell r="I325">
            <v>32948</v>
          </cell>
          <cell r="J325">
            <v>32948</v>
          </cell>
          <cell r="K325">
            <v>43905</v>
          </cell>
          <cell r="M325">
            <v>17000</v>
          </cell>
          <cell r="O325">
            <v>17000</v>
          </cell>
          <cell r="Q325">
            <v>17000</v>
          </cell>
          <cell r="R325">
            <v>17000</v>
          </cell>
          <cell r="S325">
            <v>17000</v>
          </cell>
        </row>
        <row r="326">
          <cell r="A326">
            <v>4049</v>
          </cell>
          <cell r="B326" t="str">
            <v>G Squared Energy (Alamitos)</v>
          </cell>
          <cell r="C326" t="str">
            <v>SO4</v>
          </cell>
          <cell r="D326" t="str">
            <v>Small Hydro</v>
          </cell>
          <cell r="E326" t="str">
            <v>Michele Walker</v>
          </cell>
          <cell r="F326" t="str">
            <v>Terminated</v>
          </cell>
          <cell r="G326">
            <v>31148</v>
          </cell>
          <cell r="H326">
            <v>20</v>
          </cell>
          <cell r="I326">
            <v>31769</v>
          </cell>
          <cell r="J326">
            <v>31769</v>
          </cell>
          <cell r="K326">
            <v>37593</v>
          </cell>
          <cell r="M326">
            <v>250</v>
          </cell>
          <cell r="O326">
            <v>250</v>
          </cell>
          <cell r="Q326">
            <v>250</v>
          </cell>
          <cell r="R326">
            <v>250</v>
          </cell>
          <cell r="S326">
            <v>250</v>
          </cell>
        </row>
        <row r="327">
          <cell r="A327">
            <v>4050</v>
          </cell>
          <cell r="B327" t="str">
            <v>G Squared Energy (Domin. Gap)</v>
          </cell>
          <cell r="C327" t="str">
            <v>SO4</v>
          </cell>
          <cell r="D327" t="str">
            <v>Small Hydro</v>
          </cell>
          <cell r="E327" t="str">
            <v>Michele Walker</v>
          </cell>
          <cell r="F327" t="str">
            <v>Terminated</v>
          </cell>
          <cell r="G327">
            <v>31148</v>
          </cell>
          <cell r="H327">
            <v>20</v>
          </cell>
          <cell r="I327">
            <v>31776</v>
          </cell>
          <cell r="J327">
            <v>31776</v>
          </cell>
          <cell r="K327">
            <v>37593</v>
          </cell>
          <cell r="M327">
            <v>275</v>
          </cell>
          <cell r="O327">
            <v>275</v>
          </cell>
          <cell r="Q327">
            <v>275</v>
          </cell>
          <cell r="R327">
            <v>275</v>
          </cell>
          <cell r="S327">
            <v>275</v>
          </cell>
        </row>
        <row r="328">
          <cell r="A328">
            <v>4051</v>
          </cell>
          <cell r="B328" t="str">
            <v>Montecito Water District</v>
          </cell>
          <cell r="C328" t="str">
            <v>SO4</v>
          </cell>
          <cell r="D328" t="str">
            <v>Small Hydro</v>
          </cell>
          <cell r="E328" t="str">
            <v>Anthony F Blakemore</v>
          </cell>
          <cell r="F328" t="str">
            <v>Active</v>
          </cell>
          <cell r="G328">
            <v>31154</v>
          </cell>
          <cell r="H328">
            <v>30</v>
          </cell>
          <cell r="I328">
            <v>32525</v>
          </cell>
          <cell r="J328">
            <v>32525</v>
          </cell>
          <cell r="K328">
            <v>43481</v>
          </cell>
          <cell r="M328">
            <v>130</v>
          </cell>
          <cell r="O328">
            <v>130</v>
          </cell>
          <cell r="Q328">
            <v>130</v>
          </cell>
          <cell r="R328">
            <v>130</v>
          </cell>
          <cell r="S328">
            <v>130</v>
          </cell>
        </row>
        <row r="329">
          <cell r="A329">
            <v>4052</v>
          </cell>
          <cell r="B329" t="str">
            <v>Calleguas MWD - Unit 3 (Santa Rosa)</v>
          </cell>
          <cell r="C329" t="str">
            <v>SO4</v>
          </cell>
          <cell r="D329" t="str">
            <v>Small Hydro</v>
          </cell>
          <cell r="E329" t="str">
            <v>Cathy Mendoza</v>
          </cell>
          <cell r="F329" t="str">
            <v>Active</v>
          </cell>
          <cell r="G329">
            <v>31154</v>
          </cell>
          <cell r="H329">
            <v>30</v>
          </cell>
          <cell r="I329">
            <v>31594</v>
          </cell>
          <cell r="J329">
            <v>31594</v>
          </cell>
          <cell r="K329">
            <v>42551</v>
          </cell>
          <cell r="M329">
            <v>250</v>
          </cell>
          <cell r="O329">
            <v>250</v>
          </cell>
          <cell r="Q329">
            <v>250</v>
          </cell>
          <cell r="R329">
            <v>250</v>
          </cell>
          <cell r="S329">
            <v>250</v>
          </cell>
        </row>
        <row r="330">
          <cell r="A330">
            <v>4054</v>
          </cell>
          <cell r="B330" t="str">
            <v>City of Santa Ana</v>
          </cell>
          <cell r="C330" t="str">
            <v>SO3</v>
          </cell>
          <cell r="D330" t="str">
            <v>Small Hydro</v>
          </cell>
          <cell r="E330" t="str">
            <v>Pam Snethen</v>
          </cell>
          <cell r="F330" t="str">
            <v>Active</v>
          </cell>
          <cell r="G330">
            <v>31230</v>
          </cell>
          <cell r="H330">
            <v>1</v>
          </cell>
          <cell r="I330">
            <v>31228</v>
          </cell>
          <cell r="J330">
            <v>31228</v>
          </cell>
          <cell r="M330">
            <v>195</v>
          </cell>
          <cell r="O330">
            <v>195</v>
          </cell>
          <cell r="Q330">
            <v>195</v>
          </cell>
          <cell r="R330">
            <v>195</v>
          </cell>
          <cell r="S330">
            <v>195</v>
          </cell>
        </row>
        <row r="331">
          <cell r="A331">
            <v>4055</v>
          </cell>
          <cell r="B331" t="str">
            <v>Goleta Water District</v>
          </cell>
          <cell r="C331" t="str">
            <v>SO3</v>
          </cell>
          <cell r="D331" t="str">
            <v>Small Hydro</v>
          </cell>
          <cell r="E331" t="str">
            <v>Pam Snethen</v>
          </cell>
          <cell r="F331" t="str">
            <v>Active</v>
          </cell>
          <cell r="G331">
            <v>31271</v>
          </cell>
          <cell r="H331">
            <v>1</v>
          </cell>
          <cell r="I331">
            <v>31533</v>
          </cell>
          <cell r="J331">
            <v>31533</v>
          </cell>
          <cell r="M331">
            <v>145</v>
          </cell>
          <cell r="O331">
            <v>145</v>
          </cell>
          <cell r="Q331">
            <v>145</v>
          </cell>
          <cell r="R331">
            <v>145</v>
          </cell>
          <cell r="S331">
            <v>145</v>
          </cell>
        </row>
        <row r="332">
          <cell r="A332">
            <v>4056</v>
          </cell>
          <cell r="B332" t="str">
            <v>City of El Segundo</v>
          </cell>
          <cell r="C332" t="str">
            <v>SO1</v>
          </cell>
          <cell r="D332" t="str">
            <v>Small Hydro</v>
          </cell>
          <cell r="E332" t="str">
            <v>Michele Walker</v>
          </cell>
          <cell r="F332" t="str">
            <v>Terminated</v>
          </cell>
          <cell r="G332">
            <v>31265</v>
          </cell>
          <cell r="H332">
            <v>1</v>
          </cell>
          <cell r="I332">
            <v>31867</v>
          </cell>
          <cell r="J332">
            <v>31867</v>
          </cell>
          <cell r="K332">
            <v>36134</v>
          </cell>
          <cell r="M332">
            <v>520</v>
          </cell>
          <cell r="O332">
            <v>520</v>
          </cell>
          <cell r="Q332">
            <v>520</v>
          </cell>
          <cell r="R332">
            <v>520</v>
          </cell>
          <cell r="S332">
            <v>520</v>
          </cell>
        </row>
        <row r="333">
          <cell r="A333">
            <v>4058</v>
          </cell>
          <cell r="B333" t="str">
            <v>United Water Conservation District</v>
          </cell>
          <cell r="C333" t="str">
            <v>SO1</v>
          </cell>
          <cell r="D333" t="str">
            <v>Small Hydro</v>
          </cell>
          <cell r="E333" t="str">
            <v>Michele Walker</v>
          </cell>
          <cell r="F333" t="str">
            <v>Active</v>
          </cell>
          <cell r="G333">
            <v>31329</v>
          </cell>
          <cell r="H333">
            <v>1</v>
          </cell>
          <cell r="I333">
            <v>31929</v>
          </cell>
          <cell r="J333">
            <v>31929</v>
          </cell>
          <cell r="M333">
            <v>935</v>
          </cell>
          <cell r="O333">
            <v>935</v>
          </cell>
          <cell r="Q333">
            <v>935</v>
          </cell>
          <cell r="R333">
            <v>935</v>
          </cell>
          <cell r="S333">
            <v>935</v>
          </cell>
        </row>
        <row r="334">
          <cell r="A334">
            <v>4071</v>
          </cell>
          <cell r="B334" t="str">
            <v>Deep Springs College</v>
          </cell>
          <cell r="C334" t="str">
            <v>SO3</v>
          </cell>
          <cell r="D334" t="str">
            <v>Small Hydro</v>
          </cell>
          <cell r="E334" t="str">
            <v>Michele Walker</v>
          </cell>
          <cell r="F334" t="str">
            <v>Active</v>
          </cell>
          <cell r="G334">
            <v>32164</v>
          </cell>
          <cell r="H334">
            <v>1</v>
          </cell>
          <cell r="I334">
            <v>32469</v>
          </cell>
          <cell r="J334">
            <v>32469</v>
          </cell>
          <cell r="M334">
            <v>100</v>
          </cell>
          <cell r="O334">
            <v>100</v>
          </cell>
          <cell r="Q334">
            <v>100</v>
          </cell>
          <cell r="R334">
            <v>100</v>
          </cell>
          <cell r="S334">
            <v>100</v>
          </cell>
        </row>
        <row r="335">
          <cell r="A335">
            <v>4076</v>
          </cell>
          <cell r="B335" t="str">
            <v>Camrosa County Water District</v>
          </cell>
          <cell r="C335" t="str">
            <v>SO3</v>
          </cell>
          <cell r="D335" t="str">
            <v>Small Hydro</v>
          </cell>
          <cell r="E335" t="str">
            <v>Michele Walker</v>
          </cell>
          <cell r="F335" t="str">
            <v>Active</v>
          </cell>
          <cell r="G335">
            <v>31377</v>
          </cell>
          <cell r="H335">
            <v>1</v>
          </cell>
          <cell r="I335">
            <v>31939</v>
          </cell>
          <cell r="J335">
            <v>31939</v>
          </cell>
          <cell r="M335">
            <v>150</v>
          </cell>
          <cell r="O335">
            <v>150</v>
          </cell>
          <cell r="Q335">
            <v>150</v>
          </cell>
          <cell r="R335">
            <v>150</v>
          </cell>
          <cell r="S335">
            <v>150</v>
          </cell>
        </row>
        <row r="336">
          <cell r="A336">
            <v>4137</v>
          </cell>
          <cell r="B336" t="str">
            <v>American Energy, Inc. (Fullerton Hydro)</v>
          </cell>
          <cell r="C336" t="str">
            <v>SO2</v>
          </cell>
          <cell r="D336" t="str">
            <v>Small Hydro</v>
          </cell>
          <cell r="E336" t="str">
            <v>Pam Snethen</v>
          </cell>
          <cell r="F336" t="str">
            <v>Active</v>
          </cell>
          <cell r="G336">
            <v>31652</v>
          </cell>
          <cell r="H336">
            <v>30</v>
          </cell>
          <cell r="I336">
            <v>31766</v>
          </cell>
          <cell r="J336">
            <v>31809</v>
          </cell>
          <cell r="K336">
            <v>42766</v>
          </cell>
          <cell r="M336">
            <v>340</v>
          </cell>
          <cell r="N336">
            <v>60</v>
          </cell>
          <cell r="O336">
            <v>400</v>
          </cell>
          <cell r="Q336">
            <v>340</v>
          </cell>
          <cell r="R336">
            <v>340</v>
          </cell>
          <cell r="S336">
            <v>400</v>
          </cell>
        </row>
        <row r="337">
          <cell r="A337">
            <v>4145</v>
          </cell>
          <cell r="B337" t="str">
            <v>Mesa Consolidated Water District</v>
          </cell>
          <cell r="C337" t="str">
            <v>SO3</v>
          </cell>
          <cell r="D337" t="str">
            <v>Small Hydro</v>
          </cell>
          <cell r="E337" t="str">
            <v>Michele Walker</v>
          </cell>
          <cell r="F337" t="str">
            <v>Active</v>
          </cell>
          <cell r="G337">
            <v>32290</v>
          </cell>
          <cell r="H337">
            <v>1</v>
          </cell>
          <cell r="I337">
            <v>32417</v>
          </cell>
          <cell r="N337">
            <v>50</v>
          </cell>
          <cell r="O337">
            <v>50</v>
          </cell>
          <cell r="S337">
            <v>50</v>
          </cell>
        </row>
        <row r="338">
          <cell r="A338">
            <v>4147</v>
          </cell>
          <cell r="B338" t="str">
            <v>Monte Vista Water District</v>
          </cell>
          <cell r="C338" t="str">
            <v>SO1</v>
          </cell>
          <cell r="D338" t="str">
            <v>Small Hydro</v>
          </cell>
          <cell r="E338" t="str">
            <v>Pam Snethen</v>
          </cell>
          <cell r="F338" t="str">
            <v>Active</v>
          </cell>
          <cell r="G338">
            <v>32941</v>
          </cell>
          <cell r="H338">
            <v>30</v>
          </cell>
          <cell r="I338">
            <v>33090</v>
          </cell>
          <cell r="J338">
            <v>33090</v>
          </cell>
          <cell r="K338">
            <v>44047</v>
          </cell>
          <cell r="M338">
            <v>865</v>
          </cell>
          <cell r="O338">
            <v>865</v>
          </cell>
          <cell r="Q338">
            <v>865</v>
          </cell>
          <cell r="R338">
            <v>865</v>
          </cell>
          <cell r="S338">
            <v>865</v>
          </cell>
        </row>
        <row r="339">
          <cell r="A339">
            <v>4149</v>
          </cell>
          <cell r="B339" t="str">
            <v>Municipal Water District of Orange Co.</v>
          </cell>
          <cell r="C339" t="str">
            <v>SO1</v>
          </cell>
          <cell r="D339" t="str">
            <v>Small Hydro</v>
          </cell>
          <cell r="E339" t="str">
            <v>Bruce McCarthy</v>
          </cell>
          <cell r="F339" t="str">
            <v>Terminated</v>
          </cell>
          <cell r="G339">
            <v>33679</v>
          </cell>
          <cell r="H339">
            <v>1</v>
          </cell>
          <cell r="I339">
            <v>33693</v>
          </cell>
          <cell r="J339">
            <v>33693</v>
          </cell>
          <cell r="K339">
            <v>37376</v>
          </cell>
          <cell r="N339">
            <v>600</v>
          </cell>
          <cell r="O339">
            <v>600</v>
          </cell>
          <cell r="S339">
            <v>600</v>
          </cell>
        </row>
        <row r="340">
          <cell r="A340">
            <v>4150</v>
          </cell>
          <cell r="B340" t="str">
            <v>Water Facilities Authority</v>
          </cell>
          <cell r="C340" t="str">
            <v>SO1</v>
          </cell>
          <cell r="D340" t="str">
            <v>Small Hydro</v>
          </cell>
          <cell r="E340" t="str">
            <v>Anthony F Blakemore</v>
          </cell>
          <cell r="F340" t="str">
            <v>Active</v>
          </cell>
          <cell r="G340">
            <v>34459</v>
          </cell>
          <cell r="H340">
            <v>30</v>
          </cell>
          <cell r="I340">
            <v>34572</v>
          </cell>
          <cell r="J340">
            <v>34572</v>
          </cell>
          <cell r="K340">
            <v>45529</v>
          </cell>
          <cell r="M340">
            <v>224</v>
          </cell>
          <cell r="O340">
            <v>224</v>
          </cell>
          <cell r="Q340">
            <v>224</v>
          </cell>
          <cell r="R340">
            <v>224</v>
          </cell>
          <cell r="S340">
            <v>224</v>
          </cell>
        </row>
        <row r="341">
          <cell r="A341">
            <v>4152</v>
          </cell>
          <cell r="B341" t="str">
            <v>Calleguas MWD (Springville Hydro)</v>
          </cell>
          <cell r="C341" t="str">
            <v>SO1</v>
          </cell>
          <cell r="D341" t="str">
            <v>Small Hydro</v>
          </cell>
          <cell r="E341" t="str">
            <v>Cathy Mendoza</v>
          </cell>
          <cell r="F341" t="str">
            <v>Active</v>
          </cell>
          <cell r="G341">
            <v>34066</v>
          </cell>
          <cell r="H341">
            <v>1</v>
          </cell>
          <cell r="I341">
            <v>34410</v>
          </cell>
          <cell r="J341">
            <v>34410</v>
          </cell>
          <cell r="K341">
            <v>45367</v>
          </cell>
          <cell r="M341">
            <v>1000</v>
          </cell>
          <cell r="O341">
            <v>1000</v>
          </cell>
          <cell r="Q341">
            <v>1000</v>
          </cell>
          <cell r="R341">
            <v>1000</v>
          </cell>
          <cell r="S341">
            <v>1000</v>
          </cell>
        </row>
        <row r="342">
          <cell r="A342">
            <v>5005</v>
          </cell>
          <cell r="B342" t="str">
            <v>Sunray Energy, Inc.</v>
          </cell>
          <cell r="C342" t="str">
            <v>NEG</v>
          </cell>
          <cell r="D342" t="str">
            <v>Solar</v>
          </cell>
          <cell r="E342" t="str">
            <v>David R Cox</v>
          </cell>
          <cell r="F342" t="str">
            <v>Active</v>
          </cell>
          <cell r="G342">
            <v>34831</v>
          </cell>
          <cell r="H342">
            <v>30</v>
          </cell>
          <cell r="I342">
            <v>30988</v>
          </cell>
          <cell r="J342">
            <v>31212</v>
          </cell>
          <cell r="K342">
            <v>42369</v>
          </cell>
          <cell r="L342">
            <v>43800</v>
          </cell>
          <cell r="O342">
            <v>43800</v>
          </cell>
          <cell r="P342">
            <v>43800</v>
          </cell>
          <cell r="R342">
            <v>43800</v>
          </cell>
          <cell r="S342">
            <v>43800</v>
          </cell>
        </row>
        <row r="343">
          <cell r="A343">
            <v>5017</v>
          </cell>
          <cell r="B343" t="str">
            <v>Luz Solar Partners Ltd. III</v>
          </cell>
          <cell r="C343" t="str">
            <v>SO4</v>
          </cell>
          <cell r="D343" t="str">
            <v>Solar</v>
          </cell>
          <cell r="E343" t="str">
            <v>Cathy Mendoza</v>
          </cell>
          <cell r="F343" t="str">
            <v>Active</v>
          </cell>
          <cell r="G343">
            <v>31154</v>
          </cell>
          <cell r="H343">
            <v>30</v>
          </cell>
          <cell r="I343">
            <v>31764</v>
          </cell>
          <cell r="J343">
            <v>31803</v>
          </cell>
          <cell r="K343">
            <v>42760</v>
          </cell>
          <cell r="L343">
            <v>30000</v>
          </cell>
          <cell r="N343">
            <v>5000</v>
          </cell>
          <cell r="O343">
            <v>35000</v>
          </cell>
          <cell r="P343">
            <v>30000</v>
          </cell>
          <cell r="R343">
            <v>30000</v>
          </cell>
          <cell r="S343">
            <v>35000</v>
          </cell>
        </row>
        <row r="344">
          <cell r="A344">
            <v>5018</v>
          </cell>
          <cell r="B344" t="str">
            <v>Luz Solar Partners Ltd. IV</v>
          </cell>
          <cell r="C344" t="str">
            <v>SO4</v>
          </cell>
          <cell r="D344" t="str">
            <v>Solar</v>
          </cell>
          <cell r="E344" t="str">
            <v>Cathy Mendoza</v>
          </cell>
          <cell r="F344" t="str">
            <v>Active</v>
          </cell>
          <cell r="G344">
            <v>31154</v>
          </cell>
          <cell r="H344">
            <v>30</v>
          </cell>
          <cell r="I344">
            <v>31769</v>
          </cell>
          <cell r="J344">
            <v>31807</v>
          </cell>
          <cell r="K344">
            <v>42764</v>
          </cell>
          <cell r="L344">
            <v>30000</v>
          </cell>
          <cell r="N344">
            <v>5000</v>
          </cell>
          <cell r="O344">
            <v>35000</v>
          </cell>
          <cell r="P344">
            <v>30000</v>
          </cell>
          <cell r="R344">
            <v>30000</v>
          </cell>
          <cell r="S344">
            <v>35000</v>
          </cell>
        </row>
        <row r="345">
          <cell r="A345">
            <v>5019</v>
          </cell>
          <cell r="B345" t="str">
            <v>Luz Solar Partners Ltd. V</v>
          </cell>
          <cell r="C345" t="str">
            <v>SO4</v>
          </cell>
          <cell r="D345" t="str">
            <v>Solar</v>
          </cell>
          <cell r="E345" t="str">
            <v>Cathy Mendoza</v>
          </cell>
          <cell r="F345" t="str">
            <v>Active</v>
          </cell>
          <cell r="G345">
            <v>31154</v>
          </cell>
          <cell r="H345">
            <v>30</v>
          </cell>
          <cell r="I345">
            <v>32049</v>
          </cell>
          <cell r="J345">
            <v>32143</v>
          </cell>
          <cell r="K345">
            <v>43100</v>
          </cell>
          <cell r="L345">
            <v>30000</v>
          </cell>
          <cell r="N345">
            <v>5000</v>
          </cell>
          <cell r="O345">
            <v>35000</v>
          </cell>
          <cell r="P345">
            <v>30000</v>
          </cell>
          <cell r="R345">
            <v>30000</v>
          </cell>
          <cell r="S345">
            <v>35000</v>
          </cell>
        </row>
        <row r="346">
          <cell r="A346">
            <v>5020</v>
          </cell>
          <cell r="B346" t="str">
            <v>Luz Solar Partners Ltd. VI</v>
          </cell>
          <cell r="C346" t="str">
            <v>SO4</v>
          </cell>
          <cell r="D346" t="str">
            <v>Solar</v>
          </cell>
          <cell r="E346" t="str">
            <v>Cathy Mendoza</v>
          </cell>
          <cell r="F346" t="str">
            <v>Active</v>
          </cell>
          <cell r="G346">
            <v>31154</v>
          </cell>
          <cell r="H346">
            <v>30</v>
          </cell>
          <cell r="I346">
            <v>32502</v>
          </cell>
          <cell r="J346">
            <v>32560</v>
          </cell>
          <cell r="K346">
            <v>43516</v>
          </cell>
          <cell r="L346">
            <v>30000</v>
          </cell>
          <cell r="N346">
            <v>5000</v>
          </cell>
          <cell r="O346">
            <v>35000</v>
          </cell>
          <cell r="P346">
            <v>30000</v>
          </cell>
          <cell r="R346">
            <v>30000</v>
          </cell>
          <cell r="S346">
            <v>35000</v>
          </cell>
        </row>
        <row r="347">
          <cell r="A347">
            <v>5021</v>
          </cell>
          <cell r="B347" t="str">
            <v>Luz Solar Partners Ltd. VII</v>
          </cell>
          <cell r="C347" t="str">
            <v>SO4</v>
          </cell>
          <cell r="D347" t="str">
            <v>Solar</v>
          </cell>
          <cell r="E347" t="str">
            <v>Cathy Mendoza</v>
          </cell>
          <cell r="F347" t="str">
            <v>Active</v>
          </cell>
          <cell r="G347">
            <v>31154</v>
          </cell>
          <cell r="H347">
            <v>30</v>
          </cell>
          <cell r="I347">
            <v>32506</v>
          </cell>
          <cell r="J347">
            <v>32569</v>
          </cell>
          <cell r="K347">
            <v>43525</v>
          </cell>
          <cell r="L347">
            <v>30000</v>
          </cell>
          <cell r="N347">
            <v>5000</v>
          </cell>
          <cell r="O347">
            <v>35000</v>
          </cell>
          <cell r="P347">
            <v>30000</v>
          </cell>
          <cell r="R347">
            <v>30000</v>
          </cell>
          <cell r="S347">
            <v>35000</v>
          </cell>
        </row>
        <row r="348">
          <cell r="A348">
            <v>5022</v>
          </cell>
          <cell r="B348" t="str">
            <v>Community Environmental Council, Inc.</v>
          </cell>
          <cell r="C348" t="str">
            <v>SO3</v>
          </cell>
          <cell r="D348" t="str">
            <v>Solar</v>
          </cell>
          <cell r="E348" t="str">
            <v>Michele Walker</v>
          </cell>
          <cell r="F348" t="str">
            <v>Terminated</v>
          </cell>
          <cell r="G348">
            <v>31210</v>
          </cell>
          <cell r="H348">
            <v>1</v>
          </cell>
          <cell r="I348">
            <v>31291</v>
          </cell>
          <cell r="J348">
            <v>31291</v>
          </cell>
          <cell r="K348">
            <v>38453</v>
          </cell>
          <cell r="N348">
            <v>2</v>
          </cell>
          <cell r="O348">
            <v>2</v>
          </cell>
          <cell r="S348">
            <v>2</v>
          </cell>
        </row>
        <row r="349">
          <cell r="A349">
            <v>5050</v>
          </cell>
          <cell r="B349" t="str">
            <v>Luz Solar Partners Ltd. VIII</v>
          </cell>
          <cell r="C349" t="str">
            <v>SO2</v>
          </cell>
          <cell r="D349" t="str">
            <v>Solar</v>
          </cell>
          <cell r="E349" t="str">
            <v>Cathy Mendoza</v>
          </cell>
          <cell r="F349" t="str">
            <v>Active</v>
          </cell>
          <cell r="G349">
            <v>31478</v>
          </cell>
          <cell r="H349">
            <v>30</v>
          </cell>
          <cell r="I349">
            <v>32871</v>
          </cell>
          <cell r="J349">
            <v>33023</v>
          </cell>
          <cell r="K349">
            <v>43980</v>
          </cell>
          <cell r="L349">
            <v>80000</v>
          </cell>
          <cell r="O349">
            <v>80000</v>
          </cell>
          <cell r="P349">
            <v>80000</v>
          </cell>
          <cell r="R349">
            <v>80000</v>
          </cell>
          <cell r="S349">
            <v>80000</v>
          </cell>
        </row>
        <row r="350">
          <cell r="A350">
            <v>5051</v>
          </cell>
          <cell r="B350" t="str">
            <v>Luz Solar Partners Ltd. IX</v>
          </cell>
          <cell r="C350" t="str">
            <v>SO2</v>
          </cell>
          <cell r="D350" t="str">
            <v>Solar</v>
          </cell>
          <cell r="E350" t="str">
            <v>Cathy Mendoza</v>
          </cell>
          <cell r="F350" t="str">
            <v>Active</v>
          </cell>
          <cell r="G350">
            <v>31478</v>
          </cell>
          <cell r="H350">
            <v>30</v>
          </cell>
          <cell r="I350">
            <v>33157</v>
          </cell>
          <cell r="J350">
            <v>33346</v>
          </cell>
          <cell r="K350">
            <v>44304</v>
          </cell>
          <cell r="L350">
            <v>80000</v>
          </cell>
          <cell r="O350">
            <v>80000</v>
          </cell>
          <cell r="P350">
            <v>80000</v>
          </cell>
          <cell r="R350">
            <v>80000</v>
          </cell>
          <cell r="S350">
            <v>80000</v>
          </cell>
        </row>
        <row r="351">
          <cell r="A351">
            <v>5066</v>
          </cell>
          <cell r="B351" t="str">
            <v>SCAQMD Solar Port</v>
          </cell>
          <cell r="C351" t="str">
            <v>SO3</v>
          </cell>
          <cell r="D351" t="str">
            <v>Solar</v>
          </cell>
          <cell r="E351" t="str">
            <v>Pam Snethen</v>
          </cell>
          <cell r="F351" t="str">
            <v>Active</v>
          </cell>
          <cell r="G351">
            <v>34743</v>
          </cell>
          <cell r="H351">
            <v>5</v>
          </cell>
          <cell r="I351">
            <v>34334</v>
          </cell>
          <cell r="J351">
            <v>34334</v>
          </cell>
          <cell r="N351">
            <v>73</v>
          </cell>
          <cell r="O351">
            <v>73</v>
          </cell>
          <cell r="S351">
            <v>73</v>
          </cell>
        </row>
        <row r="352">
          <cell r="A352">
            <v>5067</v>
          </cell>
          <cell r="B352" t="str">
            <v>Robert Siebert</v>
          </cell>
          <cell r="C352" t="str">
            <v>SO3</v>
          </cell>
          <cell r="D352" t="str">
            <v>Solar</v>
          </cell>
          <cell r="E352" t="str">
            <v>Anthony F Blakemore</v>
          </cell>
          <cell r="F352" t="str">
            <v>Terminated</v>
          </cell>
          <cell r="G352">
            <v>34569</v>
          </cell>
          <cell r="H352">
            <v>10</v>
          </cell>
          <cell r="I352">
            <v>34696</v>
          </cell>
          <cell r="J352">
            <v>34696</v>
          </cell>
          <cell r="N352">
            <v>1</v>
          </cell>
          <cell r="O352">
            <v>1</v>
          </cell>
          <cell r="S352">
            <v>1</v>
          </cell>
        </row>
        <row r="353">
          <cell r="A353">
            <v>5071</v>
          </cell>
          <cell r="B353" t="str">
            <v>Taco Loco</v>
          </cell>
          <cell r="C353" t="str">
            <v>SO3</v>
          </cell>
          <cell r="D353" t="str">
            <v>Solar</v>
          </cell>
          <cell r="E353" t="str">
            <v>Cathy Mendoza</v>
          </cell>
          <cell r="F353" t="str">
            <v>Terminated</v>
          </cell>
          <cell r="G353">
            <v>35202</v>
          </cell>
          <cell r="H353">
            <v>10</v>
          </cell>
          <cell r="I353">
            <v>35367</v>
          </cell>
          <cell r="J353">
            <v>35367</v>
          </cell>
          <cell r="K353">
            <v>36660</v>
          </cell>
        </row>
        <row r="354">
          <cell r="A354">
            <v>5090</v>
          </cell>
          <cell r="B354" t="str">
            <v>Community Corp. of Santa Monica</v>
          </cell>
          <cell r="C354" t="str">
            <v>NEG</v>
          </cell>
          <cell r="D354" t="str">
            <v>Solar</v>
          </cell>
          <cell r="E354" t="str">
            <v>Pam Snethen</v>
          </cell>
          <cell r="F354" t="str">
            <v>Terminated</v>
          </cell>
          <cell r="G354">
            <v>37414</v>
          </cell>
          <cell r="H354">
            <v>0</v>
          </cell>
          <cell r="I354">
            <v>37419</v>
          </cell>
          <cell r="K354">
            <v>38807</v>
          </cell>
          <cell r="M354">
            <v>42</v>
          </cell>
          <cell r="O354">
            <v>42</v>
          </cell>
          <cell r="Q354">
            <v>42</v>
          </cell>
          <cell r="R354">
            <v>42</v>
          </cell>
          <cell r="S354">
            <v>45</v>
          </cell>
        </row>
        <row r="355">
          <cell r="A355">
            <v>5101</v>
          </cell>
          <cell r="B355" t="str">
            <v>SES Solar One LLC</v>
          </cell>
          <cell r="C355" t="str">
            <v>ERR</v>
          </cell>
          <cell r="D355" t="str">
            <v>Solar</v>
          </cell>
          <cell r="E355" t="str">
            <v>Cathy Mendoza</v>
          </cell>
          <cell r="F355" t="str">
            <v>Active</v>
          </cell>
          <cell r="G355">
            <v>38573</v>
          </cell>
          <cell r="H355">
            <v>20</v>
          </cell>
        </row>
        <row r="356">
          <cell r="A356">
            <v>5200</v>
          </cell>
          <cell r="B356" t="str">
            <v>John Paul Dejoria</v>
          </cell>
          <cell r="C356" t="str">
            <v>QF Bypass</v>
          </cell>
          <cell r="D356" t="str">
            <v>Solar</v>
          </cell>
          <cell r="E356" t="str">
            <v>Michele Walker</v>
          </cell>
          <cell r="F356" t="str">
            <v>Terminated</v>
          </cell>
          <cell r="G356">
            <v>35969</v>
          </cell>
          <cell r="H356">
            <v>1</v>
          </cell>
          <cell r="I356">
            <v>35977</v>
          </cell>
          <cell r="K356">
            <v>36159</v>
          </cell>
          <cell r="S356">
            <v>6</v>
          </cell>
        </row>
        <row r="357">
          <cell r="A357">
            <v>5201</v>
          </cell>
          <cell r="B357" t="str">
            <v>The Chouniard Family Trust</v>
          </cell>
          <cell r="C357" t="str">
            <v>QF Bypass</v>
          </cell>
          <cell r="D357" t="str">
            <v>Solar</v>
          </cell>
          <cell r="E357" t="str">
            <v>Michele Walker</v>
          </cell>
          <cell r="F357" t="str">
            <v>Terminated</v>
          </cell>
          <cell r="G357">
            <v>35969</v>
          </cell>
          <cell r="H357">
            <v>1</v>
          </cell>
          <cell r="I357">
            <v>35977</v>
          </cell>
          <cell r="K357">
            <v>36159</v>
          </cell>
          <cell r="S357">
            <v>2</v>
          </cell>
        </row>
        <row r="358">
          <cell r="A358">
            <v>5202</v>
          </cell>
          <cell r="B358" t="str">
            <v>Ronald L Rambin</v>
          </cell>
          <cell r="C358" t="str">
            <v>QF Bypass</v>
          </cell>
          <cell r="D358" t="str">
            <v>Solar</v>
          </cell>
          <cell r="E358" t="str">
            <v>Michele Walker</v>
          </cell>
          <cell r="F358" t="str">
            <v>Terminated</v>
          </cell>
          <cell r="G358">
            <v>35986</v>
          </cell>
          <cell r="H358">
            <v>1</v>
          </cell>
          <cell r="I358">
            <v>36008</v>
          </cell>
          <cell r="K358">
            <v>36159</v>
          </cell>
          <cell r="S358">
            <v>6</v>
          </cell>
        </row>
        <row r="359">
          <cell r="A359">
            <v>5203</v>
          </cell>
          <cell r="B359" t="str">
            <v>Fred Beasom</v>
          </cell>
          <cell r="C359" t="str">
            <v>QF Bypass</v>
          </cell>
          <cell r="D359" t="str">
            <v>Solar</v>
          </cell>
          <cell r="E359" t="str">
            <v>Michele Walker</v>
          </cell>
          <cell r="F359" t="str">
            <v>Terminated</v>
          </cell>
          <cell r="G359">
            <v>35986</v>
          </cell>
          <cell r="H359">
            <v>1</v>
          </cell>
          <cell r="I359">
            <v>36008</v>
          </cell>
          <cell r="K359">
            <v>36159</v>
          </cell>
          <cell r="S359">
            <v>3</v>
          </cell>
        </row>
        <row r="360">
          <cell r="A360">
            <v>5204</v>
          </cell>
          <cell r="B360" t="str">
            <v>Joel Davidson</v>
          </cell>
          <cell r="C360" t="str">
            <v>QF Bypass</v>
          </cell>
          <cell r="D360" t="str">
            <v>Solar</v>
          </cell>
          <cell r="E360" t="str">
            <v>Michele Walker</v>
          </cell>
          <cell r="F360" t="str">
            <v>Terminated</v>
          </cell>
          <cell r="G360">
            <v>35986</v>
          </cell>
          <cell r="H360">
            <v>1</v>
          </cell>
          <cell r="I360">
            <v>36008</v>
          </cell>
          <cell r="K360">
            <v>36159</v>
          </cell>
          <cell r="S360">
            <v>2</v>
          </cell>
        </row>
        <row r="361">
          <cell r="A361">
            <v>5205</v>
          </cell>
          <cell r="B361" t="str">
            <v>Tom</v>
          </cell>
          <cell r="C361" t="str">
            <v>SO1</v>
          </cell>
          <cell r="D361" t="str">
            <v>Solar</v>
          </cell>
          <cell r="E361" t="str">
            <v>Michele Walker</v>
          </cell>
          <cell r="F361" t="str">
            <v>Terminated</v>
          </cell>
          <cell r="G361">
            <v>35582</v>
          </cell>
          <cell r="H361">
            <v>0</v>
          </cell>
          <cell r="I361">
            <v>35582</v>
          </cell>
          <cell r="K361">
            <v>35581</v>
          </cell>
        </row>
        <row r="362">
          <cell r="A362">
            <v>6004</v>
          </cell>
          <cell r="B362" t="str">
            <v>FPL Energy Cabazon Wind, LLC</v>
          </cell>
          <cell r="C362" t="str">
            <v>SO4</v>
          </cell>
          <cell r="D362" t="str">
            <v>Wind</v>
          </cell>
          <cell r="E362" t="str">
            <v>Anthony F Blakemore</v>
          </cell>
          <cell r="F362" t="str">
            <v>Active</v>
          </cell>
          <cell r="G362">
            <v>31019</v>
          </cell>
          <cell r="H362">
            <v>30</v>
          </cell>
          <cell r="I362">
            <v>31019</v>
          </cell>
          <cell r="J362">
            <v>31019</v>
          </cell>
          <cell r="K362">
            <v>41975</v>
          </cell>
          <cell r="M362">
            <v>40000</v>
          </cell>
          <cell r="O362">
            <v>40000</v>
          </cell>
          <cell r="Q362">
            <v>39750</v>
          </cell>
          <cell r="R362">
            <v>39750</v>
          </cell>
          <cell r="S362">
            <v>40000</v>
          </cell>
        </row>
        <row r="363">
          <cell r="A363">
            <v>6006</v>
          </cell>
          <cell r="B363" t="str">
            <v>Mogul Energy Partnership I</v>
          </cell>
          <cell r="C363" t="str">
            <v>NEG</v>
          </cell>
          <cell r="D363" t="str">
            <v>Wind</v>
          </cell>
          <cell r="E363" t="str">
            <v>Cathy Mendoza</v>
          </cell>
          <cell r="F363" t="str">
            <v>Active</v>
          </cell>
          <cell r="G363">
            <v>30012</v>
          </cell>
          <cell r="H363">
            <v>30</v>
          </cell>
          <cell r="I363">
            <v>30126</v>
          </cell>
          <cell r="J363">
            <v>30126</v>
          </cell>
          <cell r="K363">
            <v>41084</v>
          </cell>
          <cell r="M363">
            <v>4000</v>
          </cell>
          <cell r="O363">
            <v>4000</v>
          </cell>
          <cell r="Q363">
            <v>4000</v>
          </cell>
          <cell r="R363">
            <v>4000</v>
          </cell>
          <cell r="S363">
            <v>4000</v>
          </cell>
        </row>
        <row r="364">
          <cell r="A364">
            <v>6007</v>
          </cell>
          <cell r="B364" t="str">
            <v>Mesa Wind Developers</v>
          </cell>
          <cell r="C364" t="str">
            <v>NEG</v>
          </cell>
          <cell r="D364" t="str">
            <v>Wind</v>
          </cell>
          <cell r="E364" t="str">
            <v>Bruce McCarthy</v>
          </cell>
          <cell r="F364" t="str">
            <v>Terminated</v>
          </cell>
          <cell r="G364">
            <v>30053</v>
          </cell>
          <cell r="H364">
            <v>20</v>
          </cell>
          <cell r="I364">
            <v>31015</v>
          </cell>
          <cell r="J364">
            <v>31015</v>
          </cell>
          <cell r="K364">
            <v>38525</v>
          </cell>
          <cell r="M364">
            <v>30000</v>
          </cell>
          <cell r="O364">
            <v>30000</v>
          </cell>
          <cell r="Q364">
            <v>29900</v>
          </cell>
          <cell r="R364">
            <v>29900</v>
          </cell>
          <cell r="S364">
            <v>30000</v>
          </cell>
        </row>
        <row r="365">
          <cell r="A365">
            <v>6009</v>
          </cell>
          <cell r="B365" t="str">
            <v>San Gorgonio Wind Farms Inc I</v>
          </cell>
          <cell r="C365" t="str">
            <v>NEG</v>
          </cell>
          <cell r="D365" t="str">
            <v>Wind</v>
          </cell>
          <cell r="E365" t="str">
            <v>Cathy Mendoza</v>
          </cell>
          <cell r="F365" t="str">
            <v>Active</v>
          </cell>
          <cell r="G365">
            <v>30260</v>
          </cell>
          <cell r="H365">
            <v>25</v>
          </cell>
          <cell r="I365">
            <v>30376</v>
          </cell>
          <cell r="J365">
            <v>30376</v>
          </cell>
          <cell r="K365">
            <v>39507</v>
          </cell>
          <cell r="L365">
            <v>360</v>
          </cell>
          <cell r="M365">
            <v>2144</v>
          </cell>
          <cell r="N365">
            <v>496</v>
          </cell>
          <cell r="O365">
            <v>3000</v>
          </cell>
          <cell r="P365">
            <v>360</v>
          </cell>
          <cell r="Q365">
            <v>2144</v>
          </cell>
          <cell r="R365">
            <v>2504</v>
          </cell>
          <cell r="S365">
            <v>3000</v>
          </cell>
        </row>
        <row r="366">
          <cell r="A366">
            <v>6010</v>
          </cell>
          <cell r="B366" t="str">
            <v>Zond Systems Inc.  II</v>
          </cell>
          <cell r="C366" t="str">
            <v>NEG</v>
          </cell>
          <cell r="D366" t="str">
            <v>Wind</v>
          </cell>
          <cell r="E366" t="str">
            <v>Bruce McCarthy</v>
          </cell>
          <cell r="F366" t="str">
            <v>Terminated</v>
          </cell>
          <cell r="G366">
            <v>30315</v>
          </cell>
          <cell r="H366">
            <v>30</v>
          </cell>
          <cell r="I366">
            <v>30357</v>
          </cell>
          <cell r="J366">
            <v>30357</v>
          </cell>
          <cell r="K366">
            <v>35620</v>
          </cell>
          <cell r="L366">
            <v>9325</v>
          </cell>
          <cell r="O366">
            <v>9325</v>
          </cell>
          <cell r="S366">
            <v>9325</v>
          </cell>
        </row>
        <row r="367">
          <cell r="A367">
            <v>6011</v>
          </cell>
          <cell r="B367" t="str">
            <v>Boxcar I Power Purchase Contract Trust</v>
          </cell>
          <cell r="C367" t="str">
            <v>SO4</v>
          </cell>
          <cell r="D367" t="str">
            <v>Wind</v>
          </cell>
          <cell r="E367" t="str">
            <v>David R Cox</v>
          </cell>
          <cell r="F367" t="str">
            <v>Active</v>
          </cell>
          <cell r="G367">
            <v>30862</v>
          </cell>
          <cell r="H367">
            <v>30</v>
          </cell>
          <cell r="I367">
            <v>30314</v>
          </cell>
          <cell r="J367">
            <v>30803</v>
          </cell>
          <cell r="K367">
            <v>41759</v>
          </cell>
          <cell r="M367">
            <v>8000</v>
          </cell>
          <cell r="O367">
            <v>8000</v>
          </cell>
          <cell r="Q367">
            <v>5222</v>
          </cell>
          <cell r="R367">
            <v>5222</v>
          </cell>
          <cell r="S367">
            <v>8000</v>
          </cell>
        </row>
        <row r="368">
          <cell r="A368">
            <v>6012</v>
          </cell>
          <cell r="B368" t="str">
            <v>Windsong Wind Park</v>
          </cell>
          <cell r="C368" t="str">
            <v>NEG</v>
          </cell>
          <cell r="D368" t="str">
            <v>Wind</v>
          </cell>
          <cell r="E368" t="str">
            <v>David R Cox</v>
          </cell>
          <cell r="F368" t="str">
            <v>Active</v>
          </cell>
          <cell r="G368">
            <v>30378</v>
          </cell>
          <cell r="H368">
            <v>30</v>
          </cell>
          <cell r="I368">
            <v>30313</v>
          </cell>
          <cell r="J368">
            <v>30378</v>
          </cell>
          <cell r="K368">
            <v>41336</v>
          </cell>
          <cell r="L368">
            <v>2400</v>
          </cell>
          <cell r="O368">
            <v>2400</v>
          </cell>
          <cell r="P368">
            <v>2400</v>
          </cell>
          <cell r="R368">
            <v>2400</v>
          </cell>
          <cell r="S368">
            <v>2400</v>
          </cell>
        </row>
        <row r="369">
          <cell r="A369">
            <v>6019</v>
          </cell>
          <cell r="B369" t="str">
            <v>Zephyr Park, LTD</v>
          </cell>
          <cell r="C369" t="str">
            <v>SO4</v>
          </cell>
          <cell r="D369" t="str">
            <v>Wind</v>
          </cell>
          <cell r="E369" t="str">
            <v>David R Cox</v>
          </cell>
          <cell r="F369" t="str">
            <v>Active</v>
          </cell>
          <cell r="G369">
            <v>30823</v>
          </cell>
          <cell r="H369">
            <v>30</v>
          </cell>
          <cell r="I369">
            <v>36312</v>
          </cell>
          <cell r="J369">
            <v>30707</v>
          </cell>
          <cell r="K369">
            <v>41664</v>
          </cell>
          <cell r="M369">
            <v>4200</v>
          </cell>
          <cell r="O369">
            <v>4200</v>
          </cell>
          <cell r="Q369">
            <v>3500</v>
          </cell>
          <cell r="R369">
            <v>3500</v>
          </cell>
          <cell r="S369">
            <v>4200</v>
          </cell>
        </row>
        <row r="370">
          <cell r="A370">
            <v>6024</v>
          </cell>
          <cell r="B370" t="str">
            <v>Ridgetop Energy, LLC (I)</v>
          </cell>
          <cell r="C370" t="str">
            <v>SO4</v>
          </cell>
          <cell r="D370" t="str">
            <v>Wind</v>
          </cell>
          <cell r="E370" t="str">
            <v>Anthony F Blakemore</v>
          </cell>
          <cell r="F370" t="str">
            <v>Active</v>
          </cell>
          <cell r="G370">
            <v>31250</v>
          </cell>
          <cell r="H370">
            <v>30</v>
          </cell>
          <cell r="I370">
            <v>30681</v>
          </cell>
          <cell r="J370">
            <v>31078</v>
          </cell>
          <cell r="K370">
            <v>42034</v>
          </cell>
          <cell r="M370">
            <v>65000</v>
          </cell>
          <cell r="O370">
            <v>65000</v>
          </cell>
          <cell r="Q370">
            <v>64964</v>
          </cell>
          <cell r="R370">
            <v>64964</v>
          </cell>
          <cell r="S370">
            <v>65000</v>
          </cell>
        </row>
        <row r="371">
          <cell r="A371">
            <v>6029</v>
          </cell>
          <cell r="B371" t="str">
            <v>Coram Energy LLC  (ECT)</v>
          </cell>
          <cell r="C371" t="str">
            <v>RSO1</v>
          </cell>
          <cell r="D371" t="str">
            <v>Wind</v>
          </cell>
          <cell r="E371" t="str">
            <v>David R Cox</v>
          </cell>
          <cell r="F371" t="str">
            <v>Active</v>
          </cell>
          <cell r="G371">
            <v>30670</v>
          </cell>
          <cell r="H371">
            <v>20</v>
          </cell>
          <cell r="I371">
            <v>30651</v>
          </cell>
          <cell r="J371">
            <v>30771</v>
          </cell>
          <cell r="K371">
            <v>40109</v>
          </cell>
          <cell r="M371">
            <v>7500</v>
          </cell>
          <cell r="O371">
            <v>7500</v>
          </cell>
          <cell r="Q371">
            <v>7500</v>
          </cell>
          <cell r="R371">
            <v>7500</v>
          </cell>
          <cell r="S371">
            <v>7500</v>
          </cell>
        </row>
        <row r="372">
          <cell r="A372">
            <v>6030</v>
          </cell>
          <cell r="B372" t="str">
            <v>Windpower Partners 1993 L.P.</v>
          </cell>
          <cell r="C372" t="str">
            <v>SO4</v>
          </cell>
          <cell r="D372" t="str">
            <v>Wind</v>
          </cell>
          <cell r="E372" t="str">
            <v>Anthony F Blakemore</v>
          </cell>
          <cell r="F372" t="str">
            <v>Active</v>
          </cell>
          <cell r="G372">
            <v>30711</v>
          </cell>
          <cell r="H372">
            <v>30</v>
          </cell>
          <cell r="I372">
            <v>31029</v>
          </cell>
          <cell r="J372">
            <v>31029</v>
          </cell>
          <cell r="K372">
            <v>41985</v>
          </cell>
          <cell r="L372">
            <v>1656</v>
          </cell>
          <cell r="M372">
            <v>15424</v>
          </cell>
          <cell r="O372">
            <v>17080</v>
          </cell>
          <cell r="P372">
            <v>1656</v>
          </cell>
          <cell r="Q372">
            <v>11844</v>
          </cell>
          <cell r="R372">
            <v>13500</v>
          </cell>
          <cell r="S372">
            <v>17080</v>
          </cell>
        </row>
        <row r="373">
          <cell r="A373">
            <v>6031</v>
          </cell>
          <cell r="B373" t="str">
            <v>EUI Management PH Inc.</v>
          </cell>
          <cell r="C373" t="str">
            <v>SO4</v>
          </cell>
          <cell r="D373" t="str">
            <v>Wind</v>
          </cell>
          <cell r="E373" t="str">
            <v>David R Cox</v>
          </cell>
          <cell r="F373" t="str">
            <v>Active</v>
          </cell>
          <cell r="G373">
            <v>30769</v>
          </cell>
          <cell r="H373">
            <v>30</v>
          </cell>
          <cell r="I373">
            <v>31412</v>
          </cell>
          <cell r="J373">
            <v>31412</v>
          </cell>
          <cell r="K373">
            <v>42368</v>
          </cell>
          <cell r="M373">
            <v>25535</v>
          </cell>
          <cell r="O373">
            <v>25535</v>
          </cell>
          <cell r="Q373">
            <v>24483</v>
          </cell>
          <cell r="R373">
            <v>24483</v>
          </cell>
          <cell r="S373">
            <v>25535</v>
          </cell>
        </row>
        <row r="374">
          <cell r="A374">
            <v>6034</v>
          </cell>
          <cell r="B374" t="str">
            <v>So. California Sunbelt Developers</v>
          </cell>
          <cell r="C374" t="str">
            <v>SO4</v>
          </cell>
          <cell r="D374" t="str">
            <v>Wind</v>
          </cell>
          <cell r="E374" t="str">
            <v>Pam Snethen</v>
          </cell>
          <cell r="F374" t="str">
            <v>Inactive</v>
          </cell>
          <cell r="G374">
            <v>30838</v>
          </cell>
          <cell r="H374">
            <v>30</v>
          </cell>
          <cell r="I374">
            <v>31047</v>
          </cell>
          <cell r="J374">
            <v>31047</v>
          </cell>
          <cell r="K374">
            <v>42003</v>
          </cell>
          <cell r="S374">
            <v>16600</v>
          </cell>
        </row>
        <row r="375">
          <cell r="A375">
            <v>6035</v>
          </cell>
          <cell r="B375" t="str">
            <v>Windpower Partners 1993 L.P.</v>
          </cell>
          <cell r="C375" t="str">
            <v>SO4</v>
          </cell>
          <cell r="D375" t="str">
            <v>Wind</v>
          </cell>
          <cell r="E375" t="str">
            <v>Anthony F Blakemore</v>
          </cell>
          <cell r="F375" t="str">
            <v>Active</v>
          </cell>
          <cell r="G375">
            <v>30847</v>
          </cell>
          <cell r="H375">
            <v>30</v>
          </cell>
          <cell r="I375">
            <v>31408</v>
          </cell>
          <cell r="J375">
            <v>31408</v>
          </cell>
          <cell r="K375">
            <v>42364</v>
          </cell>
          <cell r="L375">
            <v>1707</v>
          </cell>
          <cell r="M375">
            <v>4593</v>
          </cell>
          <cell r="O375">
            <v>6300</v>
          </cell>
          <cell r="P375">
            <v>1707</v>
          </cell>
          <cell r="Q375">
            <v>3993</v>
          </cell>
          <cell r="R375">
            <v>5700</v>
          </cell>
          <cell r="S375">
            <v>6300</v>
          </cell>
        </row>
        <row r="376">
          <cell r="A376">
            <v>6036</v>
          </cell>
          <cell r="B376" t="str">
            <v>Section 28 Trust</v>
          </cell>
          <cell r="C376" t="str">
            <v>SO4</v>
          </cell>
          <cell r="D376" t="str">
            <v>Wind</v>
          </cell>
          <cell r="E376" t="str">
            <v>Michele Walker</v>
          </cell>
          <cell r="F376" t="str">
            <v>Terminated</v>
          </cell>
          <cell r="G376">
            <v>30845</v>
          </cell>
          <cell r="H376">
            <v>30</v>
          </cell>
          <cell r="I376">
            <v>31069</v>
          </cell>
          <cell r="J376">
            <v>31065</v>
          </cell>
          <cell r="K376">
            <v>36829</v>
          </cell>
          <cell r="M376">
            <v>43374</v>
          </cell>
          <cell r="N376">
            <v>1072</v>
          </cell>
          <cell r="O376">
            <v>44446</v>
          </cell>
          <cell r="P376">
            <v>2179</v>
          </cell>
          <cell r="Q376">
            <v>26191</v>
          </cell>
          <cell r="R376">
            <v>28370</v>
          </cell>
          <cell r="S376">
            <v>44446</v>
          </cell>
        </row>
        <row r="377">
          <cell r="A377">
            <v>6037</v>
          </cell>
          <cell r="B377" t="str">
            <v>Tehachapi Power Purchase Contract Trust</v>
          </cell>
          <cell r="C377" t="str">
            <v>SO4</v>
          </cell>
          <cell r="D377" t="str">
            <v>Wind</v>
          </cell>
          <cell r="E377" t="str">
            <v>Anthony F Blakemore</v>
          </cell>
          <cell r="F377" t="str">
            <v>Active</v>
          </cell>
          <cell r="G377">
            <v>30841</v>
          </cell>
          <cell r="H377">
            <v>30</v>
          </cell>
          <cell r="I377">
            <v>31761</v>
          </cell>
          <cell r="J377">
            <v>31761</v>
          </cell>
          <cell r="K377">
            <v>42718</v>
          </cell>
          <cell r="M377">
            <v>56000</v>
          </cell>
          <cell r="O377">
            <v>56000</v>
          </cell>
          <cell r="Q377">
            <v>55548</v>
          </cell>
          <cell r="R377">
            <v>55548</v>
          </cell>
          <cell r="S377">
            <v>56000</v>
          </cell>
        </row>
        <row r="378">
          <cell r="A378">
            <v>6039</v>
          </cell>
          <cell r="B378" t="str">
            <v>Enron Wind Systems, LLC (VG # I)</v>
          </cell>
          <cell r="C378" t="str">
            <v>SO4</v>
          </cell>
          <cell r="D378" t="str">
            <v>Wind</v>
          </cell>
          <cell r="E378" t="str">
            <v>Pam Snethen</v>
          </cell>
          <cell r="F378" t="str">
            <v>Active</v>
          </cell>
          <cell r="G378">
            <v>30855</v>
          </cell>
          <cell r="H378">
            <v>30</v>
          </cell>
          <cell r="I378">
            <v>30713</v>
          </cell>
          <cell r="J378">
            <v>30713</v>
          </cell>
          <cell r="K378">
            <v>41670</v>
          </cell>
          <cell r="M378">
            <v>6240</v>
          </cell>
          <cell r="O378">
            <v>6240</v>
          </cell>
          <cell r="Q378">
            <v>5725</v>
          </cell>
          <cell r="R378">
            <v>5725</v>
          </cell>
          <cell r="S378">
            <v>6240</v>
          </cell>
        </row>
        <row r="379">
          <cell r="A379">
            <v>6040</v>
          </cell>
          <cell r="B379" t="str">
            <v>Enron Wind Systems, LLC (VG #2)</v>
          </cell>
          <cell r="C379" t="str">
            <v>SO4</v>
          </cell>
          <cell r="D379" t="str">
            <v>Wind</v>
          </cell>
          <cell r="E379" t="str">
            <v>Pam Snethen</v>
          </cell>
          <cell r="F379" t="str">
            <v>Active</v>
          </cell>
          <cell r="G379">
            <v>30855</v>
          </cell>
          <cell r="H379">
            <v>30</v>
          </cell>
          <cell r="I379">
            <v>30926</v>
          </cell>
          <cell r="J379">
            <v>30926</v>
          </cell>
          <cell r="K379">
            <v>41882</v>
          </cell>
          <cell r="M379">
            <v>6925</v>
          </cell>
          <cell r="O379">
            <v>6925</v>
          </cell>
          <cell r="Q379">
            <v>6895</v>
          </cell>
          <cell r="R379">
            <v>6895</v>
          </cell>
          <cell r="S379">
            <v>6925</v>
          </cell>
        </row>
        <row r="380">
          <cell r="A380">
            <v>6041</v>
          </cell>
          <cell r="B380" t="str">
            <v>Enron Wind Systems, LLC (VG #3)</v>
          </cell>
          <cell r="C380" t="str">
            <v>SO4</v>
          </cell>
          <cell r="D380" t="str">
            <v>Wind</v>
          </cell>
          <cell r="E380" t="str">
            <v>Pam Snethen</v>
          </cell>
          <cell r="F380" t="str">
            <v>Active</v>
          </cell>
          <cell r="G380">
            <v>30855</v>
          </cell>
          <cell r="H380">
            <v>30</v>
          </cell>
          <cell r="I380">
            <v>31017</v>
          </cell>
          <cell r="J380">
            <v>31017</v>
          </cell>
          <cell r="K380">
            <v>41973</v>
          </cell>
          <cell r="M380">
            <v>6015</v>
          </cell>
          <cell r="O380">
            <v>6015</v>
          </cell>
          <cell r="Q380">
            <v>5955</v>
          </cell>
          <cell r="R380">
            <v>5955</v>
          </cell>
          <cell r="S380">
            <v>6015</v>
          </cell>
        </row>
        <row r="381">
          <cell r="A381">
            <v>6042</v>
          </cell>
          <cell r="B381" t="str">
            <v>Enron Wind Systems, LLC (VG #4)</v>
          </cell>
          <cell r="C381" t="str">
            <v>SO4</v>
          </cell>
          <cell r="D381" t="str">
            <v>Wind</v>
          </cell>
          <cell r="E381" t="str">
            <v>Pam Snethen</v>
          </cell>
          <cell r="F381" t="str">
            <v>Active</v>
          </cell>
          <cell r="G381">
            <v>30855</v>
          </cell>
          <cell r="H381">
            <v>30</v>
          </cell>
          <cell r="I381">
            <v>31337</v>
          </cell>
          <cell r="J381">
            <v>31337</v>
          </cell>
          <cell r="K381">
            <v>42293</v>
          </cell>
          <cell r="M381">
            <v>6770</v>
          </cell>
          <cell r="O381">
            <v>6770</v>
          </cell>
          <cell r="Q381">
            <v>6265</v>
          </cell>
          <cell r="R381">
            <v>6265</v>
          </cell>
          <cell r="S381">
            <v>6770</v>
          </cell>
        </row>
        <row r="382">
          <cell r="A382">
            <v>6043</v>
          </cell>
          <cell r="B382" t="str">
            <v>Zond Wind Systems Partners, Series 85-A</v>
          </cell>
          <cell r="C382" t="str">
            <v>SO4</v>
          </cell>
          <cell r="D382" t="str">
            <v>Wind</v>
          </cell>
          <cell r="E382" t="str">
            <v>Pam Snethen</v>
          </cell>
          <cell r="F382" t="str">
            <v>Active</v>
          </cell>
          <cell r="G382">
            <v>30855</v>
          </cell>
          <cell r="H382">
            <v>30</v>
          </cell>
          <cell r="I382">
            <v>31364</v>
          </cell>
          <cell r="J382">
            <v>31364</v>
          </cell>
          <cell r="K382">
            <v>42321</v>
          </cell>
          <cell r="M382">
            <v>17000</v>
          </cell>
          <cell r="O382">
            <v>17000</v>
          </cell>
          <cell r="Q382">
            <v>14890</v>
          </cell>
          <cell r="R382">
            <v>14890</v>
          </cell>
          <cell r="S382">
            <v>17000</v>
          </cell>
        </row>
        <row r="383">
          <cell r="A383">
            <v>6044</v>
          </cell>
          <cell r="B383" t="str">
            <v>Zond Wind Systems Partners, Series 85-B</v>
          </cell>
          <cell r="C383" t="str">
            <v>SO4</v>
          </cell>
          <cell r="D383" t="str">
            <v>Wind</v>
          </cell>
          <cell r="E383" t="str">
            <v>Pam Snethen</v>
          </cell>
          <cell r="F383" t="str">
            <v>Active</v>
          </cell>
          <cell r="G383">
            <v>30855</v>
          </cell>
          <cell r="H383">
            <v>30</v>
          </cell>
          <cell r="I383">
            <v>31751</v>
          </cell>
          <cell r="J383">
            <v>31751</v>
          </cell>
          <cell r="K383">
            <v>42709</v>
          </cell>
          <cell r="M383">
            <v>22500</v>
          </cell>
          <cell r="O383">
            <v>22500</v>
          </cell>
          <cell r="Q383">
            <v>21240</v>
          </cell>
          <cell r="R383">
            <v>21240</v>
          </cell>
          <cell r="S383">
            <v>22500</v>
          </cell>
        </row>
        <row r="384">
          <cell r="A384">
            <v>6051</v>
          </cell>
          <cell r="B384" t="str">
            <v>Section 20 Trust</v>
          </cell>
          <cell r="C384" t="str">
            <v>SO4</v>
          </cell>
          <cell r="D384" t="str">
            <v>Wind</v>
          </cell>
          <cell r="E384" t="str">
            <v>Michele Walker</v>
          </cell>
          <cell r="F384" t="str">
            <v>Active</v>
          </cell>
          <cell r="G384">
            <v>30869</v>
          </cell>
          <cell r="H384">
            <v>30</v>
          </cell>
          <cell r="I384">
            <v>31057</v>
          </cell>
          <cell r="J384">
            <v>31057</v>
          </cell>
          <cell r="K384">
            <v>42013</v>
          </cell>
          <cell r="M384">
            <v>13510</v>
          </cell>
          <cell r="O384">
            <v>13510</v>
          </cell>
          <cell r="Q384">
            <v>12928</v>
          </cell>
          <cell r="R384">
            <v>12928</v>
          </cell>
          <cell r="S384">
            <v>13510</v>
          </cell>
        </row>
        <row r="385">
          <cell r="A385">
            <v>6052</v>
          </cell>
          <cell r="B385" t="str">
            <v>NAWP Inc. [East Winds Proj]</v>
          </cell>
          <cell r="C385" t="str">
            <v>SO4</v>
          </cell>
          <cell r="D385" t="str">
            <v>Wind</v>
          </cell>
          <cell r="E385" t="str">
            <v>Michele Walker</v>
          </cell>
          <cell r="F385" t="str">
            <v>Active</v>
          </cell>
          <cell r="G385">
            <v>30869</v>
          </cell>
          <cell r="H385">
            <v>30</v>
          </cell>
          <cell r="I385">
            <v>31054</v>
          </cell>
          <cell r="J385">
            <v>31054</v>
          </cell>
          <cell r="K385">
            <v>42010</v>
          </cell>
          <cell r="M385">
            <v>4165</v>
          </cell>
          <cell r="O385">
            <v>4165</v>
          </cell>
          <cell r="Q385">
            <v>4900</v>
          </cell>
          <cell r="R385">
            <v>4900</v>
          </cell>
          <cell r="S385">
            <v>4165</v>
          </cell>
        </row>
        <row r="386">
          <cell r="A386">
            <v>6053</v>
          </cell>
          <cell r="B386" t="str">
            <v>Difwind Farms Limited V</v>
          </cell>
          <cell r="C386" t="str">
            <v>SO4</v>
          </cell>
          <cell r="D386" t="str">
            <v>Wind</v>
          </cell>
          <cell r="E386" t="str">
            <v>David R Cox</v>
          </cell>
          <cell r="F386" t="str">
            <v>Active</v>
          </cell>
          <cell r="G386">
            <v>30869</v>
          </cell>
          <cell r="H386">
            <v>30</v>
          </cell>
          <cell r="I386">
            <v>31700</v>
          </cell>
          <cell r="J386">
            <v>31700</v>
          </cell>
          <cell r="K386">
            <v>42657</v>
          </cell>
          <cell r="M386">
            <v>7900</v>
          </cell>
          <cell r="O386">
            <v>7900</v>
          </cell>
          <cell r="Q386">
            <v>7884</v>
          </cell>
          <cell r="R386">
            <v>7884</v>
          </cell>
          <cell r="S386">
            <v>7900</v>
          </cell>
        </row>
        <row r="387">
          <cell r="A387">
            <v>6054</v>
          </cell>
          <cell r="B387" t="str">
            <v>Wind Farm Management  Inc.</v>
          </cell>
          <cell r="C387" t="str">
            <v>SO4</v>
          </cell>
          <cell r="D387" t="str">
            <v>Wind</v>
          </cell>
          <cell r="E387" t="str">
            <v>Michele Walker</v>
          </cell>
          <cell r="F387" t="str">
            <v>Terminated</v>
          </cell>
          <cell r="G387">
            <v>30914</v>
          </cell>
          <cell r="H387">
            <v>30</v>
          </cell>
          <cell r="I387">
            <v>31072</v>
          </cell>
          <cell r="J387">
            <v>31072</v>
          </cell>
          <cell r="K387">
            <v>37986</v>
          </cell>
          <cell r="M387">
            <v>5000</v>
          </cell>
          <cell r="O387">
            <v>5000</v>
          </cell>
          <cell r="Q387">
            <v>400</v>
          </cell>
          <cell r="R387">
            <v>400</v>
          </cell>
          <cell r="S387">
            <v>5000</v>
          </cell>
        </row>
        <row r="388">
          <cell r="A388">
            <v>6055</v>
          </cell>
          <cell r="B388" t="str">
            <v>Coram Energy, LLC</v>
          </cell>
          <cell r="C388" t="str">
            <v>SO4</v>
          </cell>
          <cell r="D388" t="str">
            <v>Wind</v>
          </cell>
          <cell r="E388" t="str">
            <v>David R Cox</v>
          </cell>
          <cell r="F388" t="str">
            <v>Active</v>
          </cell>
          <cell r="G388">
            <v>30901</v>
          </cell>
          <cell r="H388">
            <v>30</v>
          </cell>
          <cell r="I388">
            <v>31387</v>
          </cell>
          <cell r="J388">
            <v>31387</v>
          </cell>
          <cell r="K388">
            <v>42343</v>
          </cell>
          <cell r="M388">
            <v>3000</v>
          </cell>
          <cell r="O388">
            <v>3000</v>
          </cell>
          <cell r="Q388">
            <v>1880</v>
          </cell>
          <cell r="R388">
            <v>1880</v>
          </cell>
          <cell r="S388">
            <v>3000</v>
          </cell>
        </row>
        <row r="389">
          <cell r="A389">
            <v>6056</v>
          </cell>
          <cell r="B389" t="str">
            <v>So.California Sunbelt Dev (Edom Hill)</v>
          </cell>
          <cell r="C389" t="str">
            <v>SO4</v>
          </cell>
          <cell r="D389" t="str">
            <v>Wind</v>
          </cell>
          <cell r="E389" t="str">
            <v>Pam Snethen</v>
          </cell>
          <cell r="F389" t="str">
            <v>Active</v>
          </cell>
          <cell r="G389">
            <v>30930</v>
          </cell>
          <cell r="H389">
            <v>30</v>
          </cell>
          <cell r="I389">
            <v>31121</v>
          </cell>
          <cell r="J389">
            <v>31121</v>
          </cell>
          <cell r="K389">
            <v>42077</v>
          </cell>
          <cell r="M389">
            <v>20000</v>
          </cell>
          <cell r="O389">
            <v>20000</v>
          </cell>
          <cell r="Q389">
            <v>10465</v>
          </cell>
          <cell r="R389">
            <v>10465</v>
          </cell>
          <cell r="S389">
            <v>20000</v>
          </cell>
        </row>
        <row r="390">
          <cell r="A390">
            <v>6057</v>
          </cell>
          <cell r="B390" t="str">
            <v>Cameron Ridge LLC (III)</v>
          </cell>
          <cell r="C390" t="str">
            <v>SO4</v>
          </cell>
          <cell r="D390" t="str">
            <v>Wind</v>
          </cell>
          <cell r="E390" t="str">
            <v>Anthony F Blakemore</v>
          </cell>
          <cell r="F390" t="str">
            <v>Active</v>
          </cell>
          <cell r="G390">
            <v>30900</v>
          </cell>
          <cell r="H390">
            <v>30</v>
          </cell>
          <cell r="I390">
            <v>31003</v>
          </cell>
          <cell r="J390">
            <v>31003</v>
          </cell>
          <cell r="K390">
            <v>41959</v>
          </cell>
          <cell r="M390">
            <v>47120</v>
          </cell>
          <cell r="O390">
            <v>47120</v>
          </cell>
          <cell r="Q390">
            <v>47016</v>
          </cell>
          <cell r="R390">
            <v>47016</v>
          </cell>
          <cell r="S390">
            <v>47120</v>
          </cell>
        </row>
        <row r="391">
          <cell r="A391">
            <v>6058</v>
          </cell>
          <cell r="B391" t="str">
            <v>San Gorgonio Westwinds II, LLC</v>
          </cell>
          <cell r="C391" t="str">
            <v>SO4</v>
          </cell>
          <cell r="D391" t="str">
            <v>Wind</v>
          </cell>
          <cell r="E391" t="str">
            <v>Michele Walker</v>
          </cell>
          <cell r="F391" t="str">
            <v>Active</v>
          </cell>
          <cell r="G391">
            <v>30935</v>
          </cell>
          <cell r="H391">
            <v>30</v>
          </cell>
          <cell r="I391">
            <v>31375</v>
          </cell>
          <cell r="J391">
            <v>31375</v>
          </cell>
          <cell r="K391">
            <v>42331</v>
          </cell>
          <cell r="M391">
            <v>10000</v>
          </cell>
          <cell r="O391">
            <v>10000</v>
          </cell>
          <cell r="Q391">
            <v>5680</v>
          </cell>
          <cell r="R391">
            <v>5680</v>
          </cell>
          <cell r="S391">
            <v>10000</v>
          </cell>
        </row>
        <row r="392">
          <cell r="A392">
            <v>6060</v>
          </cell>
          <cell r="B392" t="str">
            <v>Calwind Resources Inc.</v>
          </cell>
          <cell r="C392" t="str">
            <v>SO4</v>
          </cell>
          <cell r="D392" t="str">
            <v>Wind</v>
          </cell>
          <cell r="E392" t="str">
            <v>Cathy Mendoza</v>
          </cell>
          <cell r="F392" t="str">
            <v>Active</v>
          </cell>
          <cell r="G392">
            <v>31000</v>
          </cell>
          <cell r="H392">
            <v>25</v>
          </cell>
          <cell r="I392">
            <v>31046</v>
          </cell>
          <cell r="J392">
            <v>31046</v>
          </cell>
          <cell r="K392">
            <v>40176</v>
          </cell>
          <cell r="M392">
            <v>9000</v>
          </cell>
          <cell r="O392">
            <v>9000</v>
          </cell>
          <cell r="Q392">
            <v>8710</v>
          </cell>
          <cell r="R392">
            <v>8710</v>
          </cell>
          <cell r="S392">
            <v>9000</v>
          </cell>
        </row>
        <row r="393">
          <cell r="A393">
            <v>6061</v>
          </cell>
          <cell r="B393" t="str">
            <v>Windridge Incorporated</v>
          </cell>
          <cell r="C393" t="str">
            <v>SO4</v>
          </cell>
          <cell r="D393" t="str">
            <v>Wind</v>
          </cell>
          <cell r="E393" t="str">
            <v>Cathy Mendoza</v>
          </cell>
          <cell r="F393" t="str">
            <v>Active</v>
          </cell>
          <cell r="G393">
            <v>31023</v>
          </cell>
          <cell r="H393">
            <v>30</v>
          </cell>
          <cell r="I393">
            <v>31199</v>
          </cell>
          <cell r="J393">
            <v>31199</v>
          </cell>
          <cell r="K393">
            <v>42155</v>
          </cell>
          <cell r="M393">
            <v>4500</v>
          </cell>
          <cell r="O393">
            <v>4500</v>
          </cell>
          <cell r="Q393">
            <v>2340</v>
          </cell>
          <cell r="R393">
            <v>2340</v>
          </cell>
          <cell r="S393">
            <v>4500</v>
          </cell>
        </row>
        <row r="394">
          <cell r="A394">
            <v>6062</v>
          </cell>
          <cell r="B394" t="str">
            <v>Energy Development &amp; Const. Corp.</v>
          </cell>
          <cell r="C394" t="str">
            <v>SO4</v>
          </cell>
          <cell r="D394" t="str">
            <v>Wind</v>
          </cell>
          <cell r="E394" t="str">
            <v>Cathy Mendoza</v>
          </cell>
          <cell r="F394" t="str">
            <v>Active</v>
          </cell>
          <cell r="G394">
            <v>31029</v>
          </cell>
          <cell r="H394">
            <v>30</v>
          </cell>
          <cell r="I394">
            <v>31078</v>
          </cell>
          <cell r="J394">
            <v>31078</v>
          </cell>
          <cell r="K394">
            <v>42034</v>
          </cell>
          <cell r="M394">
            <v>11655</v>
          </cell>
          <cell r="O394">
            <v>11655</v>
          </cell>
          <cell r="Q394">
            <v>11700</v>
          </cell>
          <cell r="R394">
            <v>11700</v>
          </cell>
          <cell r="S394">
            <v>11655</v>
          </cell>
        </row>
        <row r="395">
          <cell r="A395">
            <v>6063</v>
          </cell>
          <cell r="B395" t="str">
            <v>Desert Winds I PPC Trust</v>
          </cell>
          <cell r="C395" t="str">
            <v>SO4</v>
          </cell>
          <cell r="D395" t="str">
            <v>Wind</v>
          </cell>
          <cell r="E395" t="str">
            <v>Michele Walker</v>
          </cell>
          <cell r="F395" t="str">
            <v>Active</v>
          </cell>
          <cell r="G395">
            <v>31020</v>
          </cell>
          <cell r="H395">
            <v>30</v>
          </cell>
          <cell r="I395">
            <v>32813</v>
          </cell>
          <cell r="J395">
            <v>32813</v>
          </cell>
          <cell r="K395">
            <v>43769</v>
          </cell>
          <cell r="M395">
            <v>48000</v>
          </cell>
          <cell r="O395">
            <v>48000</v>
          </cell>
          <cell r="Q395">
            <v>48000</v>
          </cell>
          <cell r="R395">
            <v>48000</v>
          </cell>
          <cell r="S395">
            <v>48000</v>
          </cell>
        </row>
        <row r="396">
          <cell r="A396">
            <v>6064</v>
          </cell>
          <cell r="B396" t="str">
            <v>Section 7 Trust</v>
          </cell>
          <cell r="C396" t="str">
            <v>SO4</v>
          </cell>
          <cell r="D396" t="str">
            <v>Wind</v>
          </cell>
          <cell r="E396" t="str">
            <v>Cathy Mendoza</v>
          </cell>
          <cell r="F396" t="str">
            <v>Active</v>
          </cell>
          <cell r="G396">
            <v>31064</v>
          </cell>
          <cell r="H396">
            <v>25</v>
          </cell>
          <cell r="I396">
            <v>31156</v>
          </cell>
          <cell r="J396">
            <v>31156</v>
          </cell>
          <cell r="K396">
            <v>40286</v>
          </cell>
          <cell r="M396">
            <v>28000</v>
          </cell>
          <cell r="O396">
            <v>28000</v>
          </cell>
          <cell r="S396">
            <v>28000</v>
          </cell>
        </row>
        <row r="397">
          <cell r="A397">
            <v>6065</v>
          </cell>
          <cell r="B397" t="str">
            <v>Sky River Partnership (Wilderness I)</v>
          </cell>
          <cell r="C397" t="str">
            <v>SO4</v>
          </cell>
          <cell r="D397" t="str">
            <v>Wind</v>
          </cell>
          <cell r="E397" t="str">
            <v>Anthony F Blakemore</v>
          </cell>
          <cell r="F397" t="str">
            <v>Active</v>
          </cell>
          <cell r="G397">
            <v>31077</v>
          </cell>
          <cell r="H397">
            <v>30</v>
          </cell>
          <cell r="I397">
            <v>33441</v>
          </cell>
          <cell r="J397">
            <v>33441</v>
          </cell>
          <cell r="K397">
            <v>44398</v>
          </cell>
          <cell r="M397">
            <v>36775</v>
          </cell>
          <cell r="O397">
            <v>36775</v>
          </cell>
          <cell r="Q397">
            <v>36225</v>
          </cell>
          <cell r="R397">
            <v>36225</v>
          </cell>
          <cell r="S397">
            <v>36775</v>
          </cell>
        </row>
        <row r="398">
          <cell r="A398">
            <v>6066</v>
          </cell>
          <cell r="B398" t="str">
            <v>Sky River Partnership (Wilderness II)</v>
          </cell>
          <cell r="C398" t="str">
            <v>SO4</v>
          </cell>
          <cell r="D398" t="str">
            <v>Wind</v>
          </cell>
          <cell r="E398" t="str">
            <v>Anthony F Blakemore</v>
          </cell>
          <cell r="F398" t="str">
            <v>Active</v>
          </cell>
          <cell r="G398">
            <v>31077</v>
          </cell>
          <cell r="H398">
            <v>30</v>
          </cell>
          <cell r="I398">
            <v>33389</v>
          </cell>
          <cell r="J398">
            <v>33389</v>
          </cell>
          <cell r="K398">
            <v>44346</v>
          </cell>
          <cell r="M398">
            <v>19800</v>
          </cell>
          <cell r="O398">
            <v>19800</v>
          </cell>
          <cell r="Q398">
            <v>19800</v>
          </cell>
          <cell r="R398">
            <v>19800</v>
          </cell>
          <cell r="S398">
            <v>19800</v>
          </cell>
        </row>
        <row r="399">
          <cell r="A399">
            <v>6067</v>
          </cell>
          <cell r="B399" t="str">
            <v>Sky River Partnership (Wilderness III)</v>
          </cell>
          <cell r="C399" t="str">
            <v>SO4</v>
          </cell>
          <cell r="D399" t="str">
            <v>Wind</v>
          </cell>
          <cell r="E399" t="str">
            <v>Anthony F Blakemore</v>
          </cell>
          <cell r="F399" t="str">
            <v>Active</v>
          </cell>
          <cell r="G399">
            <v>31077</v>
          </cell>
          <cell r="H399">
            <v>30</v>
          </cell>
          <cell r="I399">
            <v>33283</v>
          </cell>
          <cell r="J399">
            <v>33283</v>
          </cell>
          <cell r="K399">
            <v>44240</v>
          </cell>
          <cell r="M399">
            <v>20925</v>
          </cell>
          <cell r="O399">
            <v>20925</v>
          </cell>
          <cell r="Q399">
            <v>20925</v>
          </cell>
          <cell r="R399">
            <v>20925</v>
          </cell>
          <cell r="S399">
            <v>20925</v>
          </cell>
        </row>
        <row r="400">
          <cell r="A400">
            <v>6087</v>
          </cell>
          <cell r="B400" t="str">
            <v>Section 16-29  Trust  (Altech III)</v>
          </cell>
          <cell r="C400" t="str">
            <v>SO4</v>
          </cell>
          <cell r="D400" t="str">
            <v>Wind</v>
          </cell>
          <cell r="E400" t="str">
            <v>Michele Walker</v>
          </cell>
          <cell r="F400" t="str">
            <v>Active</v>
          </cell>
          <cell r="G400">
            <v>31153</v>
          </cell>
          <cell r="H400">
            <v>30</v>
          </cell>
          <cell r="I400">
            <v>31399</v>
          </cell>
          <cell r="J400">
            <v>31399</v>
          </cell>
          <cell r="K400">
            <v>42355</v>
          </cell>
          <cell r="M400">
            <v>32874</v>
          </cell>
          <cell r="O400">
            <v>32874</v>
          </cell>
          <cell r="Q400">
            <v>31508</v>
          </cell>
          <cell r="R400">
            <v>31508</v>
          </cell>
          <cell r="S400">
            <v>32874</v>
          </cell>
        </row>
        <row r="401">
          <cell r="A401">
            <v>6088</v>
          </cell>
          <cell r="B401" t="str">
            <v>Difwind Partners</v>
          </cell>
          <cell r="C401" t="str">
            <v>SO4</v>
          </cell>
          <cell r="D401" t="str">
            <v>Wind</v>
          </cell>
          <cell r="E401" t="str">
            <v>David R Cox</v>
          </cell>
          <cell r="F401" t="str">
            <v>Active</v>
          </cell>
          <cell r="G401">
            <v>31153</v>
          </cell>
          <cell r="H401">
            <v>30</v>
          </cell>
          <cell r="I401">
            <v>31399</v>
          </cell>
          <cell r="J401">
            <v>31399</v>
          </cell>
          <cell r="K401">
            <v>42355</v>
          </cell>
          <cell r="M401">
            <v>15063</v>
          </cell>
          <cell r="O401">
            <v>15063</v>
          </cell>
          <cell r="Q401">
            <v>14955</v>
          </cell>
          <cell r="R401">
            <v>14955</v>
          </cell>
          <cell r="S401">
            <v>15063</v>
          </cell>
        </row>
        <row r="402">
          <cell r="A402">
            <v>6089</v>
          </cell>
          <cell r="B402" t="str">
            <v>CTV Power Purchase Contract Trust</v>
          </cell>
          <cell r="C402" t="str">
            <v>SO4</v>
          </cell>
          <cell r="D402" t="str">
            <v>Wind</v>
          </cell>
          <cell r="E402" t="str">
            <v>Pam Snethen</v>
          </cell>
          <cell r="F402" t="str">
            <v>Active</v>
          </cell>
          <cell r="G402">
            <v>31148</v>
          </cell>
          <cell r="H402">
            <v>30</v>
          </cell>
          <cell r="I402">
            <v>31524</v>
          </cell>
          <cell r="J402">
            <v>31524</v>
          </cell>
          <cell r="K402">
            <v>42481</v>
          </cell>
          <cell r="M402">
            <v>14000</v>
          </cell>
          <cell r="O402">
            <v>14000</v>
          </cell>
          <cell r="Q402">
            <v>13775</v>
          </cell>
          <cell r="R402">
            <v>13775</v>
          </cell>
          <cell r="S402">
            <v>14000</v>
          </cell>
        </row>
        <row r="403">
          <cell r="A403">
            <v>6090</v>
          </cell>
          <cell r="B403" t="str">
            <v>Alta Mesa Pwr. Purch. Contract Trust</v>
          </cell>
          <cell r="C403" t="str">
            <v>SO4</v>
          </cell>
          <cell r="D403" t="str">
            <v>Wind</v>
          </cell>
          <cell r="E403" t="str">
            <v>David R Cox</v>
          </cell>
          <cell r="F403" t="str">
            <v>Active</v>
          </cell>
          <cell r="G403">
            <v>31153</v>
          </cell>
          <cell r="H403">
            <v>30</v>
          </cell>
          <cell r="I403">
            <v>32508</v>
          </cell>
          <cell r="J403">
            <v>32508</v>
          </cell>
          <cell r="K403">
            <v>43464</v>
          </cell>
          <cell r="M403">
            <v>27000</v>
          </cell>
          <cell r="O403">
            <v>27000</v>
          </cell>
          <cell r="Q403">
            <v>28170</v>
          </cell>
          <cell r="R403">
            <v>28170</v>
          </cell>
          <cell r="S403">
            <v>27000</v>
          </cell>
        </row>
        <row r="404">
          <cell r="A404">
            <v>6091</v>
          </cell>
          <cell r="B404" t="str">
            <v>Cameron Ridge LLC (IV)</v>
          </cell>
          <cell r="C404" t="str">
            <v>SO4</v>
          </cell>
          <cell r="D404" t="str">
            <v>Wind</v>
          </cell>
          <cell r="E404" t="str">
            <v>Anthony F Blakemore</v>
          </cell>
          <cell r="F404" t="str">
            <v>Active</v>
          </cell>
          <cell r="G404">
            <v>31153</v>
          </cell>
          <cell r="H404">
            <v>30</v>
          </cell>
          <cell r="I404">
            <v>31412</v>
          </cell>
          <cell r="J404">
            <v>31412</v>
          </cell>
          <cell r="K404">
            <v>42368</v>
          </cell>
          <cell r="M404">
            <v>12760</v>
          </cell>
          <cell r="O404">
            <v>12760</v>
          </cell>
          <cell r="Q404">
            <v>12656</v>
          </cell>
          <cell r="R404">
            <v>12656</v>
          </cell>
          <cell r="S404">
            <v>12760</v>
          </cell>
        </row>
        <row r="405">
          <cell r="A405">
            <v>6092</v>
          </cell>
          <cell r="B405" t="str">
            <v>Ridgetop Energy, LLC (II)</v>
          </cell>
          <cell r="C405" t="str">
            <v>SO4</v>
          </cell>
          <cell r="D405" t="str">
            <v>Wind</v>
          </cell>
          <cell r="E405" t="str">
            <v>Anthony F Blakemore</v>
          </cell>
          <cell r="F405" t="str">
            <v>Active</v>
          </cell>
          <cell r="G405">
            <v>31153</v>
          </cell>
          <cell r="H405">
            <v>30</v>
          </cell>
          <cell r="I405">
            <v>32143</v>
          </cell>
          <cell r="J405">
            <v>32398</v>
          </cell>
          <cell r="K405">
            <v>43354</v>
          </cell>
          <cell r="M405">
            <v>28000</v>
          </cell>
          <cell r="O405">
            <v>28000</v>
          </cell>
          <cell r="Q405">
            <v>27984</v>
          </cell>
          <cell r="R405">
            <v>27984</v>
          </cell>
          <cell r="S405">
            <v>28000</v>
          </cell>
        </row>
        <row r="406">
          <cell r="A406">
            <v>6094</v>
          </cell>
          <cell r="B406" t="str">
            <v>Section 22 Trust  [San Jacinto]</v>
          </cell>
          <cell r="C406" t="str">
            <v>SO4</v>
          </cell>
          <cell r="D406" t="str">
            <v>Wind</v>
          </cell>
          <cell r="E406" t="str">
            <v>Michele Walker</v>
          </cell>
          <cell r="F406" t="str">
            <v>Active</v>
          </cell>
          <cell r="G406">
            <v>31153</v>
          </cell>
          <cell r="H406">
            <v>30</v>
          </cell>
          <cell r="I406">
            <v>31382</v>
          </cell>
          <cell r="J406">
            <v>31382</v>
          </cell>
          <cell r="K406">
            <v>42337</v>
          </cell>
          <cell r="M406">
            <v>18950</v>
          </cell>
          <cell r="O406">
            <v>18950</v>
          </cell>
          <cell r="Q406">
            <v>17035</v>
          </cell>
          <cell r="R406">
            <v>17035</v>
          </cell>
          <cell r="S406">
            <v>18950</v>
          </cell>
        </row>
        <row r="407">
          <cell r="A407">
            <v>6095</v>
          </cell>
          <cell r="B407" t="str">
            <v>Dutch Energy</v>
          </cell>
          <cell r="C407" t="str">
            <v>SO4</v>
          </cell>
          <cell r="D407" t="str">
            <v>Wind</v>
          </cell>
          <cell r="E407" t="str">
            <v>David R Cox</v>
          </cell>
          <cell r="F407" t="str">
            <v>Active</v>
          </cell>
          <cell r="G407">
            <v>31153</v>
          </cell>
          <cell r="H407">
            <v>30</v>
          </cell>
          <cell r="I407">
            <v>32976</v>
          </cell>
          <cell r="J407">
            <v>32976</v>
          </cell>
          <cell r="K407">
            <v>43933</v>
          </cell>
          <cell r="M407">
            <v>8000</v>
          </cell>
          <cell r="O407">
            <v>8000</v>
          </cell>
          <cell r="Q407">
            <v>8000</v>
          </cell>
          <cell r="R407">
            <v>8000</v>
          </cell>
          <cell r="S407">
            <v>8000</v>
          </cell>
        </row>
        <row r="408">
          <cell r="A408">
            <v>6096</v>
          </cell>
          <cell r="B408" t="str">
            <v>Westwind Trust</v>
          </cell>
          <cell r="C408" t="str">
            <v>SO4</v>
          </cell>
          <cell r="D408" t="str">
            <v>Wind</v>
          </cell>
          <cell r="E408" t="str">
            <v>David R Cox</v>
          </cell>
          <cell r="F408" t="str">
            <v>Active</v>
          </cell>
          <cell r="G408">
            <v>31154</v>
          </cell>
          <cell r="H408">
            <v>30</v>
          </cell>
          <cell r="I408">
            <v>31412</v>
          </cell>
          <cell r="J408">
            <v>31412</v>
          </cell>
          <cell r="K408">
            <v>42368</v>
          </cell>
          <cell r="M408">
            <v>22500</v>
          </cell>
          <cell r="O408">
            <v>22500</v>
          </cell>
          <cell r="Q408">
            <v>15657</v>
          </cell>
          <cell r="R408">
            <v>15657</v>
          </cell>
          <cell r="S408">
            <v>22500</v>
          </cell>
        </row>
        <row r="409">
          <cell r="A409">
            <v>6097</v>
          </cell>
          <cell r="B409" t="str">
            <v>Boxcar II Power Purchase Contract Trst</v>
          </cell>
          <cell r="C409" t="str">
            <v>SO4</v>
          </cell>
          <cell r="D409" t="str">
            <v>Wind</v>
          </cell>
          <cell r="E409" t="str">
            <v>David R Cox</v>
          </cell>
          <cell r="F409" t="str">
            <v>Active</v>
          </cell>
          <cell r="G409">
            <v>31153</v>
          </cell>
          <cell r="H409">
            <v>30</v>
          </cell>
          <cell r="I409">
            <v>31408</v>
          </cell>
          <cell r="J409">
            <v>31408</v>
          </cell>
          <cell r="K409">
            <v>42364</v>
          </cell>
          <cell r="M409">
            <v>8000</v>
          </cell>
          <cell r="O409">
            <v>8000</v>
          </cell>
          <cell r="Q409">
            <v>7775</v>
          </cell>
          <cell r="R409">
            <v>7775</v>
          </cell>
          <cell r="S409">
            <v>8000</v>
          </cell>
        </row>
        <row r="410">
          <cell r="A410">
            <v>6098</v>
          </cell>
          <cell r="B410" t="str">
            <v>BNY Western Trust Company</v>
          </cell>
          <cell r="C410" t="str">
            <v>SO4</v>
          </cell>
          <cell r="D410" t="str">
            <v>Wind</v>
          </cell>
          <cell r="E410" t="str">
            <v>Anthony F Blakemore</v>
          </cell>
          <cell r="F410" t="str">
            <v>Active</v>
          </cell>
          <cell r="G410">
            <v>31153</v>
          </cell>
          <cell r="H410">
            <v>30</v>
          </cell>
          <cell r="I410">
            <v>32934</v>
          </cell>
          <cell r="J410">
            <v>32934</v>
          </cell>
          <cell r="K410">
            <v>43891</v>
          </cell>
          <cell r="M410">
            <v>10000</v>
          </cell>
          <cell r="O410">
            <v>10000</v>
          </cell>
          <cell r="Q410">
            <v>9350</v>
          </cell>
          <cell r="R410">
            <v>9350</v>
          </cell>
          <cell r="S410">
            <v>10000</v>
          </cell>
        </row>
        <row r="411">
          <cell r="A411">
            <v>6102</v>
          </cell>
          <cell r="B411" t="str">
            <v>Victory Garden Phase IV Partner - 6102</v>
          </cell>
          <cell r="C411" t="str">
            <v>SO4</v>
          </cell>
          <cell r="D411" t="str">
            <v>Wind</v>
          </cell>
          <cell r="E411" t="str">
            <v>Anthony F Blakemore</v>
          </cell>
          <cell r="F411" t="str">
            <v>Active</v>
          </cell>
          <cell r="G411">
            <v>31153</v>
          </cell>
          <cell r="H411">
            <v>30</v>
          </cell>
          <cell r="I411">
            <v>32949</v>
          </cell>
          <cell r="J411">
            <v>32949</v>
          </cell>
          <cell r="K411">
            <v>43906</v>
          </cell>
          <cell r="M411">
            <v>6975</v>
          </cell>
          <cell r="O411">
            <v>6975</v>
          </cell>
          <cell r="Q411">
            <v>6975</v>
          </cell>
          <cell r="R411">
            <v>6975</v>
          </cell>
          <cell r="S411">
            <v>6975</v>
          </cell>
        </row>
        <row r="412">
          <cell r="A412">
            <v>6103</v>
          </cell>
          <cell r="B412" t="str">
            <v>Victory Garden Phase IV Partner - 6103</v>
          </cell>
          <cell r="C412" t="str">
            <v>SO4</v>
          </cell>
          <cell r="D412" t="str">
            <v>Wind</v>
          </cell>
          <cell r="E412" t="str">
            <v>Anthony F Blakemore</v>
          </cell>
          <cell r="F412" t="str">
            <v>Active</v>
          </cell>
          <cell r="G412">
            <v>31153</v>
          </cell>
          <cell r="H412">
            <v>30</v>
          </cell>
          <cell r="I412">
            <v>32875</v>
          </cell>
          <cell r="J412">
            <v>32875</v>
          </cell>
          <cell r="K412">
            <v>43831</v>
          </cell>
          <cell r="M412">
            <v>6975</v>
          </cell>
          <cell r="O412">
            <v>6975</v>
          </cell>
          <cell r="Q412">
            <v>6975</v>
          </cell>
          <cell r="R412">
            <v>6975</v>
          </cell>
          <cell r="S412">
            <v>6975</v>
          </cell>
        </row>
        <row r="413">
          <cell r="A413">
            <v>6104</v>
          </cell>
          <cell r="B413" t="str">
            <v>Victory Garden Phase IV Partner - 6104</v>
          </cell>
          <cell r="C413" t="str">
            <v>SO4</v>
          </cell>
          <cell r="D413" t="str">
            <v>Wind</v>
          </cell>
          <cell r="E413" t="str">
            <v>Anthony F Blakemore</v>
          </cell>
          <cell r="F413" t="str">
            <v>Active</v>
          </cell>
          <cell r="G413">
            <v>31153</v>
          </cell>
          <cell r="H413">
            <v>30</v>
          </cell>
          <cell r="I413">
            <v>32974</v>
          </cell>
          <cell r="J413">
            <v>32974</v>
          </cell>
          <cell r="K413">
            <v>43931</v>
          </cell>
          <cell r="M413">
            <v>6975</v>
          </cell>
          <cell r="O413">
            <v>6975</v>
          </cell>
          <cell r="Q413">
            <v>6975</v>
          </cell>
          <cell r="R413">
            <v>6975</v>
          </cell>
          <cell r="S413">
            <v>6975</v>
          </cell>
        </row>
        <row r="414">
          <cell r="A414">
            <v>6105</v>
          </cell>
          <cell r="B414" t="str">
            <v>Caithness 251 Wind, LLC  (Monolith X)</v>
          </cell>
          <cell r="C414" t="str">
            <v>SO4</v>
          </cell>
          <cell r="D414" t="str">
            <v>Wind</v>
          </cell>
          <cell r="E414" t="str">
            <v>Anthony F Blakemore</v>
          </cell>
          <cell r="F414" t="str">
            <v>Active</v>
          </cell>
          <cell r="G414">
            <v>31153</v>
          </cell>
          <cell r="H414">
            <v>30</v>
          </cell>
          <cell r="I414">
            <v>31938</v>
          </cell>
          <cell r="J414">
            <v>31938</v>
          </cell>
          <cell r="K414">
            <v>42895</v>
          </cell>
          <cell r="M414">
            <v>5310</v>
          </cell>
          <cell r="O414">
            <v>5310</v>
          </cell>
          <cell r="Q414">
            <v>5010</v>
          </cell>
          <cell r="R414">
            <v>5010</v>
          </cell>
          <cell r="S414">
            <v>5310</v>
          </cell>
        </row>
        <row r="415">
          <cell r="A415">
            <v>6106</v>
          </cell>
          <cell r="B415" t="str">
            <v>Caithness 251 Wind, LLC  (Monolith XI)</v>
          </cell>
          <cell r="C415" t="str">
            <v>SO4</v>
          </cell>
          <cell r="D415" t="str">
            <v>Wind</v>
          </cell>
          <cell r="E415" t="str">
            <v>Anthony F Blakemore</v>
          </cell>
          <cell r="F415" t="str">
            <v>Active</v>
          </cell>
          <cell r="G415">
            <v>31153</v>
          </cell>
          <cell r="H415">
            <v>30</v>
          </cell>
          <cell r="I415">
            <v>31958</v>
          </cell>
          <cell r="J415">
            <v>31958</v>
          </cell>
          <cell r="K415">
            <v>42915</v>
          </cell>
          <cell r="M415">
            <v>4990</v>
          </cell>
          <cell r="O415">
            <v>4990</v>
          </cell>
          <cell r="Q415">
            <v>4990</v>
          </cell>
          <cell r="R415">
            <v>4990</v>
          </cell>
          <cell r="S415">
            <v>4990</v>
          </cell>
        </row>
        <row r="416">
          <cell r="A416">
            <v>6107</v>
          </cell>
          <cell r="B416" t="str">
            <v>Caithness 251 Wind, LLC  (Monolith XII)</v>
          </cell>
          <cell r="C416" t="str">
            <v>SO4</v>
          </cell>
          <cell r="D416" t="str">
            <v>Wind</v>
          </cell>
          <cell r="E416" t="str">
            <v>Anthony F Blakemore</v>
          </cell>
          <cell r="F416" t="str">
            <v>Active</v>
          </cell>
          <cell r="G416">
            <v>31153</v>
          </cell>
          <cell r="H416">
            <v>30</v>
          </cell>
          <cell r="I416">
            <v>31967</v>
          </cell>
          <cell r="J416">
            <v>31967</v>
          </cell>
          <cell r="K416">
            <v>42924</v>
          </cell>
          <cell r="M416">
            <v>6720</v>
          </cell>
          <cell r="O416">
            <v>6720</v>
          </cell>
          <cell r="Q416">
            <v>6720</v>
          </cell>
          <cell r="R416">
            <v>6720</v>
          </cell>
          <cell r="S416">
            <v>6720</v>
          </cell>
        </row>
        <row r="417">
          <cell r="A417">
            <v>6108</v>
          </cell>
          <cell r="B417" t="str">
            <v>Caithness 251 Wind, LLC  (Monolith XIII)</v>
          </cell>
          <cell r="C417" t="str">
            <v>SO4</v>
          </cell>
          <cell r="D417" t="str">
            <v>Wind</v>
          </cell>
          <cell r="E417" t="str">
            <v>Anthony F Blakemore</v>
          </cell>
          <cell r="F417" t="str">
            <v>Active</v>
          </cell>
          <cell r="G417">
            <v>31153</v>
          </cell>
          <cell r="H417">
            <v>30</v>
          </cell>
          <cell r="I417">
            <v>31958</v>
          </cell>
          <cell r="J417">
            <v>31958</v>
          </cell>
          <cell r="K417">
            <v>42915</v>
          </cell>
          <cell r="M417">
            <v>5670</v>
          </cell>
          <cell r="O417">
            <v>5670</v>
          </cell>
          <cell r="Q417">
            <v>5670</v>
          </cell>
          <cell r="R417">
            <v>5670</v>
          </cell>
          <cell r="S417">
            <v>5670</v>
          </cell>
        </row>
        <row r="418">
          <cell r="A418">
            <v>6111</v>
          </cell>
          <cell r="B418" t="str">
            <v>Enron Wind Systems, LLC (Northwind)</v>
          </cell>
          <cell r="C418" t="str">
            <v>SO4</v>
          </cell>
          <cell r="D418" t="str">
            <v>Wind</v>
          </cell>
          <cell r="E418" t="str">
            <v>Pam Snethen</v>
          </cell>
          <cell r="F418" t="str">
            <v>Active</v>
          </cell>
          <cell r="G418">
            <v>31153</v>
          </cell>
          <cell r="H418">
            <v>30</v>
          </cell>
          <cell r="I418">
            <v>31436</v>
          </cell>
          <cell r="J418">
            <v>31436</v>
          </cell>
          <cell r="K418">
            <v>42392</v>
          </cell>
          <cell r="M418">
            <v>6445</v>
          </cell>
          <cell r="O418">
            <v>6445</v>
          </cell>
          <cell r="Q418">
            <v>6315</v>
          </cell>
          <cell r="R418">
            <v>6315</v>
          </cell>
          <cell r="S418">
            <v>6445</v>
          </cell>
        </row>
        <row r="419">
          <cell r="A419">
            <v>6112</v>
          </cell>
          <cell r="B419" t="str">
            <v>Painted Hills Wind Developers</v>
          </cell>
          <cell r="C419" t="str">
            <v>SO4</v>
          </cell>
          <cell r="D419" t="str">
            <v>Wind</v>
          </cell>
          <cell r="E419" t="str">
            <v>Pam Snethen</v>
          </cell>
          <cell r="F419" t="str">
            <v>Active</v>
          </cell>
          <cell r="G419">
            <v>31153</v>
          </cell>
          <cell r="H419">
            <v>30</v>
          </cell>
          <cell r="I419">
            <v>31382</v>
          </cell>
          <cell r="J419">
            <v>31382</v>
          </cell>
          <cell r="K419">
            <v>42338</v>
          </cell>
          <cell r="M419">
            <v>19265</v>
          </cell>
          <cell r="O419">
            <v>19265</v>
          </cell>
          <cell r="Q419">
            <v>19045</v>
          </cell>
          <cell r="R419">
            <v>19045</v>
          </cell>
          <cell r="S419">
            <v>19265</v>
          </cell>
        </row>
        <row r="420">
          <cell r="A420">
            <v>6113</v>
          </cell>
          <cell r="B420" t="str">
            <v>Desert Winds II Pwr Purch Trst</v>
          </cell>
          <cell r="C420" t="str">
            <v>SO4</v>
          </cell>
          <cell r="D420" t="str">
            <v>Wind</v>
          </cell>
          <cell r="E420" t="str">
            <v>Michele Walker</v>
          </cell>
          <cell r="F420" t="str">
            <v>Active</v>
          </cell>
          <cell r="G420">
            <v>31279</v>
          </cell>
          <cell r="H420">
            <v>30</v>
          </cell>
          <cell r="I420">
            <v>33102</v>
          </cell>
          <cell r="J420">
            <v>33102</v>
          </cell>
          <cell r="K420">
            <v>44059</v>
          </cell>
          <cell r="M420">
            <v>75000</v>
          </cell>
          <cell r="O420">
            <v>75000</v>
          </cell>
          <cell r="Q420">
            <v>75000</v>
          </cell>
          <cell r="R420">
            <v>75000</v>
          </cell>
          <cell r="S420">
            <v>75000</v>
          </cell>
        </row>
        <row r="421">
          <cell r="A421">
            <v>6114</v>
          </cell>
          <cell r="B421" t="str">
            <v>Desert Wind III PPC Trust</v>
          </cell>
          <cell r="C421" t="str">
            <v>SO4</v>
          </cell>
          <cell r="D421" t="str">
            <v>Wind</v>
          </cell>
          <cell r="E421" t="str">
            <v>Michele Walker</v>
          </cell>
          <cell r="F421" t="str">
            <v>Active</v>
          </cell>
          <cell r="G421">
            <v>31279</v>
          </cell>
          <cell r="H421">
            <v>30</v>
          </cell>
          <cell r="I421">
            <v>32813</v>
          </cell>
          <cell r="J421">
            <v>32813</v>
          </cell>
          <cell r="K421">
            <v>43769</v>
          </cell>
          <cell r="M421">
            <v>40500</v>
          </cell>
          <cell r="O421">
            <v>40500</v>
          </cell>
          <cell r="Q421">
            <v>37000</v>
          </cell>
          <cell r="R421">
            <v>37000</v>
          </cell>
          <cell r="S421">
            <v>40500</v>
          </cell>
        </row>
        <row r="422">
          <cell r="A422">
            <v>6118</v>
          </cell>
          <cell r="B422" t="str">
            <v>Windpower Partners 1993, L.P.</v>
          </cell>
          <cell r="C422" t="str">
            <v>SO4</v>
          </cell>
          <cell r="D422" t="str">
            <v>Wind</v>
          </cell>
          <cell r="E422" t="str">
            <v>Anthony F Blakemore</v>
          </cell>
          <cell r="F422" t="str">
            <v>Active</v>
          </cell>
          <cell r="G422">
            <v>31153</v>
          </cell>
          <cell r="H422">
            <v>30</v>
          </cell>
          <cell r="I422">
            <v>31848</v>
          </cell>
          <cell r="J422">
            <v>31848</v>
          </cell>
          <cell r="K422">
            <v>42805</v>
          </cell>
          <cell r="L422">
            <v>585</v>
          </cell>
          <cell r="M422">
            <v>5615</v>
          </cell>
          <cell r="O422">
            <v>6200</v>
          </cell>
          <cell r="S422">
            <v>6200</v>
          </cell>
        </row>
        <row r="423">
          <cell r="A423">
            <v>6120</v>
          </cell>
          <cell r="B423" t="str">
            <v>Pitchfork Ranch</v>
          </cell>
          <cell r="C423" t="str">
            <v>SO3</v>
          </cell>
          <cell r="D423" t="str">
            <v>Wind</v>
          </cell>
          <cell r="E423" t="str">
            <v>Michele Walker</v>
          </cell>
          <cell r="F423" t="str">
            <v>Terminated</v>
          </cell>
          <cell r="G423">
            <v>30648</v>
          </cell>
          <cell r="H423">
            <v>1</v>
          </cell>
          <cell r="I423">
            <v>30648</v>
          </cell>
          <cell r="J423">
            <v>30648</v>
          </cell>
          <cell r="K423">
            <v>37958</v>
          </cell>
          <cell r="M423">
            <v>25</v>
          </cell>
          <cell r="O423">
            <v>25</v>
          </cell>
          <cell r="S423">
            <v>25</v>
          </cell>
        </row>
        <row r="424">
          <cell r="A424">
            <v>6130</v>
          </cell>
          <cell r="B424" t="str">
            <v>Lester Keute</v>
          </cell>
          <cell r="C424" t="str">
            <v>SO3</v>
          </cell>
          <cell r="D424" t="str">
            <v>Wind</v>
          </cell>
          <cell r="E424" t="str">
            <v>Cathy Mendoza</v>
          </cell>
          <cell r="F424" t="str">
            <v>Terminated</v>
          </cell>
          <cell r="G424">
            <v>30569</v>
          </cell>
          <cell r="H424">
            <v>1</v>
          </cell>
          <cell r="I424">
            <v>30590</v>
          </cell>
          <cell r="J424">
            <v>30590</v>
          </cell>
          <cell r="K424">
            <v>36191</v>
          </cell>
          <cell r="M424">
            <v>4</v>
          </cell>
          <cell r="O424">
            <v>4</v>
          </cell>
          <cell r="S424">
            <v>4</v>
          </cell>
        </row>
        <row r="425">
          <cell r="A425">
            <v>6213</v>
          </cell>
          <cell r="B425" t="str">
            <v>BNY Western Trust Company</v>
          </cell>
          <cell r="C425" t="str">
            <v>SO4</v>
          </cell>
          <cell r="D425" t="str">
            <v>Wind</v>
          </cell>
          <cell r="E425" t="str">
            <v>David R Cox</v>
          </cell>
          <cell r="F425" t="str">
            <v>Active</v>
          </cell>
          <cell r="G425">
            <v>31665</v>
          </cell>
          <cell r="H425">
            <v>30</v>
          </cell>
          <cell r="I425">
            <v>31768</v>
          </cell>
          <cell r="J425">
            <v>31768</v>
          </cell>
          <cell r="K425">
            <v>42725</v>
          </cell>
          <cell r="L425">
            <v>2549</v>
          </cell>
          <cell r="M425">
            <v>13651</v>
          </cell>
          <cell r="O425">
            <v>16200</v>
          </cell>
          <cell r="P425">
            <v>2532</v>
          </cell>
          <cell r="Q425">
            <v>13563</v>
          </cell>
          <cell r="R425">
            <v>16095</v>
          </cell>
          <cell r="S425">
            <v>16200</v>
          </cell>
        </row>
        <row r="426">
          <cell r="A426">
            <v>6234</v>
          </cell>
          <cell r="B426" t="str">
            <v>Oak Creek Energy Systems Inc.</v>
          </cell>
          <cell r="C426" t="str">
            <v>SO4</v>
          </cell>
          <cell r="D426" t="str">
            <v>Wind</v>
          </cell>
          <cell r="E426" t="str">
            <v>David R Cox</v>
          </cell>
          <cell r="F426" t="str">
            <v>Active</v>
          </cell>
          <cell r="G426">
            <v>32745</v>
          </cell>
          <cell r="H426">
            <v>30</v>
          </cell>
          <cell r="I426">
            <v>31453</v>
          </cell>
          <cell r="J426">
            <v>31777</v>
          </cell>
          <cell r="K426">
            <v>42409</v>
          </cell>
          <cell r="M426">
            <v>24000</v>
          </cell>
          <cell r="O426">
            <v>24000</v>
          </cell>
          <cell r="Q426">
            <v>27917</v>
          </cell>
          <cell r="R426">
            <v>27917</v>
          </cell>
          <cell r="S426">
            <v>27900</v>
          </cell>
        </row>
        <row r="427">
          <cell r="A427">
            <v>6236</v>
          </cell>
          <cell r="B427" t="str">
            <v>Calwind Resources Inc. II</v>
          </cell>
          <cell r="C427" t="str">
            <v>SO1</v>
          </cell>
          <cell r="D427" t="str">
            <v>Wind</v>
          </cell>
          <cell r="E427" t="str">
            <v>Cathy Mendoza</v>
          </cell>
          <cell r="F427" t="str">
            <v>Active</v>
          </cell>
          <cell r="G427">
            <v>33326</v>
          </cell>
          <cell r="H427">
            <v>22</v>
          </cell>
          <cell r="I427">
            <v>33326</v>
          </cell>
          <cell r="J427">
            <v>33326</v>
          </cell>
          <cell r="K427">
            <v>41361</v>
          </cell>
          <cell r="M427">
            <v>21795</v>
          </cell>
          <cell r="O427">
            <v>21795</v>
          </cell>
          <cell r="Q427">
            <v>21775</v>
          </cell>
          <cell r="R427">
            <v>21775</v>
          </cell>
          <cell r="S427">
            <v>21795</v>
          </cell>
        </row>
        <row r="428">
          <cell r="A428">
            <v>6304</v>
          </cell>
          <cell r="B428" t="str">
            <v>Mountain View Power Partners IV, LLC</v>
          </cell>
          <cell r="C428" t="str">
            <v>ERR</v>
          </cell>
          <cell r="D428" t="str">
            <v>Wind</v>
          </cell>
          <cell r="E428" t="str">
            <v>Anthony F Blakemore</v>
          </cell>
          <cell r="F428" t="str">
            <v>Active</v>
          </cell>
          <cell r="G428">
            <v>38419</v>
          </cell>
          <cell r="H428">
            <v>20</v>
          </cell>
          <cell r="I428">
            <v>39066</v>
          </cell>
        </row>
        <row r="429">
          <cell r="A429">
            <v>6305</v>
          </cell>
          <cell r="B429" t="str">
            <v>PPM Energy, Inc.</v>
          </cell>
          <cell r="C429" t="str">
            <v>ERR</v>
          </cell>
          <cell r="D429" t="str">
            <v>Wind</v>
          </cell>
          <cell r="E429" t="str">
            <v>Cathy Mendoza</v>
          </cell>
          <cell r="F429" t="str">
            <v>Active</v>
          </cell>
          <cell r="G429">
            <v>38595</v>
          </cell>
          <cell r="H429">
            <v>0</v>
          </cell>
        </row>
        <row r="430">
          <cell r="A430">
            <v>6306</v>
          </cell>
          <cell r="B430" t="str">
            <v>Coram Energy, LLC</v>
          </cell>
          <cell r="C430" t="str">
            <v>ERR</v>
          </cell>
          <cell r="D430" t="str">
            <v>Wind</v>
          </cell>
          <cell r="E430" t="str">
            <v>Anthony F Blakemore</v>
          </cell>
          <cell r="F430" t="str">
            <v>Active</v>
          </cell>
          <cell r="G430">
            <v>38419</v>
          </cell>
          <cell r="H430">
            <v>20</v>
          </cell>
          <cell r="I430">
            <v>38717</v>
          </cell>
        </row>
        <row r="431">
          <cell r="A431">
            <v>6307</v>
          </cell>
          <cell r="B431" t="str">
            <v>Aero Energy L.L.C.</v>
          </cell>
          <cell r="C431" t="str">
            <v>ERR</v>
          </cell>
          <cell r="D431" t="str">
            <v>Wind</v>
          </cell>
          <cell r="E431" t="str">
            <v>Pam Snethen</v>
          </cell>
          <cell r="F431" t="str">
            <v>Active</v>
          </cell>
          <cell r="G431">
            <v>38419</v>
          </cell>
          <cell r="H431">
            <v>20</v>
          </cell>
        </row>
        <row r="432">
          <cell r="A432">
            <v>6308</v>
          </cell>
          <cell r="B432" t="str">
            <v>PAMC Management Corporation</v>
          </cell>
          <cell r="C432" t="str">
            <v>RSO1</v>
          </cell>
          <cell r="D432" t="str">
            <v>Wind</v>
          </cell>
          <cell r="E432" t="str">
            <v>Pam Snethen</v>
          </cell>
          <cell r="F432" t="str">
            <v>Active</v>
          </cell>
          <cell r="G432">
            <v>38526</v>
          </cell>
          <cell r="H432">
            <v>5</v>
          </cell>
          <cell r="I432">
            <v>38526</v>
          </cell>
          <cell r="K432">
            <v>40351</v>
          </cell>
          <cell r="M432">
            <v>30000</v>
          </cell>
          <cell r="O432">
            <v>30000</v>
          </cell>
          <cell r="Q432">
            <v>29900</v>
          </cell>
          <cell r="R432">
            <v>29900</v>
          </cell>
          <cell r="S432">
            <v>30000</v>
          </cell>
        </row>
        <row r="433">
          <cell r="A433">
            <v>6901</v>
          </cell>
          <cell r="B433" t="str">
            <v>Kenetech Windpower, Inc</v>
          </cell>
          <cell r="C433" t="str">
            <v>BRPU</v>
          </cell>
          <cell r="D433" t="str">
            <v>Wind</v>
          </cell>
          <cell r="E433" t="str">
            <v>Cynthia Shindle</v>
          </cell>
          <cell r="F433" t="str">
            <v>Terminated</v>
          </cell>
          <cell r="G433">
            <v>36161</v>
          </cell>
          <cell r="H433">
            <v>0</v>
          </cell>
          <cell r="I433">
            <v>36161</v>
          </cell>
        </row>
        <row r="434">
          <cell r="A434">
            <v>6902</v>
          </cell>
          <cell r="B434" t="str">
            <v>LG&amp;E Power, Inc</v>
          </cell>
          <cell r="C434" t="str">
            <v>BRPU</v>
          </cell>
          <cell r="D434" t="str">
            <v>Wind</v>
          </cell>
          <cell r="E434" t="str">
            <v>Cynthia Shindle</v>
          </cell>
          <cell r="F434" t="str">
            <v>Terminated</v>
          </cell>
          <cell r="G434">
            <v>36161</v>
          </cell>
          <cell r="H434">
            <v>0</v>
          </cell>
          <cell r="I434">
            <v>36161</v>
          </cell>
        </row>
        <row r="435">
          <cell r="A435">
            <v>6913</v>
          </cell>
          <cell r="B435" t="str">
            <v>Zond Systems, Inc.</v>
          </cell>
          <cell r="C435" t="str">
            <v>BRPU</v>
          </cell>
          <cell r="D435" t="str">
            <v>Wind</v>
          </cell>
          <cell r="E435" t="str">
            <v>Cynthia Shindle</v>
          </cell>
          <cell r="F435" t="str">
            <v>Terminated</v>
          </cell>
          <cell r="G435">
            <v>36161</v>
          </cell>
          <cell r="H435">
            <v>0</v>
          </cell>
          <cell r="I435">
            <v>36161</v>
          </cell>
        </row>
        <row r="436">
          <cell r="A436">
            <v>6920</v>
          </cell>
          <cell r="B436" t="str">
            <v>Seawest Energy Corporation</v>
          </cell>
          <cell r="C436" t="str">
            <v>BRPU</v>
          </cell>
          <cell r="D436" t="str">
            <v>Wind</v>
          </cell>
          <cell r="E436" t="str">
            <v>Cynthia Shindle</v>
          </cell>
          <cell r="F436" t="str">
            <v>Terminated</v>
          </cell>
          <cell r="G436">
            <v>36161</v>
          </cell>
          <cell r="H436">
            <v>0</v>
          </cell>
          <cell r="I436">
            <v>36161</v>
          </cell>
        </row>
        <row r="437">
          <cell r="A437">
            <v>6940</v>
          </cell>
          <cell r="B437" t="str">
            <v>Laird Doctor, General Partner for</v>
          </cell>
          <cell r="C437" t="str">
            <v>BRPU</v>
          </cell>
          <cell r="D437" t="str">
            <v>Wind</v>
          </cell>
          <cell r="E437" t="str">
            <v>Cynthia Shindle</v>
          </cell>
          <cell r="F437" t="str">
            <v>Terminated</v>
          </cell>
          <cell r="G437">
            <v>36312</v>
          </cell>
          <cell r="H437">
            <v>30</v>
          </cell>
          <cell r="I437">
            <v>36312</v>
          </cell>
        </row>
        <row r="438">
          <cell r="A438">
            <v>7002</v>
          </cell>
          <cell r="B438" t="str">
            <v>Rocketdyne Non-QF, Santa Susanna</v>
          </cell>
          <cell r="C438" t="str">
            <v>SO1</v>
          </cell>
          <cell r="E438" t="str">
            <v>Cynthia Shindle</v>
          </cell>
          <cell r="F438" t="str">
            <v>Terminated</v>
          </cell>
          <cell r="G438">
            <v>35408</v>
          </cell>
          <cell r="H438">
            <v>1</v>
          </cell>
          <cell r="I438">
            <v>35387</v>
          </cell>
          <cell r="J438">
            <v>35387</v>
          </cell>
          <cell r="K438">
            <v>35894</v>
          </cell>
          <cell r="M438">
            <v>5000</v>
          </cell>
          <cell r="O438">
            <v>5000</v>
          </cell>
          <cell r="Q438">
            <v>5000</v>
          </cell>
          <cell r="R438">
            <v>5000</v>
          </cell>
          <cell r="S438">
            <v>5000</v>
          </cell>
        </row>
      </sheetData>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acy COA SCE BS"/>
      <sheetName val="IS New CoA"/>
      <sheetName val="Rev Lookup"/>
      <sheetName val="Sheet2"/>
      <sheetName val="CARS to FERC Map"/>
      <sheetName val="SAP FERC Accts"/>
      <sheetName val="Sheet1"/>
      <sheetName val="GL Master Data lookup"/>
      <sheetName val="New from Fx Loc"/>
      <sheetName val="Energy Acct"/>
      <sheetName val="Hyp Conversion_0807"/>
      <sheetName val="Leg TBA 1206"/>
      <sheetName val="Trial Bal 0207 0307 1206"/>
    </sheetNames>
    <sheetDataSet>
      <sheetData sheetId="0"/>
      <sheetData sheetId="1"/>
      <sheetData sheetId="2"/>
      <sheetData sheetId="3"/>
      <sheetData sheetId="4">
        <row r="2">
          <cell r="A2">
            <v>101010</v>
          </cell>
          <cell r="B2">
            <v>9101000</v>
          </cell>
        </row>
        <row r="3">
          <cell r="A3">
            <v>101040</v>
          </cell>
          <cell r="B3">
            <v>9101000</v>
          </cell>
        </row>
        <row r="4">
          <cell r="A4">
            <v>101050</v>
          </cell>
          <cell r="B4">
            <v>9101000</v>
          </cell>
        </row>
        <row r="5">
          <cell r="A5">
            <v>101100</v>
          </cell>
          <cell r="B5">
            <v>9101000</v>
          </cell>
        </row>
        <row r="6">
          <cell r="A6">
            <v>101111</v>
          </cell>
          <cell r="B6">
            <v>9101100</v>
          </cell>
        </row>
        <row r="7">
          <cell r="A7">
            <v>101112</v>
          </cell>
          <cell r="B7">
            <v>9101100</v>
          </cell>
        </row>
        <row r="8">
          <cell r="A8">
            <v>101160</v>
          </cell>
          <cell r="B8">
            <v>9101000</v>
          </cell>
        </row>
        <row r="9">
          <cell r="A9">
            <v>101200</v>
          </cell>
          <cell r="B9">
            <v>9101000</v>
          </cell>
        </row>
        <row r="10">
          <cell r="A10">
            <v>101260</v>
          </cell>
          <cell r="B10">
            <v>9101000</v>
          </cell>
        </row>
        <row r="11">
          <cell r="A11">
            <v>101265</v>
          </cell>
          <cell r="B11">
            <v>9101000</v>
          </cell>
        </row>
        <row r="12">
          <cell r="A12">
            <v>101300</v>
          </cell>
          <cell r="B12">
            <v>9101000</v>
          </cell>
        </row>
        <row r="13">
          <cell r="A13">
            <v>101320</v>
          </cell>
          <cell r="B13">
            <v>9101000</v>
          </cell>
        </row>
        <row r="14">
          <cell r="A14">
            <v>101400</v>
          </cell>
          <cell r="B14">
            <v>9101000</v>
          </cell>
        </row>
        <row r="15">
          <cell r="A15">
            <v>101420</v>
          </cell>
          <cell r="B15">
            <v>9101000</v>
          </cell>
        </row>
        <row r="16">
          <cell r="A16">
            <v>101500</v>
          </cell>
          <cell r="B16">
            <v>9101000</v>
          </cell>
        </row>
        <row r="17">
          <cell r="A17">
            <v>101520</v>
          </cell>
          <cell r="B17">
            <v>9101000</v>
          </cell>
        </row>
        <row r="18">
          <cell r="A18">
            <v>101600</v>
          </cell>
          <cell r="B18">
            <v>9101000</v>
          </cell>
        </row>
        <row r="19">
          <cell r="A19">
            <v>101620</v>
          </cell>
          <cell r="B19">
            <v>9101000</v>
          </cell>
        </row>
        <row r="20">
          <cell r="A20">
            <v>101700</v>
          </cell>
          <cell r="B20">
            <v>9101000</v>
          </cell>
        </row>
        <row r="21">
          <cell r="A21">
            <v>101720</v>
          </cell>
          <cell r="B21">
            <v>9101000</v>
          </cell>
        </row>
        <row r="22">
          <cell r="A22">
            <v>105400</v>
          </cell>
          <cell r="B22">
            <v>9105000</v>
          </cell>
        </row>
        <row r="23">
          <cell r="A23">
            <v>106100</v>
          </cell>
          <cell r="B23">
            <v>9106000</v>
          </cell>
        </row>
        <row r="24">
          <cell r="A24">
            <v>106160</v>
          </cell>
          <cell r="B24">
            <v>9106000</v>
          </cell>
        </row>
        <row r="25">
          <cell r="A25">
            <v>106200</v>
          </cell>
          <cell r="B25">
            <v>9106000</v>
          </cell>
        </row>
        <row r="26">
          <cell r="A26">
            <v>106260</v>
          </cell>
          <cell r="B26">
            <v>9106000</v>
          </cell>
        </row>
        <row r="27">
          <cell r="A27">
            <v>106300</v>
          </cell>
          <cell r="B27">
            <v>9106000</v>
          </cell>
        </row>
        <row r="28">
          <cell r="A28">
            <v>106400</v>
          </cell>
          <cell r="B28">
            <v>9106000</v>
          </cell>
        </row>
        <row r="29">
          <cell r="A29">
            <v>106500</v>
          </cell>
          <cell r="B29">
            <v>9106000</v>
          </cell>
        </row>
        <row r="30">
          <cell r="A30">
            <v>106600</v>
          </cell>
          <cell r="B30">
            <v>9106000</v>
          </cell>
        </row>
        <row r="31">
          <cell r="A31">
            <v>106700</v>
          </cell>
          <cell r="B31">
            <v>9106000</v>
          </cell>
        </row>
        <row r="32">
          <cell r="A32">
            <v>107160</v>
          </cell>
          <cell r="B32">
            <v>9107000</v>
          </cell>
        </row>
        <row r="33">
          <cell r="A33">
            <v>107260</v>
          </cell>
          <cell r="B33">
            <v>9107000</v>
          </cell>
        </row>
        <row r="34">
          <cell r="A34">
            <v>107300</v>
          </cell>
          <cell r="B34">
            <v>9107000</v>
          </cell>
        </row>
        <row r="35">
          <cell r="A35">
            <v>107307</v>
          </cell>
          <cell r="B35">
            <v>9107000</v>
          </cell>
        </row>
        <row r="36">
          <cell r="A36">
            <v>107308</v>
          </cell>
          <cell r="B36">
            <v>9107000</v>
          </cell>
        </row>
        <row r="37">
          <cell r="A37">
            <v>107310</v>
          </cell>
          <cell r="B37">
            <v>9107000</v>
          </cell>
        </row>
        <row r="38">
          <cell r="A38">
            <v>107319</v>
          </cell>
          <cell r="B38">
            <v>9107000</v>
          </cell>
        </row>
        <row r="39">
          <cell r="A39">
            <v>107320</v>
          </cell>
          <cell r="B39">
            <v>9107000</v>
          </cell>
        </row>
        <row r="40">
          <cell r="A40">
            <v>107390</v>
          </cell>
          <cell r="B40">
            <v>9107000</v>
          </cell>
        </row>
        <row r="41">
          <cell r="A41">
            <v>107397</v>
          </cell>
          <cell r="B41">
            <v>9107000</v>
          </cell>
        </row>
        <row r="42">
          <cell r="A42">
            <v>107550</v>
          </cell>
          <cell r="B42">
            <v>9107000</v>
          </cell>
        </row>
        <row r="43">
          <cell r="A43">
            <v>107551</v>
          </cell>
          <cell r="B43">
            <v>9107000</v>
          </cell>
        </row>
        <row r="44">
          <cell r="A44">
            <v>107552</v>
          </cell>
          <cell r="B44">
            <v>9107000</v>
          </cell>
        </row>
        <row r="45">
          <cell r="A45">
            <v>108100</v>
          </cell>
          <cell r="B45">
            <v>9108000</v>
          </cell>
        </row>
        <row r="46">
          <cell r="A46">
            <v>108105</v>
          </cell>
          <cell r="B46">
            <v>9108000</v>
          </cell>
        </row>
        <row r="47">
          <cell r="A47">
            <v>108120</v>
          </cell>
          <cell r="B47">
            <v>9108000</v>
          </cell>
        </row>
        <row r="48">
          <cell r="A48">
            <v>108121</v>
          </cell>
          <cell r="B48">
            <v>9108000</v>
          </cell>
        </row>
        <row r="49">
          <cell r="A49">
            <v>108160</v>
          </cell>
          <cell r="B49">
            <v>9108000</v>
          </cell>
        </row>
        <row r="50">
          <cell r="A50">
            <v>108200</v>
          </cell>
          <cell r="B50">
            <v>9108000</v>
          </cell>
        </row>
        <row r="51">
          <cell r="A51">
            <v>108202</v>
          </cell>
          <cell r="B51">
            <v>9108000</v>
          </cell>
        </row>
        <row r="52">
          <cell r="A52">
            <v>108203</v>
          </cell>
          <cell r="B52">
            <v>9108000</v>
          </cell>
        </row>
        <row r="53">
          <cell r="A53">
            <v>108204</v>
          </cell>
          <cell r="B53">
            <v>9108000</v>
          </cell>
        </row>
        <row r="54">
          <cell r="A54">
            <v>108205</v>
          </cell>
          <cell r="B54">
            <v>9108000</v>
          </cell>
        </row>
        <row r="55">
          <cell r="A55">
            <v>108206</v>
          </cell>
          <cell r="B55">
            <v>9108000</v>
          </cell>
        </row>
        <row r="56">
          <cell r="A56">
            <v>108208</v>
          </cell>
          <cell r="B56">
            <v>9108000</v>
          </cell>
        </row>
        <row r="57">
          <cell r="A57">
            <v>108209</v>
          </cell>
          <cell r="B57">
            <v>9108000</v>
          </cell>
        </row>
        <row r="58">
          <cell r="A58">
            <v>108210</v>
          </cell>
          <cell r="B58">
            <v>9108000</v>
          </cell>
        </row>
        <row r="59">
          <cell r="A59">
            <v>108211</v>
          </cell>
          <cell r="B59">
            <v>9108000</v>
          </cell>
        </row>
        <row r="60">
          <cell r="A60">
            <v>108212</v>
          </cell>
          <cell r="B60">
            <v>9108000</v>
          </cell>
        </row>
        <row r="61">
          <cell r="A61">
            <v>108228</v>
          </cell>
          <cell r="B61">
            <v>9108000</v>
          </cell>
        </row>
        <row r="62">
          <cell r="A62">
            <v>108230</v>
          </cell>
          <cell r="B62">
            <v>9108000</v>
          </cell>
        </row>
        <row r="63">
          <cell r="A63">
            <v>108240</v>
          </cell>
          <cell r="B63">
            <v>9108000</v>
          </cell>
        </row>
        <row r="64">
          <cell r="A64">
            <v>108260</v>
          </cell>
          <cell r="B64">
            <v>9108000</v>
          </cell>
        </row>
        <row r="65">
          <cell r="A65">
            <v>108300</v>
          </cell>
          <cell r="B65">
            <v>9108000</v>
          </cell>
        </row>
        <row r="66">
          <cell r="A66">
            <v>108320</v>
          </cell>
          <cell r="B66">
            <v>9108000</v>
          </cell>
        </row>
        <row r="67">
          <cell r="A67">
            <v>108321</v>
          </cell>
          <cell r="B67">
            <v>9108000</v>
          </cell>
        </row>
        <row r="68">
          <cell r="A68">
            <v>108400</v>
          </cell>
          <cell r="B68">
            <v>9108000</v>
          </cell>
        </row>
        <row r="69">
          <cell r="A69">
            <v>108420</v>
          </cell>
          <cell r="B69">
            <v>9108000</v>
          </cell>
        </row>
        <row r="70">
          <cell r="A70">
            <v>108421</v>
          </cell>
          <cell r="B70">
            <v>9108000</v>
          </cell>
        </row>
        <row r="71">
          <cell r="A71">
            <v>108500</v>
          </cell>
          <cell r="B71">
            <v>9108000</v>
          </cell>
        </row>
        <row r="72">
          <cell r="A72">
            <v>108520</v>
          </cell>
          <cell r="B72">
            <v>9108000</v>
          </cell>
        </row>
        <row r="73">
          <cell r="A73">
            <v>108521</v>
          </cell>
          <cell r="B73">
            <v>9108000</v>
          </cell>
        </row>
        <row r="74">
          <cell r="A74">
            <v>108600</v>
          </cell>
          <cell r="B74">
            <v>9108000</v>
          </cell>
        </row>
        <row r="75">
          <cell r="A75">
            <v>108620</v>
          </cell>
          <cell r="B75">
            <v>9108000</v>
          </cell>
        </row>
        <row r="76">
          <cell r="A76">
            <v>108621</v>
          </cell>
          <cell r="B76">
            <v>9108000</v>
          </cell>
        </row>
        <row r="77">
          <cell r="A77">
            <v>108700</v>
          </cell>
          <cell r="B77">
            <v>9108000</v>
          </cell>
        </row>
        <row r="78">
          <cell r="A78">
            <v>108701</v>
          </cell>
          <cell r="B78">
            <v>9108000</v>
          </cell>
        </row>
        <row r="79">
          <cell r="A79">
            <v>108720</v>
          </cell>
          <cell r="B79">
            <v>9108000</v>
          </cell>
        </row>
        <row r="80">
          <cell r="A80">
            <v>108721</v>
          </cell>
          <cell r="B80">
            <v>9108000</v>
          </cell>
        </row>
        <row r="81">
          <cell r="A81">
            <v>108800</v>
          </cell>
          <cell r="B81">
            <v>9108000</v>
          </cell>
        </row>
        <row r="82">
          <cell r="A82">
            <v>108900</v>
          </cell>
          <cell r="B82">
            <v>9108000</v>
          </cell>
        </row>
        <row r="83">
          <cell r="A83">
            <v>111030</v>
          </cell>
          <cell r="B83">
            <v>9111000</v>
          </cell>
        </row>
        <row r="84">
          <cell r="A84">
            <v>111105</v>
          </cell>
          <cell r="B84">
            <v>9111000</v>
          </cell>
        </row>
        <row r="85">
          <cell r="A85">
            <v>111210</v>
          </cell>
          <cell r="B85">
            <v>9111000</v>
          </cell>
        </row>
        <row r="86">
          <cell r="A86">
            <v>111220</v>
          </cell>
          <cell r="B86">
            <v>9111000</v>
          </cell>
        </row>
        <row r="87">
          <cell r="A87">
            <v>111260</v>
          </cell>
          <cell r="B87">
            <v>9111000</v>
          </cell>
        </row>
        <row r="88">
          <cell r="A88">
            <v>111315</v>
          </cell>
          <cell r="B88">
            <v>9111000</v>
          </cell>
        </row>
        <row r="89">
          <cell r="A89">
            <v>111640</v>
          </cell>
          <cell r="B89">
            <v>9111000</v>
          </cell>
        </row>
        <row r="90">
          <cell r="A90">
            <v>111707</v>
          </cell>
          <cell r="B90">
            <v>9111000</v>
          </cell>
        </row>
        <row r="91">
          <cell r="A91">
            <v>118100</v>
          </cell>
          <cell r="B91">
            <v>9118000</v>
          </cell>
        </row>
        <row r="92">
          <cell r="A92">
            <v>118200</v>
          </cell>
          <cell r="B92">
            <v>9118000</v>
          </cell>
        </row>
        <row r="93">
          <cell r="A93">
            <v>118300</v>
          </cell>
          <cell r="B93">
            <v>9118000</v>
          </cell>
        </row>
        <row r="94">
          <cell r="A94">
            <v>119100</v>
          </cell>
          <cell r="B94">
            <v>9119000</v>
          </cell>
        </row>
        <row r="95">
          <cell r="A95">
            <v>119200</v>
          </cell>
          <cell r="B95">
            <v>9119000</v>
          </cell>
        </row>
        <row r="96">
          <cell r="A96">
            <v>119300</v>
          </cell>
          <cell r="B96">
            <v>9119000</v>
          </cell>
        </row>
        <row r="97">
          <cell r="A97">
            <v>119400</v>
          </cell>
          <cell r="B97">
            <v>9119000</v>
          </cell>
        </row>
        <row r="98">
          <cell r="A98">
            <v>119950</v>
          </cell>
          <cell r="B98">
            <v>9119000</v>
          </cell>
        </row>
        <row r="99">
          <cell r="A99">
            <v>119951</v>
          </cell>
          <cell r="B99">
            <v>9119000</v>
          </cell>
        </row>
        <row r="100">
          <cell r="A100">
            <v>120101</v>
          </cell>
          <cell r="B100">
            <v>9120100</v>
          </cell>
        </row>
        <row r="101">
          <cell r="A101">
            <v>120102</v>
          </cell>
          <cell r="B101">
            <v>9120100</v>
          </cell>
        </row>
        <row r="102">
          <cell r="A102">
            <v>120103</v>
          </cell>
          <cell r="B102">
            <v>9120100</v>
          </cell>
        </row>
        <row r="103">
          <cell r="A103">
            <v>120110</v>
          </cell>
          <cell r="B103">
            <v>9120100</v>
          </cell>
        </row>
        <row r="104">
          <cell r="A104">
            <v>120202</v>
          </cell>
          <cell r="B104">
            <v>9120200</v>
          </cell>
        </row>
        <row r="105">
          <cell r="A105">
            <v>120203</v>
          </cell>
          <cell r="B105">
            <v>9120200</v>
          </cell>
        </row>
        <row r="106">
          <cell r="A106">
            <v>120210</v>
          </cell>
          <cell r="B106">
            <v>9120200</v>
          </cell>
        </row>
        <row r="107">
          <cell r="A107">
            <v>120230</v>
          </cell>
          <cell r="B107">
            <v>9120200</v>
          </cell>
        </row>
        <row r="108">
          <cell r="A108">
            <v>120302</v>
          </cell>
          <cell r="B108">
            <v>9120300</v>
          </cell>
        </row>
        <row r="109">
          <cell r="A109">
            <v>120303</v>
          </cell>
          <cell r="B109">
            <v>9120300</v>
          </cell>
        </row>
        <row r="110">
          <cell r="A110">
            <v>120310</v>
          </cell>
          <cell r="B110">
            <v>9120300</v>
          </cell>
        </row>
        <row r="111">
          <cell r="A111">
            <v>120320</v>
          </cell>
          <cell r="B111">
            <v>9120300</v>
          </cell>
        </row>
        <row r="112">
          <cell r="A112">
            <v>120330</v>
          </cell>
          <cell r="B112">
            <v>9120300</v>
          </cell>
        </row>
        <row r="113">
          <cell r="A113">
            <v>120502</v>
          </cell>
          <cell r="B113">
            <v>9120500</v>
          </cell>
        </row>
        <row r="114">
          <cell r="A114">
            <v>120503</v>
          </cell>
          <cell r="B114">
            <v>9120500</v>
          </cell>
        </row>
        <row r="115">
          <cell r="A115">
            <v>120510</v>
          </cell>
          <cell r="B115">
            <v>9120500</v>
          </cell>
        </row>
        <row r="116">
          <cell r="A116">
            <v>120520</v>
          </cell>
          <cell r="B116">
            <v>9120500</v>
          </cell>
        </row>
        <row r="117">
          <cell r="A117">
            <v>120530</v>
          </cell>
          <cell r="B117">
            <v>9120500</v>
          </cell>
        </row>
        <row r="118">
          <cell r="A118">
            <v>121100</v>
          </cell>
          <cell r="B118">
            <v>9121000</v>
          </cell>
        </row>
        <row r="119">
          <cell r="A119">
            <v>121300</v>
          </cell>
          <cell r="B119">
            <v>9121000</v>
          </cell>
        </row>
        <row r="120">
          <cell r="A120">
            <v>121397</v>
          </cell>
          <cell r="B120">
            <v>9121000</v>
          </cell>
        </row>
        <row r="121">
          <cell r="A121">
            <v>121400</v>
          </cell>
          <cell r="B121">
            <v>9121000</v>
          </cell>
        </row>
        <row r="122">
          <cell r="A122">
            <v>121450</v>
          </cell>
          <cell r="B122">
            <v>9121000</v>
          </cell>
        </row>
        <row r="123">
          <cell r="A123">
            <v>121650</v>
          </cell>
          <cell r="B123">
            <v>9121000</v>
          </cell>
        </row>
        <row r="124">
          <cell r="A124">
            <v>122100</v>
          </cell>
          <cell r="B124">
            <v>9122000</v>
          </cell>
        </row>
        <row r="125">
          <cell r="A125">
            <v>122300</v>
          </cell>
          <cell r="B125">
            <v>9122000</v>
          </cell>
        </row>
        <row r="126">
          <cell r="A126">
            <v>122397</v>
          </cell>
          <cell r="B126">
            <v>9122000</v>
          </cell>
        </row>
        <row r="127">
          <cell r="A127">
            <v>122400</v>
          </cell>
          <cell r="B127">
            <v>9122000</v>
          </cell>
        </row>
        <row r="128">
          <cell r="A128">
            <v>122650</v>
          </cell>
          <cell r="B128">
            <v>9122000</v>
          </cell>
        </row>
        <row r="129">
          <cell r="A129">
            <v>122900</v>
          </cell>
          <cell r="B129">
            <v>9122000</v>
          </cell>
        </row>
        <row r="130">
          <cell r="A130">
            <v>123130</v>
          </cell>
          <cell r="B130">
            <v>9123100</v>
          </cell>
        </row>
        <row r="131">
          <cell r="A131">
            <v>123135</v>
          </cell>
          <cell r="B131">
            <v>9123100</v>
          </cell>
        </row>
        <row r="132">
          <cell r="A132">
            <v>123140</v>
          </cell>
          <cell r="B132">
            <v>9123100</v>
          </cell>
        </row>
        <row r="133">
          <cell r="A133">
            <v>123150</v>
          </cell>
          <cell r="B133">
            <v>9123100</v>
          </cell>
        </row>
        <row r="134">
          <cell r="A134">
            <v>123160</v>
          </cell>
          <cell r="B134">
            <v>9123100</v>
          </cell>
        </row>
        <row r="135">
          <cell r="A135">
            <v>123180</v>
          </cell>
          <cell r="B135">
            <v>9123100</v>
          </cell>
        </row>
        <row r="136">
          <cell r="A136">
            <v>123190</v>
          </cell>
          <cell r="B136">
            <v>9123100</v>
          </cell>
        </row>
        <row r="137">
          <cell r="A137">
            <v>123300</v>
          </cell>
          <cell r="B137">
            <v>9123100</v>
          </cell>
        </row>
        <row r="138">
          <cell r="A138">
            <v>124100</v>
          </cell>
          <cell r="B138">
            <v>9124000</v>
          </cell>
        </row>
        <row r="139">
          <cell r="A139">
            <v>124500</v>
          </cell>
          <cell r="B139">
            <v>9124000</v>
          </cell>
        </row>
        <row r="140">
          <cell r="A140">
            <v>124501</v>
          </cell>
          <cell r="B140">
            <v>9124000</v>
          </cell>
        </row>
        <row r="141">
          <cell r="A141">
            <v>125200</v>
          </cell>
          <cell r="B141">
            <v>9124000</v>
          </cell>
        </row>
        <row r="142">
          <cell r="A142">
            <v>125300</v>
          </cell>
          <cell r="B142">
            <v>9124000</v>
          </cell>
        </row>
        <row r="143">
          <cell r="A143">
            <v>128100</v>
          </cell>
          <cell r="B143">
            <v>9128000</v>
          </cell>
        </row>
        <row r="144">
          <cell r="A144">
            <v>128201</v>
          </cell>
          <cell r="B144">
            <v>9128000</v>
          </cell>
        </row>
        <row r="145">
          <cell r="A145">
            <v>128202</v>
          </cell>
          <cell r="B145">
            <v>9128000</v>
          </cell>
        </row>
        <row r="146">
          <cell r="A146">
            <v>128203</v>
          </cell>
          <cell r="B146">
            <v>9128000</v>
          </cell>
        </row>
        <row r="147">
          <cell r="A147">
            <v>128204</v>
          </cell>
          <cell r="B147">
            <v>9128000</v>
          </cell>
        </row>
        <row r="148">
          <cell r="A148">
            <v>128205</v>
          </cell>
          <cell r="B148">
            <v>9128000</v>
          </cell>
        </row>
        <row r="149">
          <cell r="A149">
            <v>128206</v>
          </cell>
          <cell r="B149">
            <v>9128000</v>
          </cell>
        </row>
        <row r="150">
          <cell r="A150">
            <v>128207</v>
          </cell>
          <cell r="B150">
            <v>9128000</v>
          </cell>
        </row>
        <row r="151">
          <cell r="A151">
            <v>128208</v>
          </cell>
          <cell r="B151">
            <v>9128000</v>
          </cell>
        </row>
        <row r="152">
          <cell r="A152">
            <v>128209</v>
          </cell>
          <cell r="B152">
            <v>9128000</v>
          </cell>
        </row>
        <row r="153">
          <cell r="A153">
            <v>128210</v>
          </cell>
          <cell r="B153">
            <v>9128000</v>
          </cell>
        </row>
        <row r="154">
          <cell r="A154">
            <v>128211</v>
          </cell>
          <cell r="B154">
            <v>9128000</v>
          </cell>
        </row>
        <row r="155">
          <cell r="A155">
            <v>128230</v>
          </cell>
          <cell r="B155">
            <v>9128000</v>
          </cell>
        </row>
        <row r="156">
          <cell r="A156">
            <v>128250</v>
          </cell>
          <cell r="B156">
            <v>9128000</v>
          </cell>
        </row>
        <row r="157">
          <cell r="A157">
            <v>128251</v>
          </cell>
          <cell r="B157">
            <v>9128000</v>
          </cell>
        </row>
        <row r="158">
          <cell r="A158">
            <v>128300</v>
          </cell>
          <cell r="B158">
            <v>9128000</v>
          </cell>
        </row>
        <row r="159">
          <cell r="A159">
            <v>128310</v>
          </cell>
          <cell r="B159">
            <v>9128000</v>
          </cell>
        </row>
        <row r="160">
          <cell r="A160">
            <v>128345</v>
          </cell>
          <cell r="B160">
            <v>9128000</v>
          </cell>
        </row>
        <row r="161">
          <cell r="A161">
            <v>128350</v>
          </cell>
          <cell r="B161">
            <v>9128000</v>
          </cell>
        </row>
        <row r="162">
          <cell r="A162">
            <v>128365</v>
          </cell>
          <cell r="B162">
            <v>9128000</v>
          </cell>
        </row>
        <row r="163">
          <cell r="A163">
            <v>128370</v>
          </cell>
          <cell r="B163">
            <v>9128000</v>
          </cell>
        </row>
        <row r="164">
          <cell r="A164">
            <v>128380</v>
          </cell>
          <cell r="B164">
            <v>9128000</v>
          </cell>
        </row>
        <row r="165">
          <cell r="A165">
            <v>128385</v>
          </cell>
          <cell r="B165">
            <v>9128000</v>
          </cell>
        </row>
        <row r="166">
          <cell r="A166">
            <v>128500</v>
          </cell>
          <cell r="B166">
            <v>9128000</v>
          </cell>
        </row>
        <row r="167">
          <cell r="A167">
            <v>128700</v>
          </cell>
          <cell r="B167">
            <v>9128000</v>
          </cell>
        </row>
        <row r="168">
          <cell r="A168">
            <v>128701</v>
          </cell>
          <cell r="B168">
            <v>9128000</v>
          </cell>
        </row>
        <row r="169">
          <cell r="A169">
            <v>128702</v>
          </cell>
          <cell r="B169">
            <v>9128000</v>
          </cell>
        </row>
        <row r="170">
          <cell r="A170">
            <v>128703</v>
          </cell>
          <cell r="B170">
            <v>9128000</v>
          </cell>
        </row>
        <row r="171">
          <cell r="A171">
            <v>128704</v>
          </cell>
          <cell r="B171">
            <v>9128000</v>
          </cell>
        </row>
        <row r="172">
          <cell r="A172">
            <v>128705</v>
          </cell>
          <cell r="B172">
            <v>9128000</v>
          </cell>
        </row>
        <row r="173">
          <cell r="A173">
            <v>128706</v>
          </cell>
          <cell r="B173">
            <v>9128000</v>
          </cell>
        </row>
        <row r="174">
          <cell r="A174">
            <v>128710</v>
          </cell>
          <cell r="B174">
            <v>9128000</v>
          </cell>
        </row>
        <row r="175">
          <cell r="A175">
            <v>128711</v>
          </cell>
          <cell r="B175">
            <v>9128000</v>
          </cell>
        </row>
        <row r="176">
          <cell r="A176">
            <v>128712</v>
          </cell>
          <cell r="B176">
            <v>9128000</v>
          </cell>
        </row>
        <row r="177">
          <cell r="A177">
            <v>128713</v>
          </cell>
          <cell r="B177">
            <v>9128000</v>
          </cell>
        </row>
        <row r="178">
          <cell r="A178">
            <v>128714</v>
          </cell>
          <cell r="B178">
            <v>9128000</v>
          </cell>
        </row>
        <row r="179">
          <cell r="A179">
            <v>128715</v>
          </cell>
          <cell r="B179">
            <v>9128000</v>
          </cell>
        </row>
        <row r="180">
          <cell r="A180">
            <v>128716</v>
          </cell>
          <cell r="B180">
            <v>9128000</v>
          </cell>
        </row>
        <row r="181">
          <cell r="A181">
            <v>128724</v>
          </cell>
          <cell r="B181">
            <v>9128000</v>
          </cell>
        </row>
        <row r="182">
          <cell r="A182">
            <v>128727</v>
          </cell>
          <cell r="B182">
            <v>9128000</v>
          </cell>
        </row>
        <row r="183">
          <cell r="A183">
            <v>128728</v>
          </cell>
          <cell r="B183">
            <v>9128000</v>
          </cell>
        </row>
        <row r="184">
          <cell r="A184">
            <v>128730</v>
          </cell>
          <cell r="B184">
            <v>9128000</v>
          </cell>
        </row>
        <row r="185">
          <cell r="A185">
            <v>128820</v>
          </cell>
          <cell r="B185">
            <v>9128000</v>
          </cell>
        </row>
        <row r="186">
          <cell r="A186">
            <v>128821</v>
          </cell>
          <cell r="B186">
            <v>9128000</v>
          </cell>
        </row>
        <row r="187">
          <cell r="A187">
            <v>128822</v>
          </cell>
          <cell r="B187">
            <v>9128000</v>
          </cell>
        </row>
        <row r="188">
          <cell r="A188">
            <v>128823</v>
          </cell>
          <cell r="B188">
            <v>9128000</v>
          </cell>
        </row>
        <row r="189">
          <cell r="A189">
            <v>131020</v>
          </cell>
          <cell r="B189">
            <v>9131000</v>
          </cell>
        </row>
        <row r="190">
          <cell r="A190">
            <v>131021</v>
          </cell>
          <cell r="B190">
            <v>9131000</v>
          </cell>
        </row>
        <row r="191">
          <cell r="A191">
            <v>131022</v>
          </cell>
          <cell r="B191">
            <v>9131000</v>
          </cell>
        </row>
        <row r="192">
          <cell r="A192">
            <v>131023</v>
          </cell>
          <cell r="B192">
            <v>9131000</v>
          </cell>
        </row>
        <row r="193">
          <cell r="A193">
            <v>131025</v>
          </cell>
          <cell r="B193">
            <v>9131000</v>
          </cell>
        </row>
        <row r="194">
          <cell r="A194">
            <v>131026</v>
          </cell>
          <cell r="B194">
            <v>9131000</v>
          </cell>
        </row>
        <row r="195">
          <cell r="A195">
            <v>131030</v>
          </cell>
          <cell r="B195">
            <v>9131000</v>
          </cell>
        </row>
        <row r="196">
          <cell r="A196">
            <v>131031</v>
          </cell>
          <cell r="B196">
            <v>9131000</v>
          </cell>
        </row>
        <row r="197">
          <cell r="A197">
            <v>131032</v>
          </cell>
          <cell r="B197">
            <v>9131000</v>
          </cell>
        </row>
        <row r="198">
          <cell r="A198">
            <v>131033</v>
          </cell>
          <cell r="B198">
            <v>9131000</v>
          </cell>
        </row>
        <row r="199">
          <cell r="A199">
            <v>131034</v>
          </cell>
          <cell r="B199">
            <v>9131000</v>
          </cell>
        </row>
        <row r="200">
          <cell r="A200">
            <v>131035</v>
          </cell>
          <cell r="B200">
            <v>9131000</v>
          </cell>
        </row>
        <row r="201">
          <cell r="A201">
            <v>131036</v>
          </cell>
          <cell r="B201">
            <v>9131000</v>
          </cell>
        </row>
        <row r="202">
          <cell r="A202">
            <v>131041</v>
          </cell>
          <cell r="B202">
            <v>9131000</v>
          </cell>
        </row>
        <row r="203">
          <cell r="A203">
            <v>131050</v>
          </cell>
          <cell r="B203">
            <v>9131000</v>
          </cell>
        </row>
        <row r="204">
          <cell r="A204">
            <v>131051</v>
          </cell>
          <cell r="B204">
            <v>9131000</v>
          </cell>
        </row>
        <row r="205">
          <cell r="A205">
            <v>131052</v>
          </cell>
          <cell r="B205">
            <v>9131000</v>
          </cell>
        </row>
        <row r="206">
          <cell r="A206">
            <v>131053</v>
          </cell>
          <cell r="B206">
            <v>9131000</v>
          </cell>
        </row>
        <row r="207">
          <cell r="A207">
            <v>131054</v>
          </cell>
          <cell r="B207">
            <v>9131000</v>
          </cell>
        </row>
        <row r="208">
          <cell r="A208">
            <v>131055</v>
          </cell>
          <cell r="B208">
            <v>9131000</v>
          </cell>
        </row>
        <row r="209">
          <cell r="A209">
            <v>131056</v>
          </cell>
          <cell r="B209">
            <v>9131000</v>
          </cell>
        </row>
        <row r="210">
          <cell r="A210">
            <v>131060</v>
          </cell>
          <cell r="B210">
            <v>9131000</v>
          </cell>
        </row>
        <row r="211">
          <cell r="A211">
            <v>131061</v>
          </cell>
          <cell r="B211">
            <v>9131000</v>
          </cell>
        </row>
        <row r="212">
          <cell r="A212">
            <v>131062</v>
          </cell>
          <cell r="B212">
            <v>9131000</v>
          </cell>
        </row>
        <row r="213">
          <cell r="A213">
            <v>131063</v>
          </cell>
          <cell r="B213">
            <v>9131000</v>
          </cell>
        </row>
        <row r="214">
          <cell r="A214">
            <v>131064</v>
          </cell>
          <cell r="B214">
            <v>9131000</v>
          </cell>
        </row>
        <row r="215">
          <cell r="A215">
            <v>131065</v>
          </cell>
          <cell r="B215">
            <v>9131000</v>
          </cell>
        </row>
        <row r="216">
          <cell r="A216">
            <v>131070</v>
          </cell>
          <cell r="B216">
            <v>9131000</v>
          </cell>
        </row>
        <row r="217">
          <cell r="A217">
            <v>131072</v>
          </cell>
          <cell r="B217">
            <v>9131000</v>
          </cell>
        </row>
        <row r="218">
          <cell r="A218">
            <v>131080</v>
          </cell>
          <cell r="B218">
            <v>9131000</v>
          </cell>
        </row>
        <row r="219">
          <cell r="A219">
            <v>131081</v>
          </cell>
          <cell r="B219">
            <v>9131000</v>
          </cell>
        </row>
        <row r="220">
          <cell r="A220">
            <v>131082</v>
          </cell>
          <cell r="B220">
            <v>9131000</v>
          </cell>
        </row>
        <row r="221">
          <cell r="A221">
            <v>131083</v>
          </cell>
          <cell r="B221">
            <v>9131000</v>
          </cell>
        </row>
        <row r="222">
          <cell r="A222">
            <v>131084</v>
          </cell>
          <cell r="B222">
            <v>9131000</v>
          </cell>
        </row>
        <row r="223">
          <cell r="A223">
            <v>131085</v>
          </cell>
          <cell r="B223">
            <v>9131000</v>
          </cell>
        </row>
        <row r="224">
          <cell r="A224">
            <v>131099</v>
          </cell>
          <cell r="B224">
            <v>9131000</v>
          </cell>
        </row>
        <row r="225">
          <cell r="A225">
            <v>131100</v>
          </cell>
          <cell r="B225">
            <v>9131000</v>
          </cell>
        </row>
        <row r="226">
          <cell r="A226">
            <v>131110</v>
          </cell>
          <cell r="B226">
            <v>9131000</v>
          </cell>
        </row>
        <row r="227">
          <cell r="A227">
            <v>135100</v>
          </cell>
          <cell r="B227">
            <v>9135000</v>
          </cell>
        </row>
        <row r="228">
          <cell r="A228">
            <v>135450</v>
          </cell>
          <cell r="B228">
            <v>9135000</v>
          </cell>
        </row>
        <row r="229">
          <cell r="A229">
            <v>136010</v>
          </cell>
          <cell r="B229">
            <v>9136000</v>
          </cell>
        </row>
        <row r="230">
          <cell r="A230">
            <v>136011</v>
          </cell>
          <cell r="B230">
            <v>9136000</v>
          </cell>
        </row>
        <row r="231">
          <cell r="A231">
            <v>141100</v>
          </cell>
          <cell r="B231">
            <v>9141000</v>
          </cell>
        </row>
        <row r="232">
          <cell r="A232">
            <v>141130</v>
          </cell>
          <cell r="B232">
            <v>9141000</v>
          </cell>
        </row>
        <row r="233">
          <cell r="A233">
            <v>141140</v>
          </cell>
          <cell r="B233">
            <v>9141000</v>
          </cell>
        </row>
        <row r="234">
          <cell r="A234">
            <v>142110</v>
          </cell>
          <cell r="B234">
            <v>9142000</v>
          </cell>
        </row>
        <row r="235">
          <cell r="A235">
            <v>142112</v>
          </cell>
          <cell r="B235">
            <v>9142000</v>
          </cell>
        </row>
        <row r="236">
          <cell r="A236">
            <v>142115</v>
          </cell>
          <cell r="B236">
            <v>9142000</v>
          </cell>
        </row>
        <row r="237">
          <cell r="A237">
            <v>142130</v>
          </cell>
          <cell r="B237">
            <v>9142000</v>
          </cell>
        </row>
        <row r="238">
          <cell r="A238">
            <v>142140</v>
          </cell>
          <cell r="B238">
            <v>9142000</v>
          </cell>
        </row>
        <row r="239">
          <cell r="A239">
            <v>142210</v>
          </cell>
          <cell r="B239">
            <v>9142000</v>
          </cell>
        </row>
        <row r="240">
          <cell r="A240">
            <v>142211</v>
          </cell>
          <cell r="B240">
            <v>9142000</v>
          </cell>
        </row>
        <row r="241">
          <cell r="A241">
            <v>142220</v>
          </cell>
          <cell r="B241">
            <v>9142000</v>
          </cell>
        </row>
        <row r="242">
          <cell r="A242">
            <v>142550</v>
          </cell>
          <cell r="B242">
            <v>9142000</v>
          </cell>
        </row>
        <row r="243">
          <cell r="A243">
            <v>142700</v>
          </cell>
          <cell r="B243">
            <v>9142000</v>
          </cell>
        </row>
        <row r="244">
          <cell r="A244">
            <v>142701</v>
          </cell>
          <cell r="B244">
            <v>9142000</v>
          </cell>
        </row>
        <row r="245">
          <cell r="A245">
            <v>142714</v>
          </cell>
          <cell r="B245">
            <v>9142000</v>
          </cell>
        </row>
        <row r="246">
          <cell r="A246">
            <v>142720</v>
          </cell>
          <cell r="B246">
            <v>9142000</v>
          </cell>
        </row>
        <row r="247">
          <cell r="A247">
            <v>142721</v>
          </cell>
          <cell r="B247">
            <v>9142000</v>
          </cell>
        </row>
        <row r="248">
          <cell r="A248">
            <v>142722</v>
          </cell>
          <cell r="B248">
            <v>9142000</v>
          </cell>
        </row>
        <row r="249">
          <cell r="A249">
            <v>143030</v>
          </cell>
          <cell r="B249">
            <v>9143000</v>
          </cell>
        </row>
        <row r="250">
          <cell r="A250">
            <v>143035</v>
          </cell>
          <cell r="B250">
            <v>9143000</v>
          </cell>
        </row>
        <row r="251">
          <cell r="A251">
            <v>143040</v>
          </cell>
          <cell r="B251">
            <v>9143000</v>
          </cell>
        </row>
        <row r="252">
          <cell r="A252">
            <v>143050</v>
          </cell>
          <cell r="B252">
            <v>9143000</v>
          </cell>
        </row>
        <row r="253">
          <cell r="A253">
            <v>143100</v>
          </cell>
          <cell r="B253">
            <v>9143000</v>
          </cell>
        </row>
        <row r="254">
          <cell r="A254">
            <v>143105</v>
          </cell>
          <cell r="B254">
            <v>9143000</v>
          </cell>
        </row>
        <row r="255">
          <cell r="A255">
            <v>143110</v>
          </cell>
          <cell r="B255">
            <v>9143000</v>
          </cell>
        </row>
        <row r="256">
          <cell r="A256">
            <v>143120</v>
          </cell>
          <cell r="B256">
            <v>9143000</v>
          </cell>
        </row>
        <row r="257">
          <cell r="A257">
            <v>143122</v>
          </cell>
          <cell r="B257">
            <v>9143000</v>
          </cell>
        </row>
        <row r="258">
          <cell r="A258">
            <v>143125</v>
          </cell>
          <cell r="B258">
            <v>9143000</v>
          </cell>
        </row>
        <row r="259">
          <cell r="A259">
            <v>143130</v>
          </cell>
          <cell r="B259">
            <v>9143000</v>
          </cell>
        </row>
        <row r="260">
          <cell r="A260">
            <v>143135</v>
          </cell>
          <cell r="B260">
            <v>9143000</v>
          </cell>
        </row>
        <row r="261">
          <cell r="A261">
            <v>143140</v>
          </cell>
          <cell r="B261">
            <v>9143000</v>
          </cell>
        </row>
        <row r="262">
          <cell r="A262">
            <v>143141</v>
          </cell>
          <cell r="B262">
            <v>9143000</v>
          </cell>
        </row>
        <row r="263">
          <cell r="A263">
            <v>143142</v>
          </cell>
          <cell r="B263">
            <v>9143000</v>
          </cell>
        </row>
        <row r="264">
          <cell r="A264">
            <v>143190</v>
          </cell>
          <cell r="B264">
            <v>9143000</v>
          </cell>
        </row>
        <row r="265">
          <cell r="A265">
            <v>143200</v>
          </cell>
          <cell r="B265">
            <v>9143000</v>
          </cell>
        </row>
        <row r="266">
          <cell r="A266">
            <v>143210</v>
          </cell>
          <cell r="B266">
            <v>9143000</v>
          </cell>
        </row>
        <row r="267">
          <cell r="A267">
            <v>143211</v>
          </cell>
          <cell r="B267">
            <v>9143000</v>
          </cell>
        </row>
        <row r="268">
          <cell r="A268">
            <v>143212</v>
          </cell>
          <cell r="B268">
            <v>9143000</v>
          </cell>
        </row>
        <row r="269">
          <cell r="A269">
            <v>143213</v>
          </cell>
          <cell r="B269">
            <v>9143000</v>
          </cell>
        </row>
        <row r="270">
          <cell r="A270">
            <v>143219</v>
          </cell>
          <cell r="B270">
            <v>9143000</v>
          </cell>
        </row>
        <row r="271">
          <cell r="A271">
            <v>143220</v>
          </cell>
          <cell r="B271">
            <v>9143000</v>
          </cell>
        </row>
        <row r="272">
          <cell r="A272">
            <v>143230</v>
          </cell>
          <cell r="B272">
            <v>9143000</v>
          </cell>
        </row>
        <row r="273">
          <cell r="A273">
            <v>143235</v>
          </cell>
          <cell r="B273">
            <v>9143000</v>
          </cell>
        </row>
        <row r="274">
          <cell r="A274">
            <v>143236</v>
          </cell>
          <cell r="B274">
            <v>9143000</v>
          </cell>
        </row>
        <row r="275">
          <cell r="A275">
            <v>143237</v>
          </cell>
          <cell r="B275">
            <v>9143000</v>
          </cell>
        </row>
        <row r="276">
          <cell r="A276">
            <v>143240</v>
          </cell>
          <cell r="B276">
            <v>9143000</v>
          </cell>
        </row>
        <row r="277">
          <cell r="A277">
            <v>143250</v>
          </cell>
          <cell r="B277">
            <v>9143000</v>
          </cell>
        </row>
        <row r="278">
          <cell r="A278">
            <v>143262</v>
          </cell>
          <cell r="B278">
            <v>9143000</v>
          </cell>
        </row>
        <row r="279">
          <cell r="A279">
            <v>143263</v>
          </cell>
          <cell r="B279">
            <v>9143000</v>
          </cell>
        </row>
        <row r="280">
          <cell r="A280">
            <v>143264</v>
          </cell>
          <cell r="B280">
            <v>9143000</v>
          </cell>
        </row>
        <row r="281">
          <cell r="A281">
            <v>143265</v>
          </cell>
          <cell r="B281">
            <v>9143000</v>
          </cell>
        </row>
        <row r="282">
          <cell r="A282">
            <v>143269</v>
          </cell>
          <cell r="B282">
            <v>9143000</v>
          </cell>
        </row>
        <row r="283">
          <cell r="A283">
            <v>143270</v>
          </cell>
          <cell r="B283">
            <v>9143000</v>
          </cell>
        </row>
        <row r="284">
          <cell r="A284">
            <v>143310</v>
          </cell>
          <cell r="B284">
            <v>9143000</v>
          </cell>
        </row>
        <row r="285">
          <cell r="A285">
            <v>143320</v>
          </cell>
          <cell r="B285">
            <v>9143000</v>
          </cell>
        </row>
        <row r="286">
          <cell r="A286">
            <v>143350</v>
          </cell>
          <cell r="B286">
            <v>9143000</v>
          </cell>
        </row>
        <row r="287">
          <cell r="A287">
            <v>143355</v>
          </cell>
          <cell r="B287">
            <v>9143000</v>
          </cell>
        </row>
        <row r="288">
          <cell r="A288">
            <v>143356</v>
          </cell>
          <cell r="B288">
            <v>9143000</v>
          </cell>
        </row>
        <row r="289">
          <cell r="A289">
            <v>143357</v>
          </cell>
          <cell r="B289">
            <v>9143000</v>
          </cell>
        </row>
        <row r="290">
          <cell r="A290">
            <v>143361</v>
          </cell>
          <cell r="B290">
            <v>9143000</v>
          </cell>
        </row>
        <row r="291">
          <cell r="A291">
            <v>143375</v>
          </cell>
          <cell r="B291">
            <v>9143000</v>
          </cell>
        </row>
        <row r="292">
          <cell r="A292">
            <v>143410</v>
          </cell>
          <cell r="B292">
            <v>9143000</v>
          </cell>
        </row>
        <row r="293">
          <cell r="A293">
            <v>143420</v>
          </cell>
          <cell r="B293">
            <v>9143000</v>
          </cell>
        </row>
        <row r="294">
          <cell r="A294">
            <v>143430</v>
          </cell>
          <cell r="B294">
            <v>9143000</v>
          </cell>
        </row>
        <row r="295">
          <cell r="A295">
            <v>143434</v>
          </cell>
          <cell r="B295">
            <v>9143000</v>
          </cell>
        </row>
        <row r="296">
          <cell r="A296">
            <v>143435</v>
          </cell>
          <cell r="B296">
            <v>9143000</v>
          </cell>
        </row>
        <row r="297">
          <cell r="A297">
            <v>143440</v>
          </cell>
          <cell r="B297">
            <v>9143000</v>
          </cell>
        </row>
        <row r="298">
          <cell r="A298">
            <v>143447</v>
          </cell>
          <cell r="B298">
            <v>9143000</v>
          </cell>
        </row>
        <row r="299">
          <cell r="A299">
            <v>143457</v>
          </cell>
          <cell r="B299">
            <v>9143000</v>
          </cell>
        </row>
        <row r="300">
          <cell r="A300">
            <v>143480</v>
          </cell>
          <cell r="B300">
            <v>9143000</v>
          </cell>
        </row>
        <row r="301">
          <cell r="A301">
            <v>143500</v>
          </cell>
          <cell r="B301">
            <v>9143000</v>
          </cell>
        </row>
        <row r="302">
          <cell r="A302">
            <v>143502</v>
          </cell>
          <cell r="B302">
            <v>9143000</v>
          </cell>
        </row>
        <row r="303">
          <cell r="A303">
            <v>143505</v>
          </cell>
          <cell r="B303">
            <v>9143000</v>
          </cell>
        </row>
        <row r="304">
          <cell r="A304">
            <v>143506</v>
          </cell>
          <cell r="B304">
            <v>9143000</v>
          </cell>
        </row>
        <row r="305">
          <cell r="A305">
            <v>143507</v>
          </cell>
          <cell r="B305">
            <v>9143000</v>
          </cell>
        </row>
        <row r="306">
          <cell r="A306">
            <v>143509</v>
          </cell>
          <cell r="B306">
            <v>9143000</v>
          </cell>
        </row>
        <row r="307">
          <cell r="A307">
            <v>143510</v>
          </cell>
          <cell r="B307">
            <v>9143000</v>
          </cell>
        </row>
        <row r="308">
          <cell r="A308">
            <v>143520</v>
          </cell>
          <cell r="B308">
            <v>9143000</v>
          </cell>
        </row>
        <row r="309">
          <cell r="A309">
            <v>143525</v>
          </cell>
          <cell r="B309">
            <v>9143000</v>
          </cell>
        </row>
        <row r="310">
          <cell r="A310">
            <v>143709</v>
          </cell>
          <cell r="B310">
            <v>9143000</v>
          </cell>
        </row>
        <row r="311">
          <cell r="A311">
            <v>143710</v>
          </cell>
          <cell r="B311">
            <v>9143000</v>
          </cell>
        </row>
        <row r="312">
          <cell r="A312">
            <v>143720</v>
          </cell>
          <cell r="B312">
            <v>9143000</v>
          </cell>
        </row>
        <row r="313">
          <cell r="A313">
            <v>143739</v>
          </cell>
          <cell r="B313">
            <v>9143000</v>
          </cell>
        </row>
        <row r="314">
          <cell r="A314">
            <v>143740</v>
          </cell>
          <cell r="B314">
            <v>9143000</v>
          </cell>
        </row>
        <row r="315">
          <cell r="A315">
            <v>143750</v>
          </cell>
          <cell r="B315">
            <v>9143000</v>
          </cell>
        </row>
        <row r="316">
          <cell r="A316">
            <v>143769</v>
          </cell>
          <cell r="B316">
            <v>9143000</v>
          </cell>
        </row>
        <row r="317">
          <cell r="A317">
            <v>143770</v>
          </cell>
          <cell r="B317">
            <v>9143000</v>
          </cell>
        </row>
        <row r="318">
          <cell r="A318">
            <v>143771</v>
          </cell>
          <cell r="B318">
            <v>9143000</v>
          </cell>
        </row>
        <row r="319">
          <cell r="A319">
            <v>143772</v>
          </cell>
          <cell r="B319">
            <v>9143000</v>
          </cell>
        </row>
        <row r="320">
          <cell r="A320">
            <v>143776</v>
          </cell>
          <cell r="B320">
            <v>9143000</v>
          </cell>
        </row>
        <row r="321">
          <cell r="A321">
            <v>143777</v>
          </cell>
          <cell r="B321">
            <v>9143000</v>
          </cell>
        </row>
        <row r="322">
          <cell r="A322">
            <v>143778</v>
          </cell>
          <cell r="B322">
            <v>9143000</v>
          </cell>
        </row>
        <row r="323">
          <cell r="A323">
            <v>143780</v>
          </cell>
          <cell r="B323">
            <v>9143000</v>
          </cell>
        </row>
        <row r="324">
          <cell r="A324">
            <v>143781</v>
          </cell>
          <cell r="B324">
            <v>9143000</v>
          </cell>
        </row>
        <row r="325">
          <cell r="A325">
            <v>143785</v>
          </cell>
          <cell r="B325">
            <v>9143000</v>
          </cell>
        </row>
        <row r="326">
          <cell r="A326">
            <v>143790</v>
          </cell>
          <cell r="B326">
            <v>9143000</v>
          </cell>
        </row>
        <row r="327">
          <cell r="A327">
            <v>143795</v>
          </cell>
          <cell r="B327">
            <v>9143000</v>
          </cell>
        </row>
        <row r="328">
          <cell r="A328">
            <v>143800</v>
          </cell>
          <cell r="B328">
            <v>9143000</v>
          </cell>
        </row>
        <row r="329">
          <cell r="A329">
            <v>143830</v>
          </cell>
          <cell r="B329">
            <v>9143000</v>
          </cell>
        </row>
        <row r="330">
          <cell r="A330">
            <v>143840</v>
          </cell>
          <cell r="B330">
            <v>9143000</v>
          </cell>
        </row>
        <row r="331">
          <cell r="A331">
            <v>143841</v>
          </cell>
          <cell r="B331">
            <v>9143000</v>
          </cell>
        </row>
        <row r="332">
          <cell r="A332">
            <v>143846</v>
          </cell>
          <cell r="B332">
            <v>9143000</v>
          </cell>
        </row>
        <row r="333">
          <cell r="A333">
            <v>143860</v>
          </cell>
          <cell r="B333">
            <v>9143000</v>
          </cell>
        </row>
        <row r="334">
          <cell r="A334">
            <v>143870</v>
          </cell>
          <cell r="B334">
            <v>9143000</v>
          </cell>
        </row>
        <row r="335">
          <cell r="A335">
            <v>144110</v>
          </cell>
          <cell r="B335">
            <v>9144000</v>
          </cell>
        </row>
        <row r="336">
          <cell r="A336">
            <v>144111</v>
          </cell>
          <cell r="B336">
            <v>9144000</v>
          </cell>
        </row>
        <row r="337">
          <cell r="A337">
            <v>144112</v>
          </cell>
          <cell r="B337">
            <v>9144000</v>
          </cell>
        </row>
        <row r="338">
          <cell r="A338">
            <v>144115</v>
          </cell>
          <cell r="B338">
            <v>9144000</v>
          </cell>
        </row>
        <row r="339">
          <cell r="A339">
            <v>144120</v>
          </cell>
          <cell r="B339">
            <v>9144000</v>
          </cell>
        </row>
        <row r="340">
          <cell r="A340">
            <v>144500</v>
          </cell>
          <cell r="B340">
            <v>9144000</v>
          </cell>
        </row>
        <row r="341">
          <cell r="A341">
            <v>144510</v>
          </cell>
          <cell r="B341">
            <v>9144000</v>
          </cell>
        </row>
        <row r="342">
          <cell r="A342">
            <v>144515</v>
          </cell>
          <cell r="B342">
            <v>9144000</v>
          </cell>
        </row>
        <row r="343">
          <cell r="A343">
            <v>144517</v>
          </cell>
          <cell r="B343">
            <v>9144000</v>
          </cell>
        </row>
        <row r="344">
          <cell r="A344">
            <v>144520</v>
          </cell>
          <cell r="B344">
            <v>9144000</v>
          </cell>
        </row>
        <row r="345">
          <cell r="A345">
            <v>144523</v>
          </cell>
          <cell r="B345">
            <v>9144000</v>
          </cell>
        </row>
        <row r="346">
          <cell r="A346">
            <v>144525</v>
          </cell>
          <cell r="B346">
            <v>9144000</v>
          </cell>
        </row>
        <row r="347">
          <cell r="A347">
            <v>144527</v>
          </cell>
          <cell r="B347">
            <v>9144000</v>
          </cell>
        </row>
        <row r="348">
          <cell r="A348">
            <v>144530</v>
          </cell>
          <cell r="B348">
            <v>9144000</v>
          </cell>
        </row>
        <row r="349">
          <cell r="A349">
            <v>144533</v>
          </cell>
          <cell r="B349">
            <v>9144000</v>
          </cell>
        </row>
        <row r="350">
          <cell r="A350">
            <v>144550</v>
          </cell>
          <cell r="B350">
            <v>9144000</v>
          </cell>
        </row>
        <row r="351">
          <cell r="A351">
            <v>145100</v>
          </cell>
          <cell r="B351">
            <v>9145000</v>
          </cell>
        </row>
        <row r="352">
          <cell r="A352">
            <v>146130</v>
          </cell>
          <cell r="B352">
            <v>9146000</v>
          </cell>
        </row>
        <row r="353">
          <cell r="A353">
            <v>146135</v>
          </cell>
          <cell r="B353">
            <v>9146000</v>
          </cell>
        </row>
        <row r="354">
          <cell r="A354">
            <v>146140</v>
          </cell>
          <cell r="B354">
            <v>9146000</v>
          </cell>
        </row>
        <row r="355">
          <cell r="A355">
            <v>146150</v>
          </cell>
          <cell r="B355">
            <v>9146000</v>
          </cell>
        </row>
        <row r="356">
          <cell r="A356">
            <v>146160</v>
          </cell>
          <cell r="B356">
            <v>9146000</v>
          </cell>
        </row>
        <row r="357">
          <cell r="A357">
            <v>146180</v>
          </cell>
          <cell r="B357">
            <v>9146000</v>
          </cell>
        </row>
        <row r="358">
          <cell r="A358">
            <v>146190</v>
          </cell>
          <cell r="B358">
            <v>9146000</v>
          </cell>
        </row>
        <row r="359">
          <cell r="A359">
            <v>146200</v>
          </cell>
          <cell r="B359">
            <v>9146000</v>
          </cell>
        </row>
        <row r="360">
          <cell r="A360">
            <v>146300</v>
          </cell>
          <cell r="B360">
            <v>9146000</v>
          </cell>
        </row>
        <row r="361">
          <cell r="A361">
            <v>146301</v>
          </cell>
          <cell r="B361">
            <v>9146000</v>
          </cell>
        </row>
        <row r="362">
          <cell r="A362">
            <v>146302</v>
          </cell>
          <cell r="B362">
            <v>9146000</v>
          </cell>
        </row>
        <row r="363">
          <cell r="A363">
            <v>146303</v>
          </cell>
          <cell r="B363">
            <v>9146000</v>
          </cell>
        </row>
        <row r="364">
          <cell r="A364">
            <v>146305</v>
          </cell>
          <cell r="B364">
            <v>9146000</v>
          </cell>
        </row>
        <row r="365">
          <cell r="A365">
            <v>146310</v>
          </cell>
          <cell r="B365">
            <v>9146000</v>
          </cell>
        </row>
        <row r="366">
          <cell r="A366">
            <v>146320</v>
          </cell>
          <cell r="B366">
            <v>9146000</v>
          </cell>
        </row>
        <row r="367">
          <cell r="A367">
            <v>146330</v>
          </cell>
          <cell r="B367">
            <v>9146000</v>
          </cell>
        </row>
        <row r="368">
          <cell r="A368">
            <v>146400</v>
          </cell>
          <cell r="B368">
            <v>9146000</v>
          </cell>
        </row>
        <row r="369">
          <cell r="A369">
            <v>146500</v>
          </cell>
          <cell r="B369">
            <v>9146000</v>
          </cell>
        </row>
        <row r="370">
          <cell r="A370">
            <v>146600</v>
          </cell>
          <cell r="B370">
            <v>9146000</v>
          </cell>
        </row>
        <row r="371">
          <cell r="A371">
            <v>146699</v>
          </cell>
          <cell r="B371">
            <v>9146000</v>
          </cell>
        </row>
        <row r="372">
          <cell r="A372">
            <v>146700</v>
          </cell>
          <cell r="B372">
            <v>9146000</v>
          </cell>
        </row>
        <row r="373">
          <cell r="A373">
            <v>146750</v>
          </cell>
          <cell r="B373">
            <v>9146000</v>
          </cell>
        </row>
        <row r="374">
          <cell r="A374">
            <v>146760</v>
          </cell>
          <cell r="B374">
            <v>9146000</v>
          </cell>
        </row>
        <row r="375">
          <cell r="A375">
            <v>146761</v>
          </cell>
          <cell r="B375">
            <v>9146000</v>
          </cell>
        </row>
        <row r="376">
          <cell r="A376">
            <v>146771</v>
          </cell>
          <cell r="B376">
            <v>9146000</v>
          </cell>
        </row>
        <row r="377">
          <cell r="A377">
            <v>146810</v>
          </cell>
          <cell r="B377">
            <v>9146000</v>
          </cell>
        </row>
        <row r="378">
          <cell r="A378">
            <v>146850</v>
          </cell>
          <cell r="B378">
            <v>9146000</v>
          </cell>
        </row>
        <row r="379">
          <cell r="A379">
            <v>146900</v>
          </cell>
          <cell r="B379">
            <v>9146000</v>
          </cell>
        </row>
        <row r="380">
          <cell r="A380">
            <v>146901</v>
          </cell>
          <cell r="B380">
            <v>9146000</v>
          </cell>
        </row>
        <row r="381">
          <cell r="A381">
            <v>146903</v>
          </cell>
          <cell r="B381">
            <v>9146000</v>
          </cell>
        </row>
        <row r="382">
          <cell r="A382">
            <v>146916</v>
          </cell>
          <cell r="B382">
            <v>9146000</v>
          </cell>
        </row>
        <row r="383">
          <cell r="A383">
            <v>151140</v>
          </cell>
          <cell r="B383">
            <v>9151000</v>
          </cell>
        </row>
        <row r="384">
          <cell r="A384">
            <v>151143</v>
          </cell>
          <cell r="B384">
            <v>9151000</v>
          </cell>
        </row>
        <row r="385">
          <cell r="A385">
            <v>151155</v>
          </cell>
          <cell r="B385">
            <v>9151000</v>
          </cell>
        </row>
        <row r="386">
          <cell r="A386">
            <v>151157</v>
          </cell>
          <cell r="B386">
            <v>9151000</v>
          </cell>
        </row>
        <row r="387">
          <cell r="A387">
            <v>151170</v>
          </cell>
          <cell r="B387">
            <v>9151000</v>
          </cell>
        </row>
        <row r="388">
          <cell r="A388">
            <v>151175</v>
          </cell>
          <cell r="B388">
            <v>9151000</v>
          </cell>
        </row>
        <row r="389">
          <cell r="A389">
            <v>151300</v>
          </cell>
          <cell r="B389">
            <v>9151000</v>
          </cell>
        </row>
        <row r="390">
          <cell r="A390">
            <v>151310</v>
          </cell>
          <cell r="B390">
            <v>9151000</v>
          </cell>
        </row>
        <row r="391">
          <cell r="A391">
            <v>152100</v>
          </cell>
          <cell r="B391">
            <v>9142000</v>
          </cell>
        </row>
        <row r="392">
          <cell r="A392">
            <v>154100</v>
          </cell>
          <cell r="B392">
            <v>9154000</v>
          </cell>
        </row>
        <row r="393">
          <cell r="A393">
            <v>154101</v>
          </cell>
          <cell r="B393">
            <v>9154000</v>
          </cell>
        </row>
        <row r="394">
          <cell r="A394">
            <v>154105</v>
          </cell>
          <cell r="B394">
            <v>9154000</v>
          </cell>
        </row>
        <row r="395">
          <cell r="A395">
            <v>154109</v>
          </cell>
          <cell r="B395">
            <v>9154000</v>
          </cell>
        </row>
        <row r="396">
          <cell r="A396">
            <v>154110</v>
          </cell>
          <cell r="B396">
            <v>9154000</v>
          </cell>
        </row>
        <row r="397">
          <cell r="A397">
            <v>154119</v>
          </cell>
          <cell r="B397">
            <v>9154000</v>
          </cell>
        </row>
        <row r="398">
          <cell r="A398">
            <v>154300</v>
          </cell>
          <cell r="B398">
            <v>9154000</v>
          </cell>
        </row>
        <row r="399">
          <cell r="A399">
            <v>154320</v>
          </cell>
          <cell r="B399">
            <v>9154000</v>
          </cell>
        </row>
        <row r="400">
          <cell r="A400">
            <v>154350</v>
          </cell>
          <cell r="B400">
            <v>9154000</v>
          </cell>
        </row>
        <row r="401">
          <cell r="A401">
            <v>154351</v>
          </cell>
          <cell r="B401">
            <v>9154000</v>
          </cell>
        </row>
        <row r="402">
          <cell r="A402">
            <v>154391</v>
          </cell>
          <cell r="B402">
            <v>9154000</v>
          </cell>
        </row>
        <row r="403">
          <cell r="A403">
            <v>154397</v>
          </cell>
          <cell r="B403">
            <v>9154000</v>
          </cell>
        </row>
        <row r="404">
          <cell r="A404">
            <v>154400</v>
          </cell>
          <cell r="B404">
            <v>9154000</v>
          </cell>
        </row>
        <row r="405">
          <cell r="A405">
            <v>154460</v>
          </cell>
          <cell r="B405">
            <v>9154000</v>
          </cell>
        </row>
        <row r="406">
          <cell r="A406">
            <v>154904</v>
          </cell>
          <cell r="B406">
            <v>9154000</v>
          </cell>
        </row>
        <row r="407">
          <cell r="A407">
            <v>154905</v>
          </cell>
          <cell r="B407">
            <v>9154000</v>
          </cell>
        </row>
        <row r="408">
          <cell r="A408">
            <v>154906</v>
          </cell>
          <cell r="B408">
            <v>9154000</v>
          </cell>
        </row>
        <row r="409">
          <cell r="A409">
            <v>154907</v>
          </cell>
          <cell r="B409">
            <v>9154000</v>
          </cell>
        </row>
        <row r="410">
          <cell r="A410">
            <v>154970</v>
          </cell>
          <cell r="B410">
            <v>9154000</v>
          </cell>
        </row>
        <row r="411">
          <cell r="A411">
            <v>163400</v>
          </cell>
          <cell r="B411">
            <v>9163000</v>
          </cell>
        </row>
        <row r="412">
          <cell r="A412">
            <v>163500</v>
          </cell>
          <cell r="B412">
            <v>9163000</v>
          </cell>
        </row>
        <row r="413">
          <cell r="A413">
            <v>163600</v>
          </cell>
          <cell r="B413">
            <v>9163000</v>
          </cell>
        </row>
        <row r="414">
          <cell r="A414">
            <v>163650</v>
          </cell>
          <cell r="B414">
            <v>9163000</v>
          </cell>
        </row>
        <row r="415">
          <cell r="A415">
            <v>165120</v>
          </cell>
          <cell r="B415">
            <v>9165000</v>
          </cell>
        </row>
        <row r="416">
          <cell r="A416">
            <v>165130</v>
          </cell>
          <cell r="B416">
            <v>9165000</v>
          </cell>
        </row>
        <row r="417">
          <cell r="A417">
            <v>165140</v>
          </cell>
          <cell r="B417">
            <v>9165000</v>
          </cell>
        </row>
        <row r="418">
          <cell r="A418">
            <v>165150</v>
          </cell>
          <cell r="B418">
            <v>9165000</v>
          </cell>
        </row>
        <row r="419">
          <cell r="A419">
            <v>165210</v>
          </cell>
          <cell r="B419">
            <v>9165000</v>
          </cell>
        </row>
        <row r="420">
          <cell r="A420">
            <v>165220</v>
          </cell>
          <cell r="B420">
            <v>9165000</v>
          </cell>
        </row>
        <row r="421">
          <cell r="A421">
            <v>165221</v>
          </cell>
          <cell r="B421">
            <v>9165000</v>
          </cell>
        </row>
        <row r="422">
          <cell r="A422">
            <v>165222</v>
          </cell>
          <cell r="B422">
            <v>9165000</v>
          </cell>
        </row>
        <row r="423">
          <cell r="A423">
            <v>165223</v>
          </cell>
          <cell r="B423">
            <v>9165000</v>
          </cell>
        </row>
        <row r="424">
          <cell r="A424">
            <v>165224</v>
          </cell>
          <cell r="B424">
            <v>9165000</v>
          </cell>
        </row>
        <row r="425">
          <cell r="A425">
            <v>165225</v>
          </cell>
          <cell r="B425">
            <v>9165000</v>
          </cell>
        </row>
        <row r="426">
          <cell r="A426">
            <v>165226</v>
          </cell>
          <cell r="B426">
            <v>9165000</v>
          </cell>
        </row>
        <row r="427">
          <cell r="A427">
            <v>165435</v>
          </cell>
          <cell r="B427">
            <v>9165000</v>
          </cell>
        </row>
        <row r="428">
          <cell r="A428">
            <v>165445</v>
          </cell>
          <cell r="B428">
            <v>9165000</v>
          </cell>
        </row>
        <row r="429">
          <cell r="A429">
            <v>165450</v>
          </cell>
          <cell r="B429">
            <v>9165000</v>
          </cell>
        </row>
        <row r="430">
          <cell r="A430">
            <v>165490</v>
          </cell>
          <cell r="B430">
            <v>9165000</v>
          </cell>
        </row>
        <row r="431">
          <cell r="A431">
            <v>165520</v>
          </cell>
          <cell r="B431">
            <v>9165000</v>
          </cell>
        </row>
        <row r="432">
          <cell r="A432">
            <v>165550</v>
          </cell>
          <cell r="B432">
            <v>9165000</v>
          </cell>
        </row>
        <row r="433">
          <cell r="A433">
            <v>165610</v>
          </cell>
          <cell r="B433">
            <v>9165000</v>
          </cell>
        </row>
        <row r="434">
          <cell r="A434">
            <v>165620</v>
          </cell>
          <cell r="B434">
            <v>9165000</v>
          </cell>
        </row>
        <row r="435">
          <cell r="A435">
            <v>165641</v>
          </cell>
          <cell r="B435">
            <v>9165000</v>
          </cell>
        </row>
        <row r="436">
          <cell r="A436">
            <v>165642</v>
          </cell>
          <cell r="B436">
            <v>9165000</v>
          </cell>
        </row>
        <row r="437">
          <cell r="A437">
            <v>165645</v>
          </cell>
          <cell r="B437">
            <v>9165000</v>
          </cell>
        </row>
        <row r="438">
          <cell r="A438">
            <v>165900</v>
          </cell>
          <cell r="B438">
            <v>9165000</v>
          </cell>
        </row>
        <row r="439">
          <cell r="A439">
            <v>165990</v>
          </cell>
          <cell r="B439">
            <v>9165000</v>
          </cell>
        </row>
        <row r="440">
          <cell r="A440">
            <v>171100</v>
          </cell>
          <cell r="B440">
            <v>9171000</v>
          </cell>
        </row>
        <row r="441">
          <cell r="A441">
            <v>171150</v>
          </cell>
          <cell r="B441">
            <v>9171000</v>
          </cell>
        </row>
        <row r="442">
          <cell r="A442">
            <v>172100</v>
          </cell>
          <cell r="B442">
            <v>9172000</v>
          </cell>
        </row>
        <row r="443">
          <cell r="A443">
            <v>172120</v>
          </cell>
          <cell r="B443">
            <v>9172000</v>
          </cell>
        </row>
        <row r="444">
          <cell r="A444">
            <v>172200</v>
          </cell>
          <cell r="B444">
            <v>9172000</v>
          </cell>
        </row>
        <row r="445">
          <cell r="A445">
            <v>172210</v>
          </cell>
          <cell r="B445">
            <v>9172000</v>
          </cell>
        </row>
        <row r="446">
          <cell r="A446">
            <v>172400</v>
          </cell>
          <cell r="B446">
            <v>9172000</v>
          </cell>
        </row>
        <row r="447">
          <cell r="A447">
            <v>172410</v>
          </cell>
          <cell r="B447">
            <v>9172000</v>
          </cell>
        </row>
        <row r="448">
          <cell r="A448">
            <v>172420</v>
          </cell>
          <cell r="B448">
            <v>9172000</v>
          </cell>
        </row>
        <row r="449">
          <cell r="A449">
            <v>173100</v>
          </cell>
          <cell r="B449">
            <v>9173000</v>
          </cell>
        </row>
        <row r="450">
          <cell r="A450">
            <v>173101</v>
          </cell>
          <cell r="B450">
            <v>9173000</v>
          </cell>
        </row>
        <row r="451">
          <cell r="A451">
            <v>173300</v>
          </cell>
          <cell r="B451">
            <v>9173000</v>
          </cell>
        </row>
        <row r="452">
          <cell r="A452">
            <v>173301</v>
          </cell>
          <cell r="B452">
            <v>9173000</v>
          </cell>
        </row>
        <row r="453">
          <cell r="A453">
            <v>174175</v>
          </cell>
          <cell r="B453">
            <v>9174000</v>
          </cell>
        </row>
        <row r="454">
          <cell r="A454">
            <v>174250</v>
          </cell>
          <cell r="B454">
            <v>9174000</v>
          </cell>
        </row>
        <row r="455">
          <cell r="A455">
            <v>175920</v>
          </cell>
          <cell r="B455">
            <v>9175000</v>
          </cell>
        </row>
        <row r="456">
          <cell r="A456">
            <v>175925</v>
          </cell>
          <cell r="B456">
            <v>9175000</v>
          </cell>
        </row>
        <row r="457">
          <cell r="A457">
            <v>175926</v>
          </cell>
          <cell r="B457">
            <v>9175000</v>
          </cell>
        </row>
        <row r="458">
          <cell r="A458">
            <v>175927</v>
          </cell>
          <cell r="B458">
            <v>9175000</v>
          </cell>
        </row>
        <row r="459">
          <cell r="A459">
            <v>175940</v>
          </cell>
          <cell r="B459">
            <v>9175000</v>
          </cell>
        </row>
        <row r="460">
          <cell r="A460">
            <v>175945</v>
          </cell>
          <cell r="B460">
            <v>9175000</v>
          </cell>
        </row>
        <row r="461">
          <cell r="A461">
            <v>175946</v>
          </cell>
          <cell r="B461">
            <v>9175000</v>
          </cell>
        </row>
        <row r="462">
          <cell r="A462">
            <v>175950</v>
          </cell>
          <cell r="B462">
            <v>9175000</v>
          </cell>
        </row>
        <row r="463">
          <cell r="A463">
            <v>175955</v>
          </cell>
          <cell r="B463">
            <v>9175000</v>
          </cell>
        </row>
        <row r="464">
          <cell r="A464">
            <v>175956</v>
          </cell>
          <cell r="B464">
            <v>9175000</v>
          </cell>
        </row>
        <row r="465">
          <cell r="A465">
            <v>181050</v>
          </cell>
          <cell r="B465">
            <v>9181000</v>
          </cell>
        </row>
        <row r="466">
          <cell r="A466">
            <v>181051</v>
          </cell>
          <cell r="B466">
            <v>9181000</v>
          </cell>
        </row>
        <row r="467">
          <cell r="A467">
            <v>182212</v>
          </cell>
          <cell r="B467">
            <v>9182200</v>
          </cell>
        </row>
        <row r="468">
          <cell r="A468">
            <v>182213</v>
          </cell>
          <cell r="B468">
            <v>9182200</v>
          </cell>
        </row>
        <row r="469">
          <cell r="A469">
            <v>182214</v>
          </cell>
          <cell r="B469">
            <v>9182200</v>
          </cell>
        </row>
        <row r="470">
          <cell r="A470">
            <v>182222</v>
          </cell>
          <cell r="B470">
            <v>9182200</v>
          </cell>
        </row>
        <row r="471">
          <cell r="A471">
            <v>182223</v>
          </cell>
          <cell r="B471">
            <v>9182200</v>
          </cell>
        </row>
        <row r="472">
          <cell r="A472">
            <v>182224</v>
          </cell>
          <cell r="B472">
            <v>9182200</v>
          </cell>
        </row>
        <row r="473">
          <cell r="A473">
            <v>182226</v>
          </cell>
          <cell r="B473">
            <v>9182200</v>
          </cell>
        </row>
        <row r="474">
          <cell r="A474">
            <v>182227</v>
          </cell>
          <cell r="B474">
            <v>9182200</v>
          </cell>
        </row>
        <row r="475">
          <cell r="A475">
            <v>182228</v>
          </cell>
          <cell r="B475">
            <v>9182200</v>
          </cell>
        </row>
        <row r="476">
          <cell r="A476">
            <v>182230</v>
          </cell>
          <cell r="B476">
            <v>9182200</v>
          </cell>
        </row>
        <row r="477">
          <cell r="A477">
            <v>182231</v>
          </cell>
          <cell r="B477">
            <v>9182200</v>
          </cell>
        </row>
        <row r="478">
          <cell r="A478">
            <v>182250</v>
          </cell>
          <cell r="B478">
            <v>9182200</v>
          </cell>
        </row>
        <row r="479">
          <cell r="A479">
            <v>182259</v>
          </cell>
          <cell r="B479">
            <v>9182200</v>
          </cell>
        </row>
        <row r="480">
          <cell r="A480">
            <v>182260</v>
          </cell>
          <cell r="B480">
            <v>9182200</v>
          </cell>
        </row>
        <row r="481">
          <cell r="A481">
            <v>182295</v>
          </cell>
          <cell r="B481">
            <v>9182200</v>
          </cell>
        </row>
        <row r="482">
          <cell r="A482">
            <v>182297</v>
          </cell>
          <cell r="B482">
            <v>9182200</v>
          </cell>
        </row>
        <row r="483">
          <cell r="A483">
            <v>182301</v>
          </cell>
          <cell r="B483">
            <v>9182300</v>
          </cell>
        </row>
        <row r="484">
          <cell r="A484">
            <v>182303</v>
          </cell>
          <cell r="B484">
            <v>9182300</v>
          </cell>
        </row>
        <row r="485">
          <cell r="A485">
            <v>182304</v>
          </cell>
          <cell r="B485">
            <v>9182300</v>
          </cell>
        </row>
        <row r="486">
          <cell r="A486">
            <v>182305</v>
          </cell>
          <cell r="B486">
            <v>9182300</v>
          </cell>
        </row>
        <row r="487">
          <cell r="A487">
            <v>182306</v>
          </cell>
          <cell r="B487">
            <v>9182300</v>
          </cell>
        </row>
        <row r="488">
          <cell r="A488">
            <v>182307</v>
          </cell>
          <cell r="B488">
            <v>9182300</v>
          </cell>
        </row>
        <row r="489">
          <cell r="A489">
            <v>182308</v>
          </cell>
          <cell r="B489">
            <v>9182300</v>
          </cell>
        </row>
        <row r="490">
          <cell r="A490">
            <v>182311</v>
          </cell>
          <cell r="B490">
            <v>9182300</v>
          </cell>
        </row>
        <row r="491">
          <cell r="A491">
            <v>182312</v>
          </cell>
          <cell r="B491">
            <v>9182300</v>
          </cell>
        </row>
        <row r="492">
          <cell r="A492">
            <v>182314</v>
          </cell>
          <cell r="B492">
            <v>9182300</v>
          </cell>
        </row>
        <row r="493">
          <cell r="A493">
            <v>182315</v>
          </cell>
          <cell r="B493">
            <v>9182300</v>
          </cell>
        </row>
        <row r="494">
          <cell r="A494">
            <v>182317</v>
          </cell>
          <cell r="B494">
            <v>9182300</v>
          </cell>
        </row>
        <row r="495">
          <cell r="A495">
            <v>182318</v>
          </cell>
          <cell r="B495">
            <v>9182300</v>
          </cell>
        </row>
        <row r="496">
          <cell r="A496">
            <v>182321</v>
          </cell>
          <cell r="B496">
            <v>9182300</v>
          </cell>
        </row>
        <row r="497">
          <cell r="A497">
            <v>182322</v>
          </cell>
          <cell r="B497">
            <v>9182300</v>
          </cell>
        </row>
        <row r="498">
          <cell r="A498">
            <v>182324</v>
          </cell>
          <cell r="B498">
            <v>9182300</v>
          </cell>
        </row>
        <row r="499">
          <cell r="A499">
            <v>182325</v>
          </cell>
          <cell r="B499">
            <v>9182300</v>
          </cell>
        </row>
        <row r="500">
          <cell r="A500">
            <v>182326</v>
          </cell>
          <cell r="B500">
            <v>9182300</v>
          </cell>
        </row>
        <row r="501">
          <cell r="A501">
            <v>182327</v>
          </cell>
          <cell r="B501">
            <v>9182300</v>
          </cell>
        </row>
        <row r="502">
          <cell r="A502">
            <v>182328</v>
          </cell>
          <cell r="B502">
            <v>9182300</v>
          </cell>
        </row>
        <row r="503">
          <cell r="A503">
            <v>182329</v>
          </cell>
          <cell r="B503">
            <v>9182300</v>
          </cell>
        </row>
        <row r="504">
          <cell r="A504">
            <v>182332</v>
          </cell>
          <cell r="B504">
            <v>9182300</v>
          </cell>
        </row>
        <row r="505">
          <cell r="A505">
            <v>182334</v>
          </cell>
          <cell r="B505">
            <v>9182300</v>
          </cell>
        </row>
        <row r="506">
          <cell r="A506">
            <v>182335</v>
          </cell>
          <cell r="B506">
            <v>9182300</v>
          </cell>
        </row>
        <row r="507">
          <cell r="A507">
            <v>182336</v>
          </cell>
          <cell r="B507">
            <v>9182300</v>
          </cell>
        </row>
        <row r="508">
          <cell r="A508">
            <v>182338</v>
          </cell>
          <cell r="B508">
            <v>9182300</v>
          </cell>
        </row>
        <row r="509">
          <cell r="A509">
            <v>182339</v>
          </cell>
          <cell r="B509">
            <v>9182300</v>
          </cell>
        </row>
        <row r="510">
          <cell r="A510">
            <v>182340</v>
          </cell>
          <cell r="B510">
            <v>9182300</v>
          </cell>
        </row>
        <row r="511">
          <cell r="A511">
            <v>182341</v>
          </cell>
          <cell r="B511">
            <v>9182300</v>
          </cell>
        </row>
        <row r="512">
          <cell r="A512">
            <v>182342</v>
          </cell>
          <cell r="B512">
            <v>9182300</v>
          </cell>
        </row>
        <row r="513">
          <cell r="A513">
            <v>182346</v>
          </cell>
          <cell r="B513">
            <v>9182300</v>
          </cell>
        </row>
        <row r="514">
          <cell r="A514">
            <v>182347</v>
          </cell>
          <cell r="B514">
            <v>9182300</v>
          </cell>
        </row>
        <row r="515">
          <cell r="A515">
            <v>182350</v>
          </cell>
          <cell r="B515">
            <v>9182300</v>
          </cell>
        </row>
        <row r="516">
          <cell r="A516">
            <v>182362</v>
          </cell>
          <cell r="B516">
            <v>9182300</v>
          </cell>
        </row>
        <row r="517">
          <cell r="A517">
            <v>182363</v>
          </cell>
          <cell r="B517">
            <v>9182300</v>
          </cell>
        </row>
        <row r="518">
          <cell r="A518">
            <v>182364</v>
          </cell>
          <cell r="B518">
            <v>9182300</v>
          </cell>
        </row>
        <row r="519">
          <cell r="A519">
            <v>182365</v>
          </cell>
          <cell r="B519">
            <v>9182300</v>
          </cell>
        </row>
        <row r="520">
          <cell r="A520">
            <v>182367</v>
          </cell>
          <cell r="B520">
            <v>9182300</v>
          </cell>
        </row>
        <row r="521">
          <cell r="A521">
            <v>182370</v>
          </cell>
          <cell r="B521">
            <v>9182300</v>
          </cell>
        </row>
        <row r="522">
          <cell r="A522">
            <v>182373</v>
          </cell>
          <cell r="B522">
            <v>9182300</v>
          </cell>
        </row>
        <row r="523">
          <cell r="A523">
            <v>182376</v>
          </cell>
          <cell r="B523">
            <v>9182300</v>
          </cell>
        </row>
        <row r="524">
          <cell r="A524">
            <v>182378</v>
          </cell>
          <cell r="B524">
            <v>9182300</v>
          </cell>
        </row>
        <row r="525">
          <cell r="A525">
            <v>182379</v>
          </cell>
          <cell r="B525">
            <v>9182300</v>
          </cell>
        </row>
        <row r="526">
          <cell r="A526">
            <v>182381</v>
          </cell>
          <cell r="B526">
            <v>9182300</v>
          </cell>
        </row>
        <row r="527">
          <cell r="A527">
            <v>182384</v>
          </cell>
          <cell r="B527">
            <v>9182300</v>
          </cell>
        </row>
        <row r="528">
          <cell r="A528">
            <v>182385</v>
          </cell>
          <cell r="B528">
            <v>9182300</v>
          </cell>
        </row>
        <row r="529">
          <cell r="A529">
            <v>182390</v>
          </cell>
          <cell r="B529">
            <v>9182300</v>
          </cell>
        </row>
        <row r="530">
          <cell r="A530">
            <v>182391</v>
          </cell>
          <cell r="B530">
            <v>9182300</v>
          </cell>
        </row>
        <row r="531">
          <cell r="A531">
            <v>182392</v>
          </cell>
          <cell r="B531">
            <v>9182300</v>
          </cell>
        </row>
        <row r="532">
          <cell r="A532">
            <v>182395</v>
          </cell>
          <cell r="B532">
            <v>9182300</v>
          </cell>
        </row>
        <row r="533">
          <cell r="A533">
            <v>182396</v>
          </cell>
          <cell r="B533">
            <v>9182300</v>
          </cell>
        </row>
        <row r="534">
          <cell r="A534">
            <v>182397</v>
          </cell>
          <cell r="B534">
            <v>9182300</v>
          </cell>
        </row>
        <row r="535">
          <cell r="A535">
            <v>182398</v>
          </cell>
          <cell r="B535">
            <v>9182300</v>
          </cell>
        </row>
        <row r="536">
          <cell r="A536">
            <v>182399</v>
          </cell>
          <cell r="B536">
            <v>9182300</v>
          </cell>
        </row>
        <row r="537">
          <cell r="A537">
            <v>182402</v>
          </cell>
          <cell r="B537">
            <v>9182300</v>
          </cell>
        </row>
        <row r="538">
          <cell r="A538">
            <v>182403</v>
          </cell>
          <cell r="B538">
            <v>9182300</v>
          </cell>
        </row>
        <row r="539">
          <cell r="A539">
            <v>182404</v>
          </cell>
          <cell r="B539">
            <v>9182300</v>
          </cell>
        </row>
        <row r="540">
          <cell r="A540">
            <v>182408</v>
          </cell>
          <cell r="B540">
            <v>9182300</v>
          </cell>
        </row>
        <row r="541">
          <cell r="A541">
            <v>182409</v>
          </cell>
          <cell r="B541">
            <v>9182300</v>
          </cell>
        </row>
        <row r="542">
          <cell r="A542">
            <v>182410</v>
          </cell>
          <cell r="B542">
            <v>9182300</v>
          </cell>
        </row>
        <row r="543">
          <cell r="A543">
            <v>182411</v>
          </cell>
          <cell r="B543">
            <v>9182300</v>
          </cell>
        </row>
        <row r="544">
          <cell r="A544">
            <v>182414</v>
          </cell>
          <cell r="B544">
            <v>9182300</v>
          </cell>
        </row>
        <row r="545">
          <cell r="A545">
            <v>182415</v>
          </cell>
          <cell r="B545">
            <v>9182300</v>
          </cell>
        </row>
        <row r="546">
          <cell r="A546">
            <v>182417</v>
          </cell>
          <cell r="B546">
            <v>9182300</v>
          </cell>
        </row>
        <row r="547">
          <cell r="A547">
            <v>182418</v>
          </cell>
          <cell r="B547">
            <v>9182300</v>
          </cell>
        </row>
        <row r="548">
          <cell r="A548">
            <v>182421</v>
          </cell>
          <cell r="B548">
            <v>9182300</v>
          </cell>
        </row>
        <row r="549">
          <cell r="A549">
            <v>182423</v>
          </cell>
          <cell r="B549">
            <v>9182300</v>
          </cell>
        </row>
        <row r="550">
          <cell r="A550">
            <v>182425</v>
          </cell>
          <cell r="B550">
            <v>9182300</v>
          </cell>
        </row>
        <row r="551">
          <cell r="A551">
            <v>182427</v>
          </cell>
          <cell r="B551">
            <v>9182300</v>
          </cell>
        </row>
        <row r="552">
          <cell r="A552">
            <v>182428</v>
          </cell>
          <cell r="B552">
            <v>9182300</v>
          </cell>
        </row>
        <row r="553">
          <cell r="A553">
            <v>182429</v>
          </cell>
          <cell r="B553">
            <v>9182300</v>
          </cell>
        </row>
        <row r="554">
          <cell r="A554">
            <v>182431</v>
          </cell>
          <cell r="B554">
            <v>9182300</v>
          </cell>
        </row>
        <row r="555">
          <cell r="A555">
            <v>182433</v>
          </cell>
          <cell r="B555">
            <v>9182300</v>
          </cell>
        </row>
        <row r="556">
          <cell r="A556">
            <v>182434</v>
          </cell>
          <cell r="B556">
            <v>9182300</v>
          </cell>
        </row>
        <row r="557">
          <cell r="A557">
            <v>182436</v>
          </cell>
          <cell r="B557">
            <v>9182300</v>
          </cell>
        </row>
        <row r="558">
          <cell r="A558">
            <v>182437</v>
          </cell>
          <cell r="B558">
            <v>9182300</v>
          </cell>
        </row>
        <row r="559">
          <cell r="A559">
            <v>182438</v>
          </cell>
          <cell r="B559">
            <v>9182300</v>
          </cell>
        </row>
        <row r="560">
          <cell r="A560">
            <v>182439</v>
          </cell>
          <cell r="B560">
            <v>9182300</v>
          </cell>
        </row>
        <row r="561">
          <cell r="A561">
            <v>182440</v>
          </cell>
          <cell r="B561">
            <v>9182300</v>
          </cell>
        </row>
        <row r="562">
          <cell r="A562">
            <v>182441</v>
          </cell>
          <cell r="B562">
            <v>9182300</v>
          </cell>
        </row>
        <row r="563">
          <cell r="A563">
            <v>182443</v>
          </cell>
          <cell r="B563">
            <v>9182300</v>
          </cell>
        </row>
        <row r="564">
          <cell r="A564">
            <v>182445</v>
          </cell>
          <cell r="B564">
            <v>9182300</v>
          </cell>
        </row>
        <row r="565">
          <cell r="A565">
            <v>182448</v>
          </cell>
          <cell r="B565">
            <v>9182300</v>
          </cell>
        </row>
        <row r="566">
          <cell r="A566">
            <v>182449</v>
          </cell>
          <cell r="B566">
            <v>9182300</v>
          </cell>
        </row>
        <row r="567">
          <cell r="A567">
            <v>182453</v>
          </cell>
          <cell r="B567">
            <v>9182300</v>
          </cell>
        </row>
        <row r="568">
          <cell r="A568">
            <v>182457</v>
          </cell>
          <cell r="B568">
            <v>9182300</v>
          </cell>
        </row>
        <row r="569">
          <cell r="A569">
            <v>182458</v>
          </cell>
          <cell r="B569">
            <v>9182300</v>
          </cell>
        </row>
        <row r="570">
          <cell r="A570">
            <v>182459</v>
          </cell>
          <cell r="B570">
            <v>9182300</v>
          </cell>
        </row>
        <row r="571">
          <cell r="A571">
            <v>182460</v>
          </cell>
          <cell r="B571">
            <v>9182300</v>
          </cell>
        </row>
        <row r="572">
          <cell r="A572">
            <v>182463</v>
          </cell>
          <cell r="B572">
            <v>9182300</v>
          </cell>
        </row>
        <row r="573">
          <cell r="A573">
            <v>182465</v>
          </cell>
          <cell r="B573">
            <v>9182300</v>
          </cell>
        </row>
        <row r="574">
          <cell r="A574">
            <v>182466</v>
          </cell>
          <cell r="B574">
            <v>9182300</v>
          </cell>
        </row>
        <row r="575">
          <cell r="A575">
            <v>182467</v>
          </cell>
          <cell r="B575">
            <v>9182300</v>
          </cell>
        </row>
        <row r="576">
          <cell r="A576">
            <v>182468</v>
          </cell>
          <cell r="B576">
            <v>9182300</v>
          </cell>
        </row>
        <row r="577">
          <cell r="A577">
            <v>182470</v>
          </cell>
          <cell r="B577">
            <v>9182300</v>
          </cell>
        </row>
        <row r="578">
          <cell r="A578">
            <v>182471</v>
          </cell>
          <cell r="B578">
            <v>9182300</v>
          </cell>
        </row>
        <row r="579">
          <cell r="A579">
            <v>182472</v>
          </cell>
          <cell r="B579">
            <v>9182300</v>
          </cell>
        </row>
        <row r="580">
          <cell r="A580">
            <v>182473</v>
          </cell>
          <cell r="B580">
            <v>9182300</v>
          </cell>
        </row>
        <row r="581">
          <cell r="A581">
            <v>182474</v>
          </cell>
          <cell r="B581">
            <v>9182300</v>
          </cell>
        </row>
        <row r="582">
          <cell r="A582">
            <v>182475</v>
          </cell>
          <cell r="B582">
            <v>9182300</v>
          </cell>
        </row>
        <row r="583">
          <cell r="A583">
            <v>182476</v>
          </cell>
          <cell r="B583">
            <v>9182300</v>
          </cell>
        </row>
        <row r="584">
          <cell r="A584">
            <v>182477</v>
          </cell>
          <cell r="B584">
            <v>9182300</v>
          </cell>
        </row>
        <row r="585">
          <cell r="A585">
            <v>182478</v>
          </cell>
          <cell r="B585">
            <v>9182300</v>
          </cell>
        </row>
        <row r="586">
          <cell r="A586">
            <v>182479</v>
          </cell>
          <cell r="B586">
            <v>9182300</v>
          </cell>
        </row>
        <row r="587">
          <cell r="A587">
            <v>182481</v>
          </cell>
          <cell r="B587">
            <v>9182300</v>
          </cell>
        </row>
        <row r="588">
          <cell r="A588">
            <v>182482</v>
          </cell>
          <cell r="B588">
            <v>9182300</v>
          </cell>
        </row>
        <row r="589">
          <cell r="A589">
            <v>182483</v>
          </cell>
          <cell r="B589">
            <v>9182300</v>
          </cell>
        </row>
        <row r="590">
          <cell r="A590">
            <v>182484</v>
          </cell>
          <cell r="B590">
            <v>9182300</v>
          </cell>
        </row>
        <row r="591">
          <cell r="A591">
            <v>182488</v>
          </cell>
          <cell r="B591">
            <v>9182300</v>
          </cell>
        </row>
        <row r="592">
          <cell r="A592">
            <v>182489</v>
          </cell>
          <cell r="B592">
            <v>9182300</v>
          </cell>
        </row>
        <row r="593">
          <cell r="A593">
            <v>182490</v>
          </cell>
          <cell r="B593">
            <v>9182300</v>
          </cell>
        </row>
        <row r="594">
          <cell r="A594">
            <v>182492</v>
          </cell>
          <cell r="B594">
            <v>9182300</v>
          </cell>
        </row>
        <row r="595">
          <cell r="A595">
            <v>182493</v>
          </cell>
          <cell r="B595">
            <v>9182300</v>
          </cell>
        </row>
        <row r="596">
          <cell r="A596">
            <v>182494</v>
          </cell>
          <cell r="B596">
            <v>9182300</v>
          </cell>
        </row>
        <row r="597">
          <cell r="A597">
            <v>182495</v>
          </cell>
          <cell r="B597">
            <v>9182300</v>
          </cell>
        </row>
        <row r="598">
          <cell r="A598">
            <v>182496</v>
          </cell>
          <cell r="B598">
            <v>9182300</v>
          </cell>
        </row>
        <row r="599">
          <cell r="A599">
            <v>182650</v>
          </cell>
          <cell r="B599">
            <v>9182300</v>
          </cell>
        </row>
        <row r="600">
          <cell r="A600">
            <v>184010</v>
          </cell>
          <cell r="B600">
            <v>9184000</v>
          </cell>
        </row>
        <row r="601">
          <cell r="A601">
            <v>184100</v>
          </cell>
          <cell r="B601">
            <v>9184000</v>
          </cell>
        </row>
        <row r="602">
          <cell r="A602">
            <v>184302</v>
          </cell>
          <cell r="B602">
            <v>9184000</v>
          </cell>
        </row>
        <row r="603">
          <cell r="A603">
            <v>184304</v>
          </cell>
          <cell r="B603">
            <v>9184000</v>
          </cell>
        </row>
        <row r="604">
          <cell r="A604">
            <v>184350</v>
          </cell>
          <cell r="B604">
            <v>9184000</v>
          </cell>
        </row>
        <row r="605">
          <cell r="A605">
            <v>184361</v>
          </cell>
          <cell r="B605">
            <v>9184000</v>
          </cell>
        </row>
        <row r="606">
          <cell r="A606">
            <v>184370</v>
          </cell>
          <cell r="B606">
            <v>9184000</v>
          </cell>
        </row>
        <row r="607">
          <cell r="A607">
            <v>184372</v>
          </cell>
          <cell r="B607">
            <v>9184000</v>
          </cell>
        </row>
        <row r="608">
          <cell r="A608">
            <v>184381</v>
          </cell>
          <cell r="B608">
            <v>9184000</v>
          </cell>
        </row>
        <row r="609">
          <cell r="A609">
            <v>184382</v>
          </cell>
          <cell r="B609">
            <v>9184000</v>
          </cell>
        </row>
        <row r="610">
          <cell r="A610">
            <v>184383</v>
          </cell>
          <cell r="B610">
            <v>9184000</v>
          </cell>
        </row>
        <row r="611">
          <cell r="A611">
            <v>184384</v>
          </cell>
          <cell r="B611">
            <v>9184000</v>
          </cell>
        </row>
        <row r="612">
          <cell r="A612">
            <v>184385</v>
          </cell>
          <cell r="B612">
            <v>9184000</v>
          </cell>
        </row>
        <row r="613">
          <cell r="A613">
            <v>184386</v>
          </cell>
          <cell r="B613">
            <v>9184000</v>
          </cell>
        </row>
        <row r="614">
          <cell r="A614">
            <v>184387</v>
          </cell>
          <cell r="B614">
            <v>9184000</v>
          </cell>
        </row>
        <row r="615">
          <cell r="A615">
            <v>184490</v>
          </cell>
          <cell r="B615">
            <v>9184000</v>
          </cell>
        </row>
        <row r="616">
          <cell r="A616">
            <v>184491</v>
          </cell>
          <cell r="B616">
            <v>9184000</v>
          </cell>
        </row>
        <row r="617">
          <cell r="A617">
            <v>184493</v>
          </cell>
          <cell r="B617">
            <v>9184000</v>
          </cell>
        </row>
        <row r="618">
          <cell r="A618">
            <v>184494</v>
          </cell>
          <cell r="B618">
            <v>9184000</v>
          </cell>
        </row>
        <row r="619">
          <cell r="A619">
            <v>184495</v>
          </cell>
          <cell r="B619">
            <v>9184000</v>
          </cell>
        </row>
        <row r="620">
          <cell r="A620">
            <v>184496</v>
          </cell>
          <cell r="B620">
            <v>9184000</v>
          </cell>
        </row>
        <row r="621">
          <cell r="A621">
            <v>184498</v>
          </cell>
          <cell r="B621">
            <v>9184000</v>
          </cell>
        </row>
        <row r="622">
          <cell r="A622">
            <v>184500</v>
          </cell>
          <cell r="B622">
            <v>9184000</v>
          </cell>
        </row>
        <row r="623">
          <cell r="A623">
            <v>184518</v>
          </cell>
          <cell r="B623">
            <v>9184000</v>
          </cell>
        </row>
        <row r="624">
          <cell r="A624">
            <v>184521</v>
          </cell>
          <cell r="B624">
            <v>9184000</v>
          </cell>
        </row>
        <row r="625">
          <cell r="A625">
            <v>184522</v>
          </cell>
          <cell r="B625">
            <v>9184000</v>
          </cell>
        </row>
        <row r="626">
          <cell r="A626">
            <v>184562</v>
          </cell>
          <cell r="B626">
            <v>9184000</v>
          </cell>
        </row>
        <row r="627">
          <cell r="A627">
            <v>184564</v>
          </cell>
          <cell r="B627">
            <v>9184000</v>
          </cell>
        </row>
        <row r="628">
          <cell r="A628">
            <v>184580</v>
          </cell>
          <cell r="B628">
            <v>9184000</v>
          </cell>
        </row>
        <row r="629">
          <cell r="A629">
            <v>184600</v>
          </cell>
          <cell r="B629">
            <v>9184000</v>
          </cell>
        </row>
        <row r="630">
          <cell r="A630">
            <v>184680</v>
          </cell>
          <cell r="B630">
            <v>9184000</v>
          </cell>
        </row>
        <row r="631">
          <cell r="A631">
            <v>184700</v>
          </cell>
          <cell r="B631">
            <v>9184000</v>
          </cell>
        </row>
        <row r="632">
          <cell r="A632">
            <v>184770</v>
          </cell>
          <cell r="B632">
            <v>9184000</v>
          </cell>
        </row>
        <row r="633">
          <cell r="A633">
            <v>184771</v>
          </cell>
          <cell r="B633">
            <v>9184000</v>
          </cell>
        </row>
        <row r="634">
          <cell r="A634">
            <v>184774</v>
          </cell>
          <cell r="B634">
            <v>9184000</v>
          </cell>
        </row>
        <row r="635">
          <cell r="A635">
            <v>184775</v>
          </cell>
          <cell r="B635">
            <v>9184000</v>
          </cell>
        </row>
        <row r="636">
          <cell r="A636">
            <v>184777</v>
          </cell>
          <cell r="B636">
            <v>9184000</v>
          </cell>
        </row>
        <row r="637">
          <cell r="A637">
            <v>184900</v>
          </cell>
          <cell r="B637">
            <v>9184000</v>
          </cell>
        </row>
        <row r="638">
          <cell r="A638">
            <v>184920</v>
          </cell>
          <cell r="B638">
            <v>9184000</v>
          </cell>
        </row>
        <row r="639">
          <cell r="A639">
            <v>184990</v>
          </cell>
          <cell r="B639">
            <v>9184000</v>
          </cell>
        </row>
        <row r="640">
          <cell r="A640">
            <v>184999</v>
          </cell>
          <cell r="B640">
            <v>9184000</v>
          </cell>
        </row>
        <row r="641">
          <cell r="A641">
            <v>185100</v>
          </cell>
          <cell r="B641">
            <v>9185000</v>
          </cell>
        </row>
        <row r="642">
          <cell r="A642">
            <v>186010</v>
          </cell>
          <cell r="B642">
            <v>9186000</v>
          </cell>
        </row>
        <row r="643">
          <cell r="A643">
            <v>186020</v>
          </cell>
          <cell r="B643">
            <v>9186000</v>
          </cell>
        </row>
        <row r="644">
          <cell r="A644">
            <v>186040</v>
          </cell>
          <cell r="B644">
            <v>9186000</v>
          </cell>
        </row>
        <row r="645">
          <cell r="A645">
            <v>186111</v>
          </cell>
          <cell r="B645">
            <v>9186000</v>
          </cell>
        </row>
        <row r="646">
          <cell r="A646">
            <v>186113</v>
          </cell>
          <cell r="B646">
            <v>9186000</v>
          </cell>
        </row>
        <row r="647">
          <cell r="A647">
            <v>186114</v>
          </cell>
          <cell r="B647">
            <v>9186000</v>
          </cell>
        </row>
        <row r="648">
          <cell r="A648">
            <v>186115</v>
          </cell>
          <cell r="B648">
            <v>9186000</v>
          </cell>
        </row>
        <row r="649">
          <cell r="A649">
            <v>186117</v>
          </cell>
          <cell r="B649">
            <v>9186000</v>
          </cell>
        </row>
        <row r="650">
          <cell r="A650">
            <v>186118</v>
          </cell>
          <cell r="B650">
            <v>9186000</v>
          </cell>
        </row>
        <row r="651">
          <cell r="A651">
            <v>186119</v>
          </cell>
          <cell r="B651">
            <v>9186000</v>
          </cell>
        </row>
        <row r="652">
          <cell r="A652">
            <v>186121</v>
          </cell>
          <cell r="B652">
            <v>9186000</v>
          </cell>
        </row>
        <row r="653">
          <cell r="A653">
            <v>186122</v>
          </cell>
          <cell r="B653">
            <v>9186000</v>
          </cell>
        </row>
        <row r="654">
          <cell r="A654">
            <v>186123</v>
          </cell>
          <cell r="B654">
            <v>9186000</v>
          </cell>
        </row>
        <row r="655">
          <cell r="A655">
            <v>186125</v>
          </cell>
          <cell r="B655">
            <v>9186000</v>
          </cell>
        </row>
        <row r="656">
          <cell r="A656">
            <v>186126</v>
          </cell>
          <cell r="B656">
            <v>9186000</v>
          </cell>
        </row>
        <row r="657">
          <cell r="A657">
            <v>186128</v>
          </cell>
          <cell r="B657">
            <v>9186000</v>
          </cell>
        </row>
        <row r="658">
          <cell r="A658">
            <v>186129</v>
          </cell>
          <cell r="B658">
            <v>9186000</v>
          </cell>
        </row>
        <row r="659">
          <cell r="A659">
            <v>186133</v>
          </cell>
          <cell r="B659">
            <v>9186000</v>
          </cell>
        </row>
        <row r="660">
          <cell r="A660">
            <v>186136</v>
          </cell>
          <cell r="B660">
            <v>9186000</v>
          </cell>
        </row>
        <row r="661">
          <cell r="A661">
            <v>186137</v>
          </cell>
          <cell r="B661">
            <v>9186000</v>
          </cell>
        </row>
        <row r="662">
          <cell r="A662">
            <v>186138</v>
          </cell>
          <cell r="B662">
            <v>9186000</v>
          </cell>
        </row>
        <row r="663">
          <cell r="A663">
            <v>186144</v>
          </cell>
          <cell r="B663">
            <v>9186000</v>
          </cell>
        </row>
        <row r="664">
          <cell r="A664">
            <v>186147</v>
          </cell>
          <cell r="B664">
            <v>9186000</v>
          </cell>
        </row>
        <row r="665">
          <cell r="A665">
            <v>186148</v>
          </cell>
          <cell r="B665">
            <v>9186000</v>
          </cell>
        </row>
        <row r="666">
          <cell r="A666">
            <v>186155</v>
          </cell>
          <cell r="B666">
            <v>9186000</v>
          </cell>
        </row>
        <row r="667">
          <cell r="A667">
            <v>186157</v>
          </cell>
          <cell r="B667">
            <v>9186000</v>
          </cell>
        </row>
        <row r="668">
          <cell r="A668">
            <v>186160</v>
          </cell>
          <cell r="B668">
            <v>9186000</v>
          </cell>
        </row>
        <row r="669">
          <cell r="A669">
            <v>186161</v>
          </cell>
          <cell r="B669">
            <v>9186000</v>
          </cell>
        </row>
        <row r="670">
          <cell r="A670">
            <v>186162</v>
          </cell>
          <cell r="B670">
            <v>9186000</v>
          </cell>
        </row>
        <row r="671">
          <cell r="A671">
            <v>186164</v>
          </cell>
          <cell r="B671">
            <v>9186000</v>
          </cell>
        </row>
        <row r="672">
          <cell r="A672">
            <v>186165</v>
          </cell>
          <cell r="B672">
            <v>9186000</v>
          </cell>
        </row>
        <row r="673">
          <cell r="A673">
            <v>186166</v>
          </cell>
          <cell r="B673">
            <v>9186000</v>
          </cell>
        </row>
        <row r="674">
          <cell r="A674">
            <v>186167</v>
          </cell>
          <cell r="B674">
            <v>9186000</v>
          </cell>
        </row>
        <row r="675">
          <cell r="A675">
            <v>186168</v>
          </cell>
          <cell r="B675">
            <v>9186000</v>
          </cell>
        </row>
        <row r="676">
          <cell r="A676">
            <v>186175</v>
          </cell>
          <cell r="B676">
            <v>9186000</v>
          </cell>
        </row>
        <row r="677">
          <cell r="A677">
            <v>186250</v>
          </cell>
          <cell r="B677">
            <v>9186000</v>
          </cell>
        </row>
        <row r="678">
          <cell r="A678">
            <v>186392</v>
          </cell>
          <cell r="B678">
            <v>9186000</v>
          </cell>
        </row>
        <row r="679">
          <cell r="A679">
            <v>186393</v>
          </cell>
          <cell r="B679">
            <v>9186000</v>
          </cell>
        </row>
        <row r="680">
          <cell r="A680">
            <v>186395</v>
          </cell>
          <cell r="B680">
            <v>9186000</v>
          </cell>
        </row>
        <row r="681">
          <cell r="A681">
            <v>186440</v>
          </cell>
          <cell r="B681">
            <v>9186000</v>
          </cell>
        </row>
        <row r="682">
          <cell r="A682">
            <v>186450</v>
          </cell>
          <cell r="B682">
            <v>9186000</v>
          </cell>
        </row>
        <row r="683">
          <cell r="A683">
            <v>186460</v>
          </cell>
          <cell r="B683">
            <v>9186000</v>
          </cell>
        </row>
        <row r="684">
          <cell r="A684">
            <v>186470</v>
          </cell>
          <cell r="B684">
            <v>9186000</v>
          </cell>
        </row>
        <row r="685">
          <cell r="A685">
            <v>186480</v>
          </cell>
          <cell r="B685">
            <v>9186000</v>
          </cell>
        </row>
        <row r="686">
          <cell r="A686">
            <v>186490</v>
          </cell>
          <cell r="B686">
            <v>9186000</v>
          </cell>
        </row>
        <row r="687">
          <cell r="A687">
            <v>186500</v>
          </cell>
          <cell r="B687">
            <v>9186000</v>
          </cell>
        </row>
        <row r="688">
          <cell r="A688">
            <v>186520</v>
          </cell>
          <cell r="B688">
            <v>9186000</v>
          </cell>
        </row>
        <row r="689">
          <cell r="A689">
            <v>186530</v>
          </cell>
          <cell r="B689">
            <v>9186000</v>
          </cell>
        </row>
        <row r="690">
          <cell r="A690">
            <v>186550</v>
          </cell>
          <cell r="B690">
            <v>9186000</v>
          </cell>
        </row>
        <row r="691">
          <cell r="A691">
            <v>186560</v>
          </cell>
          <cell r="B691">
            <v>9186000</v>
          </cell>
        </row>
        <row r="692">
          <cell r="A692">
            <v>186570</v>
          </cell>
          <cell r="B692">
            <v>9186000</v>
          </cell>
        </row>
        <row r="693">
          <cell r="A693">
            <v>186600</v>
          </cell>
          <cell r="B693">
            <v>9186000</v>
          </cell>
        </row>
        <row r="694">
          <cell r="A694">
            <v>186610</v>
          </cell>
          <cell r="B694">
            <v>9186000</v>
          </cell>
        </row>
        <row r="695">
          <cell r="A695">
            <v>186630</v>
          </cell>
          <cell r="B695">
            <v>9186000</v>
          </cell>
        </row>
        <row r="696">
          <cell r="A696">
            <v>186650</v>
          </cell>
          <cell r="B696">
            <v>9186000</v>
          </cell>
        </row>
        <row r="697">
          <cell r="A697">
            <v>186681</v>
          </cell>
          <cell r="B697">
            <v>9186000</v>
          </cell>
        </row>
        <row r="698">
          <cell r="A698">
            <v>186685</v>
          </cell>
          <cell r="B698">
            <v>9186000</v>
          </cell>
        </row>
        <row r="699">
          <cell r="A699">
            <v>186690</v>
          </cell>
          <cell r="B699">
            <v>9186000</v>
          </cell>
        </row>
        <row r="700">
          <cell r="A700">
            <v>186699</v>
          </cell>
          <cell r="B700">
            <v>9186000</v>
          </cell>
        </row>
        <row r="701">
          <cell r="A701">
            <v>186700</v>
          </cell>
          <cell r="B701">
            <v>9186000</v>
          </cell>
        </row>
        <row r="702">
          <cell r="A702">
            <v>186710</v>
          </cell>
          <cell r="B702">
            <v>9186000</v>
          </cell>
        </row>
        <row r="703">
          <cell r="A703">
            <v>186726</v>
          </cell>
          <cell r="B703">
            <v>9186000</v>
          </cell>
        </row>
        <row r="704">
          <cell r="A704">
            <v>186728</v>
          </cell>
          <cell r="B704">
            <v>9186000</v>
          </cell>
        </row>
        <row r="705">
          <cell r="A705">
            <v>186729</v>
          </cell>
          <cell r="B705">
            <v>9186000</v>
          </cell>
        </row>
        <row r="706">
          <cell r="A706">
            <v>186730</v>
          </cell>
          <cell r="B706">
            <v>9186000</v>
          </cell>
        </row>
        <row r="707">
          <cell r="A707">
            <v>186750</v>
          </cell>
          <cell r="B707">
            <v>9186000</v>
          </cell>
        </row>
        <row r="708">
          <cell r="A708">
            <v>186760</v>
          </cell>
          <cell r="B708">
            <v>9186000</v>
          </cell>
        </row>
        <row r="709">
          <cell r="A709">
            <v>186790</v>
          </cell>
          <cell r="B709">
            <v>9186000</v>
          </cell>
        </row>
        <row r="710">
          <cell r="A710">
            <v>186840</v>
          </cell>
          <cell r="B710">
            <v>9186000</v>
          </cell>
        </row>
        <row r="711">
          <cell r="A711">
            <v>186845</v>
          </cell>
          <cell r="B711">
            <v>9186000</v>
          </cell>
        </row>
        <row r="712">
          <cell r="A712">
            <v>186870</v>
          </cell>
          <cell r="B712">
            <v>9186000</v>
          </cell>
        </row>
        <row r="713">
          <cell r="A713">
            <v>186871</v>
          </cell>
          <cell r="B713">
            <v>9186000</v>
          </cell>
        </row>
        <row r="714">
          <cell r="A714">
            <v>186874</v>
          </cell>
          <cell r="B714">
            <v>9186000</v>
          </cell>
        </row>
        <row r="715">
          <cell r="A715">
            <v>186875</v>
          </cell>
          <cell r="B715">
            <v>9186000</v>
          </cell>
        </row>
        <row r="716">
          <cell r="A716">
            <v>186946</v>
          </cell>
          <cell r="B716">
            <v>9186000</v>
          </cell>
        </row>
        <row r="717">
          <cell r="A717">
            <v>186948</v>
          </cell>
          <cell r="B717">
            <v>9186000</v>
          </cell>
        </row>
        <row r="718">
          <cell r="A718">
            <v>186980</v>
          </cell>
          <cell r="B718">
            <v>9186000</v>
          </cell>
        </row>
        <row r="719">
          <cell r="A719">
            <v>188010</v>
          </cell>
          <cell r="B719">
            <v>9188000</v>
          </cell>
        </row>
        <row r="720">
          <cell r="A720">
            <v>188020</v>
          </cell>
          <cell r="B720">
            <v>9188000</v>
          </cell>
        </row>
        <row r="721">
          <cell r="A721">
            <v>189100</v>
          </cell>
          <cell r="B721">
            <v>9189000</v>
          </cell>
        </row>
        <row r="722">
          <cell r="A722">
            <v>190010</v>
          </cell>
          <cell r="B722">
            <v>9190000</v>
          </cell>
        </row>
        <row r="723">
          <cell r="A723">
            <v>190100</v>
          </cell>
          <cell r="B723">
            <v>9190000</v>
          </cell>
        </row>
        <row r="724">
          <cell r="A724">
            <v>190106</v>
          </cell>
          <cell r="B724">
            <v>9190000</v>
          </cell>
        </row>
        <row r="725">
          <cell r="A725">
            <v>190107</v>
          </cell>
          <cell r="B725">
            <v>9190000</v>
          </cell>
        </row>
        <row r="726">
          <cell r="A726">
            <v>190108</v>
          </cell>
          <cell r="B726">
            <v>9190000</v>
          </cell>
        </row>
        <row r="727">
          <cell r="A727">
            <v>190110</v>
          </cell>
          <cell r="B727">
            <v>9190000</v>
          </cell>
        </row>
        <row r="728">
          <cell r="A728">
            <v>190111</v>
          </cell>
          <cell r="B728">
            <v>9190000</v>
          </cell>
        </row>
        <row r="729">
          <cell r="A729">
            <v>190112</v>
          </cell>
          <cell r="B729">
            <v>9190000</v>
          </cell>
        </row>
        <row r="730">
          <cell r="A730">
            <v>190113</v>
          </cell>
          <cell r="B730">
            <v>9190000</v>
          </cell>
        </row>
        <row r="731">
          <cell r="A731">
            <v>190124</v>
          </cell>
          <cell r="B731">
            <v>9190000</v>
          </cell>
        </row>
        <row r="732">
          <cell r="A732">
            <v>190125</v>
          </cell>
          <cell r="B732">
            <v>9190000</v>
          </cell>
        </row>
        <row r="733">
          <cell r="A733">
            <v>190130</v>
          </cell>
          <cell r="B733">
            <v>9190000</v>
          </cell>
        </row>
        <row r="734">
          <cell r="A734">
            <v>190131</v>
          </cell>
          <cell r="B734">
            <v>9190000</v>
          </cell>
        </row>
        <row r="735">
          <cell r="A735">
            <v>190132</v>
          </cell>
          <cell r="B735">
            <v>9190000</v>
          </cell>
        </row>
        <row r="736">
          <cell r="A736">
            <v>190144</v>
          </cell>
          <cell r="B736">
            <v>9190000</v>
          </cell>
        </row>
        <row r="737">
          <cell r="A737">
            <v>190145</v>
          </cell>
          <cell r="B737">
            <v>9190000</v>
          </cell>
        </row>
        <row r="738">
          <cell r="A738">
            <v>190146</v>
          </cell>
          <cell r="B738">
            <v>9190000</v>
          </cell>
        </row>
        <row r="739">
          <cell r="A739">
            <v>190148</v>
          </cell>
          <cell r="B739">
            <v>9190000</v>
          </cell>
        </row>
        <row r="740">
          <cell r="A740">
            <v>190180</v>
          </cell>
          <cell r="B740">
            <v>9190000</v>
          </cell>
        </row>
        <row r="741">
          <cell r="A741">
            <v>190181</v>
          </cell>
          <cell r="B741">
            <v>9190000</v>
          </cell>
        </row>
        <row r="742">
          <cell r="A742">
            <v>190190</v>
          </cell>
          <cell r="B742">
            <v>9190000</v>
          </cell>
        </row>
        <row r="743">
          <cell r="A743">
            <v>190191</v>
          </cell>
          <cell r="B743">
            <v>9190000</v>
          </cell>
        </row>
        <row r="744">
          <cell r="A744">
            <v>190208</v>
          </cell>
          <cell r="B744">
            <v>9190000</v>
          </cell>
        </row>
        <row r="745">
          <cell r="A745">
            <v>190210</v>
          </cell>
          <cell r="B745">
            <v>9190000</v>
          </cell>
        </row>
        <row r="746">
          <cell r="A746">
            <v>190212</v>
          </cell>
          <cell r="B746">
            <v>9190000</v>
          </cell>
        </row>
        <row r="747">
          <cell r="A747">
            <v>190216</v>
          </cell>
          <cell r="B747">
            <v>9190000</v>
          </cell>
        </row>
        <row r="748">
          <cell r="A748">
            <v>190217</v>
          </cell>
          <cell r="B748">
            <v>9190000</v>
          </cell>
        </row>
        <row r="749">
          <cell r="A749">
            <v>190218</v>
          </cell>
          <cell r="B749">
            <v>9190000</v>
          </cell>
        </row>
        <row r="750">
          <cell r="A750">
            <v>190219</v>
          </cell>
          <cell r="B750">
            <v>9190000</v>
          </cell>
        </row>
        <row r="751">
          <cell r="A751">
            <v>190220</v>
          </cell>
          <cell r="B751">
            <v>9190000</v>
          </cell>
        </row>
        <row r="752">
          <cell r="A752">
            <v>190222</v>
          </cell>
          <cell r="B752">
            <v>9190000</v>
          </cell>
        </row>
        <row r="753">
          <cell r="A753">
            <v>190224</v>
          </cell>
          <cell r="B753">
            <v>9190000</v>
          </cell>
        </row>
        <row r="754">
          <cell r="A754">
            <v>190225</v>
          </cell>
          <cell r="B754">
            <v>9190000</v>
          </cell>
        </row>
        <row r="755">
          <cell r="A755">
            <v>190231</v>
          </cell>
          <cell r="B755">
            <v>9190000</v>
          </cell>
        </row>
        <row r="756">
          <cell r="A756">
            <v>190232</v>
          </cell>
          <cell r="B756">
            <v>9190000</v>
          </cell>
        </row>
        <row r="757">
          <cell r="A757">
            <v>190234</v>
          </cell>
          <cell r="B757">
            <v>9190000</v>
          </cell>
        </row>
        <row r="758">
          <cell r="A758">
            <v>190237</v>
          </cell>
          <cell r="B758">
            <v>9190000</v>
          </cell>
        </row>
        <row r="759">
          <cell r="A759">
            <v>190240</v>
          </cell>
          <cell r="B759">
            <v>9190000</v>
          </cell>
        </row>
        <row r="760">
          <cell r="A760">
            <v>190241</v>
          </cell>
          <cell r="B760">
            <v>9190000</v>
          </cell>
        </row>
        <row r="761">
          <cell r="A761">
            <v>190242</v>
          </cell>
          <cell r="B761">
            <v>9190000</v>
          </cell>
        </row>
        <row r="762">
          <cell r="A762">
            <v>190243</v>
          </cell>
          <cell r="B762">
            <v>9190000</v>
          </cell>
        </row>
        <row r="763">
          <cell r="A763">
            <v>190244</v>
          </cell>
          <cell r="B763">
            <v>9190000</v>
          </cell>
        </row>
        <row r="764">
          <cell r="A764">
            <v>190248</v>
          </cell>
          <cell r="B764">
            <v>9190000</v>
          </cell>
        </row>
        <row r="765">
          <cell r="A765">
            <v>190250</v>
          </cell>
          <cell r="B765">
            <v>9190000</v>
          </cell>
        </row>
        <row r="766">
          <cell r="A766">
            <v>190253</v>
          </cell>
          <cell r="B766">
            <v>9190000</v>
          </cell>
        </row>
        <row r="767">
          <cell r="A767">
            <v>190254</v>
          </cell>
          <cell r="B767">
            <v>9190000</v>
          </cell>
        </row>
        <row r="768">
          <cell r="A768">
            <v>190255</v>
          </cell>
          <cell r="B768">
            <v>9190000</v>
          </cell>
        </row>
        <row r="769">
          <cell r="A769">
            <v>190256</v>
          </cell>
          <cell r="B769">
            <v>9190000</v>
          </cell>
        </row>
        <row r="770">
          <cell r="A770">
            <v>190258</v>
          </cell>
          <cell r="B770">
            <v>9190000</v>
          </cell>
        </row>
        <row r="771">
          <cell r="A771">
            <v>190266</v>
          </cell>
          <cell r="B771">
            <v>9190000</v>
          </cell>
        </row>
        <row r="772">
          <cell r="A772">
            <v>190297</v>
          </cell>
          <cell r="B772">
            <v>9190000</v>
          </cell>
        </row>
        <row r="773">
          <cell r="A773">
            <v>190319</v>
          </cell>
          <cell r="B773">
            <v>9190000</v>
          </cell>
        </row>
        <row r="774">
          <cell r="A774">
            <v>190351</v>
          </cell>
          <cell r="B774">
            <v>9190000</v>
          </cell>
        </row>
        <row r="775">
          <cell r="A775">
            <v>190365</v>
          </cell>
          <cell r="B775">
            <v>9190000</v>
          </cell>
        </row>
        <row r="776">
          <cell r="A776">
            <v>190368</v>
          </cell>
          <cell r="B776">
            <v>9190000</v>
          </cell>
        </row>
        <row r="777">
          <cell r="A777">
            <v>190389</v>
          </cell>
          <cell r="B777">
            <v>9190000</v>
          </cell>
        </row>
        <row r="778">
          <cell r="A778">
            <v>190393</v>
          </cell>
          <cell r="B778">
            <v>9190000</v>
          </cell>
        </row>
        <row r="779">
          <cell r="A779">
            <v>190407</v>
          </cell>
          <cell r="B779">
            <v>9190000</v>
          </cell>
        </row>
        <row r="780">
          <cell r="A780">
            <v>190417</v>
          </cell>
          <cell r="B780">
            <v>9190000</v>
          </cell>
        </row>
        <row r="781">
          <cell r="A781">
            <v>190419</v>
          </cell>
          <cell r="B781">
            <v>9190000</v>
          </cell>
        </row>
        <row r="782">
          <cell r="A782">
            <v>190425</v>
          </cell>
          <cell r="B782">
            <v>9190000</v>
          </cell>
        </row>
        <row r="783">
          <cell r="A783">
            <v>190426</v>
          </cell>
          <cell r="B783">
            <v>9190000</v>
          </cell>
        </row>
        <row r="784">
          <cell r="A784">
            <v>190431</v>
          </cell>
          <cell r="B784">
            <v>9190000</v>
          </cell>
        </row>
        <row r="785">
          <cell r="A785">
            <v>190433</v>
          </cell>
          <cell r="B785">
            <v>9190000</v>
          </cell>
        </row>
        <row r="786">
          <cell r="A786">
            <v>190434</v>
          </cell>
          <cell r="B786">
            <v>9190000</v>
          </cell>
        </row>
        <row r="787">
          <cell r="A787">
            <v>190435</v>
          </cell>
          <cell r="B787">
            <v>9190000</v>
          </cell>
        </row>
        <row r="788">
          <cell r="A788">
            <v>190436</v>
          </cell>
          <cell r="B788">
            <v>9190000</v>
          </cell>
        </row>
        <row r="789">
          <cell r="A789">
            <v>190444</v>
          </cell>
          <cell r="B789">
            <v>9190000</v>
          </cell>
        </row>
        <row r="790">
          <cell r="A790">
            <v>190445</v>
          </cell>
          <cell r="B790">
            <v>9190000</v>
          </cell>
        </row>
        <row r="791">
          <cell r="A791">
            <v>190448</v>
          </cell>
          <cell r="B791">
            <v>9190000</v>
          </cell>
        </row>
        <row r="792">
          <cell r="A792">
            <v>190457</v>
          </cell>
          <cell r="B792">
            <v>9190000</v>
          </cell>
        </row>
        <row r="793">
          <cell r="A793">
            <v>190459</v>
          </cell>
          <cell r="B793">
            <v>9190000</v>
          </cell>
        </row>
        <row r="794">
          <cell r="A794">
            <v>190463</v>
          </cell>
          <cell r="B794">
            <v>9190000</v>
          </cell>
        </row>
        <row r="795">
          <cell r="A795">
            <v>190485</v>
          </cell>
          <cell r="B795">
            <v>9190000</v>
          </cell>
        </row>
        <row r="796">
          <cell r="A796">
            <v>190501</v>
          </cell>
          <cell r="B796">
            <v>9190000</v>
          </cell>
        </row>
        <row r="797">
          <cell r="A797">
            <v>190510</v>
          </cell>
          <cell r="B797">
            <v>9190000</v>
          </cell>
        </row>
        <row r="798">
          <cell r="A798">
            <v>190520</v>
          </cell>
          <cell r="B798">
            <v>9190000</v>
          </cell>
        </row>
        <row r="799">
          <cell r="A799">
            <v>190561</v>
          </cell>
          <cell r="B799">
            <v>9190000</v>
          </cell>
        </row>
        <row r="800">
          <cell r="A800">
            <v>190640</v>
          </cell>
          <cell r="B800">
            <v>9190000</v>
          </cell>
        </row>
        <row r="801">
          <cell r="A801">
            <v>190641</v>
          </cell>
          <cell r="B801">
            <v>9190000</v>
          </cell>
        </row>
        <row r="802">
          <cell r="A802">
            <v>190642</v>
          </cell>
          <cell r="B802">
            <v>9190000</v>
          </cell>
        </row>
        <row r="803">
          <cell r="A803">
            <v>190643</v>
          </cell>
          <cell r="B803">
            <v>9190000</v>
          </cell>
        </row>
        <row r="804">
          <cell r="A804">
            <v>190700</v>
          </cell>
          <cell r="B804">
            <v>9190000</v>
          </cell>
        </row>
        <row r="805">
          <cell r="A805">
            <v>190738</v>
          </cell>
          <cell r="B805">
            <v>9190000</v>
          </cell>
        </row>
        <row r="806">
          <cell r="A806">
            <v>190745</v>
          </cell>
          <cell r="B806">
            <v>9190000</v>
          </cell>
        </row>
        <row r="807">
          <cell r="A807">
            <v>190746</v>
          </cell>
          <cell r="B807">
            <v>9190000</v>
          </cell>
        </row>
        <row r="808">
          <cell r="A808">
            <v>190748</v>
          </cell>
          <cell r="B808">
            <v>9190000</v>
          </cell>
        </row>
        <row r="809">
          <cell r="A809">
            <v>190800</v>
          </cell>
          <cell r="B809">
            <v>9190000</v>
          </cell>
        </row>
        <row r="810">
          <cell r="A810">
            <v>190910</v>
          </cell>
          <cell r="B810">
            <v>9190000</v>
          </cell>
        </row>
        <row r="811">
          <cell r="A811">
            <v>190912</v>
          </cell>
          <cell r="B811">
            <v>9190000</v>
          </cell>
        </row>
        <row r="812">
          <cell r="A812">
            <v>190925</v>
          </cell>
          <cell r="B812">
            <v>9190000</v>
          </cell>
        </row>
        <row r="813">
          <cell r="A813">
            <v>190926</v>
          </cell>
          <cell r="B813">
            <v>9190000</v>
          </cell>
        </row>
        <row r="814">
          <cell r="A814">
            <v>190961</v>
          </cell>
          <cell r="B814">
            <v>9190000</v>
          </cell>
        </row>
        <row r="815">
          <cell r="A815">
            <v>201100</v>
          </cell>
          <cell r="B815">
            <v>9201000</v>
          </cell>
        </row>
        <row r="816">
          <cell r="A816">
            <v>204410</v>
          </cell>
          <cell r="B816">
            <v>9204000</v>
          </cell>
        </row>
        <row r="817">
          <cell r="A817">
            <v>204430</v>
          </cell>
          <cell r="B817">
            <v>9204000</v>
          </cell>
        </row>
        <row r="818">
          <cell r="A818">
            <v>204440</v>
          </cell>
          <cell r="B818">
            <v>9204000</v>
          </cell>
        </row>
        <row r="819">
          <cell r="A819">
            <v>204450</v>
          </cell>
          <cell r="B819">
            <v>9204000</v>
          </cell>
        </row>
        <row r="820">
          <cell r="A820">
            <v>204600</v>
          </cell>
          <cell r="B820">
            <v>9204000</v>
          </cell>
        </row>
        <row r="821">
          <cell r="A821">
            <v>204610</v>
          </cell>
          <cell r="B821">
            <v>9204000</v>
          </cell>
        </row>
        <row r="822">
          <cell r="A822">
            <v>204620</v>
          </cell>
          <cell r="B822">
            <v>9204000</v>
          </cell>
        </row>
        <row r="823">
          <cell r="A823">
            <v>207410</v>
          </cell>
          <cell r="B823">
            <v>9207000</v>
          </cell>
        </row>
        <row r="824">
          <cell r="A824">
            <v>207430</v>
          </cell>
          <cell r="B824">
            <v>9207000</v>
          </cell>
        </row>
        <row r="825">
          <cell r="A825">
            <v>207440</v>
          </cell>
          <cell r="B825">
            <v>9207000</v>
          </cell>
        </row>
        <row r="826">
          <cell r="A826">
            <v>207450</v>
          </cell>
          <cell r="B826">
            <v>9207000</v>
          </cell>
        </row>
        <row r="827">
          <cell r="A827">
            <v>211100</v>
          </cell>
          <cell r="B827">
            <v>9211000</v>
          </cell>
        </row>
        <row r="828">
          <cell r="A828">
            <v>211325</v>
          </cell>
          <cell r="B828">
            <v>9211000</v>
          </cell>
        </row>
        <row r="829">
          <cell r="A829">
            <v>211350</v>
          </cell>
          <cell r="B829">
            <v>9211000</v>
          </cell>
        </row>
        <row r="830">
          <cell r="A830">
            <v>214100</v>
          </cell>
          <cell r="B830">
            <v>9214000</v>
          </cell>
        </row>
        <row r="831">
          <cell r="A831">
            <v>215120</v>
          </cell>
          <cell r="B831">
            <v>9215100</v>
          </cell>
        </row>
        <row r="832">
          <cell r="A832">
            <v>215140</v>
          </cell>
          <cell r="B832">
            <v>9215100</v>
          </cell>
        </row>
        <row r="833">
          <cell r="A833">
            <v>215150</v>
          </cell>
          <cell r="B833">
            <v>9215100</v>
          </cell>
        </row>
        <row r="834">
          <cell r="A834">
            <v>215180</v>
          </cell>
          <cell r="B834">
            <v>9215100</v>
          </cell>
        </row>
        <row r="835">
          <cell r="A835">
            <v>215200</v>
          </cell>
          <cell r="B835">
            <v>9215100</v>
          </cell>
        </row>
        <row r="836">
          <cell r="A836">
            <v>215220</v>
          </cell>
          <cell r="B836">
            <v>9215100</v>
          </cell>
        </row>
        <row r="837">
          <cell r="A837">
            <v>215240</v>
          </cell>
          <cell r="B837">
            <v>9215100</v>
          </cell>
        </row>
        <row r="838">
          <cell r="A838">
            <v>215260</v>
          </cell>
          <cell r="B838">
            <v>9215100</v>
          </cell>
        </row>
        <row r="839">
          <cell r="A839">
            <v>215280</v>
          </cell>
          <cell r="B839">
            <v>9215100</v>
          </cell>
        </row>
        <row r="840">
          <cell r="A840">
            <v>215300</v>
          </cell>
          <cell r="B840">
            <v>9215100</v>
          </cell>
        </row>
        <row r="841">
          <cell r="A841">
            <v>215320</v>
          </cell>
          <cell r="B841">
            <v>9215100</v>
          </cell>
        </row>
        <row r="842">
          <cell r="A842">
            <v>215340</v>
          </cell>
          <cell r="B842">
            <v>9215100</v>
          </cell>
        </row>
        <row r="843">
          <cell r="A843">
            <v>215360</v>
          </cell>
          <cell r="B843">
            <v>9215100</v>
          </cell>
        </row>
        <row r="844">
          <cell r="A844">
            <v>215380</v>
          </cell>
          <cell r="B844">
            <v>9215100</v>
          </cell>
        </row>
        <row r="845">
          <cell r="A845">
            <v>215410</v>
          </cell>
          <cell r="B845">
            <v>9215100</v>
          </cell>
        </row>
        <row r="846">
          <cell r="A846">
            <v>215420</v>
          </cell>
          <cell r="B846">
            <v>9215100</v>
          </cell>
        </row>
        <row r="847">
          <cell r="A847">
            <v>215490</v>
          </cell>
          <cell r="B847">
            <v>9215100</v>
          </cell>
        </row>
        <row r="848">
          <cell r="A848">
            <v>215500</v>
          </cell>
          <cell r="B848">
            <v>9215100</v>
          </cell>
        </row>
        <row r="849">
          <cell r="A849">
            <v>215550</v>
          </cell>
          <cell r="B849">
            <v>9215100</v>
          </cell>
        </row>
        <row r="850">
          <cell r="A850">
            <v>215620</v>
          </cell>
          <cell r="B850">
            <v>9215100</v>
          </cell>
        </row>
        <row r="851">
          <cell r="A851">
            <v>216010</v>
          </cell>
          <cell r="B851">
            <v>9216000</v>
          </cell>
        </row>
        <row r="852">
          <cell r="A852">
            <v>216110</v>
          </cell>
          <cell r="B852">
            <v>9216100</v>
          </cell>
        </row>
        <row r="853">
          <cell r="A853">
            <v>216130</v>
          </cell>
          <cell r="B853">
            <v>9216100</v>
          </cell>
        </row>
        <row r="854">
          <cell r="A854">
            <v>216140</v>
          </cell>
          <cell r="B854">
            <v>9216100</v>
          </cell>
        </row>
        <row r="855">
          <cell r="A855">
            <v>216150</v>
          </cell>
          <cell r="B855">
            <v>9216100</v>
          </cell>
        </row>
        <row r="856">
          <cell r="A856">
            <v>216160</v>
          </cell>
          <cell r="B856">
            <v>9216100</v>
          </cell>
        </row>
        <row r="857">
          <cell r="A857">
            <v>216180</v>
          </cell>
          <cell r="B857">
            <v>9216100</v>
          </cell>
        </row>
        <row r="858">
          <cell r="A858">
            <v>216190</v>
          </cell>
          <cell r="B858">
            <v>9216100</v>
          </cell>
        </row>
        <row r="859">
          <cell r="A859">
            <v>216200</v>
          </cell>
          <cell r="B859">
            <v>9216100</v>
          </cell>
        </row>
        <row r="860">
          <cell r="A860">
            <v>217100</v>
          </cell>
          <cell r="B860">
            <v>9217000</v>
          </cell>
        </row>
        <row r="861">
          <cell r="A861">
            <v>219320</v>
          </cell>
          <cell r="B861">
            <v>9219000</v>
          </cell>
        </row>
        <row r="862">
          <cell r="A862">
            <v>219321</v>
          </cell>
          <cell r="B862">
            <v>9219000</v>
          </cell>
        </row>
        <row r="863">
          <cell r="A863">
            <v>219322</v>
          </cell>
          <cell r="B863">
            <v>9219000</v>
          </cell>
        </row>
        <row r="864">
          <cell r="A864">
            <v>221175</v>
          </cell>
          <cell r="B864">
            <v>9221000</v>
          </cell>
        </row>
        <row r="865">
          <cell r="A865">
            <v>221180</v>
          </cell>
          <cell r="B865">
            <v>9221000</v>
          </cell>
        </row>
        <row r="866">
          <cell r="A866">
            <v>221190</v>
          </cell>
          <cell r="B866">
            <v>9221000</v>
          </cell>
        </row>
        <row r="867">
          <cell r="A867">
            <v>221235</v>
          </cell>
          <cell r="B867">
            <v>9221000</v>
          </cell>
        </row>
        <row r="868">
          <cell r="A868">
            <v>221240</v>
          </cell>
          <cell r="B868">
            <v>9221000</v>
          </cell>
        </row>
        <row r="869">
          <cell r="A869">
            <v>221245</v>
          </cell>
          <cell r="B869">
            <v>9221000</v>
          </cell>
        </row>
        <row r="870">
          <cell r="A870">
            <v>221250</v>
          </cell>
          <cell r="B870">
            <v>9221000</v>
          </cell>
        </row>
        <row r="871">
          <cell r="A871">
            <v>221255</v>
          </cell>
          <cell r="B871">
            <v>9221000</v>
          </cell>
        </row>
        <row r="872">
          <cell r="A872">
            <v>221260</v>
          </cell>
          <cell r="B872">
            <v>9221000</v>
          </cell>
        </row>
        <row r="873">
          <cell r="A873">
            <v>221270</v>
          </cell>
          <cell r="B873">
            <v>9221000</v>
          </cell>
        </row>
        <row r="874">
          <cell r="A874">
            <v>221275</v>
          </cell>
          <cell r="B874">
            <v>9221000</v>
          </cell>
        </row>
        <row r="875">
          <cell r="A875">
            <v>221280</v>
          </cell>
          <cell r="B875">
            <v>9221000</v>
          </cell>
        </row>
        <row r="876">
          <cell r="A876">
            <v>221285</v>
          </cell>
          <cell r="B876">
            <v>9221000</v>
          </cell>
        </row>
        <row r="877">
          <cell r="A877">
            <v>221930</v>
          </cell>
          <cell r="B877">
            <v>9221000</v>
          </cell>
        </row>
        <row r="878">
          <cell r="A878">
            <v>221940</v>
          </cell>
          <cell r="B878">
            <v>9221000</v>
          </cell>
        </row>
        <row r="879">
          <cell r="A879">
            <v>221945</v>
          </cell>
          <cell r="B879">
            <v>9221000</v>
          </cell>
        </row>
        <row r="880">
          <cell r="A880">
            <v>221950</v>
          </cell>
          <cell r="B880">
            <v>9221000</v>
          </cell>
        </row>
        <row r="881">
          <cell r="A881">
            <v>222940</v>
          </cell>
          <cell r="B881">
            <v>9222000</v>
          </cell>
        </row>
        <row r="882">
          <cell r="A882">
            <v>223500</v>
          </cell>
          <cell r="B882">
            <v>9223000</v>
          </cell>
        </row>
        <row r="883">
          <cell r="A883">
            <v>224250</v>
          </cell>
          <cell r="B883">
            <v>9224000</v>
          </cell>
        </row>
        <row r="884">
          <cell r="A884">
            <v>224380</v>
          </cell>
          <cell r="B884">
            <v>9224000</v>
          </cell>
        </row>
        <row r="885">
          <cell r="A885">
            <v>224385</v>
          </cell>
          <cell r="B885">
            <v>9224000</v>
          </cell>
        </row>
        <row r="886">
          <cell r="A886">
            <v>224386</v>
          </cell>
          <cell r="B886">
            <v>9224000</v>
          </cell>
        </row>
        <row r="887">
          <cell r="A887">
            <v>224387</v>
          </cell>
          <cell r="B887">
            <v>9224000</v>
          </cell>
        </row>
        <row r="888">
          <cell r="A888">
            <v>224630</v>
          </cell>
          <cell r="B888">
            <v>9224000</v>
          </cell>
        </row>
        <row r="889">
          <cell r="A889">
            <v>224635</v>
          </cell>
          <cell r="B889">
            <v>9224000</v>
          </cell>
        </row>
        <row r="890">
          <cell r="A890">
            <v>224636</v>
          </cell>
          <cell r="B890">
            <v>9224000</v>
          </cell>
        </row>
        <row r="891">
          <cell r="A891">
            <v>224637</v>
          </cell>
          <cell r="B891">
            <v>9224000</v>
          </cell>
        </row>
        <row r="892">
          <cell r="A892">
            <v>224638</v>
          </cell>
          <cell r="B892">
            <v>9224000</v>
          </cell>
        </row>
        <row r="893">
          <cell r="A893">
            <v>224639</v>
          </cell>
          <cell r="B893">
            <v>9224000</v>
          </cell>
        </row>
        <row r="894">
          <cell r="A894">
            <v>226100</v>
          </cell>
          <cell r="B894">
            <v>9226000</v>
          </cell>
        </row>
        <row r="895">
          <cell r="A895">
            <v>227111</v>
          </cell>
          <cell r="B895">
            <v>9227000</v>
          </cell>
        </row>
        <row r="896">
          <cell r="A896">
            <v>228110</v>
          </cell>
          <cell r="B896">
            <v>9228100</v>
          </cell>
        </row>
        <row r="897">
          <cell r="A897">
            <v>228115</v>
          </cell>
          <cell r="B897">
            <v>9228100</v>
          </cell>
        </row>
        <row r="898">
          <cell r="A898">
            <v>228116</v>
          </cell>
          <cell r="B898">
            <v>9228100</v>
          </cell>
        </row>
        <row r="899">
          <cell r="A899">
            <v>228119</v>
          </cell>
          <cell r="B899">
            <v>9228100</v>
          </cell>
        </row>
        <row r="900">
          <cell r="A900">
            <v>228120</v>
          </cell>
          <cell r="B900">
            <v>9228100</v>
          </cell>
        </row>
        <row r="901">
          <cell r="A901">
            <v>228125</v>
          </cell>
          <cell r="B901">
            <v>9228100</v>
          </cell>
        </row>
        <row r="902">
          <cell r="A902">
            <v>228126</v>
          </cell>
          <cell r="B902">
            <v>9228100</v>
          </cell>
        </row>
        <row r="903">
          <cell r="A903">
            <v>228129</v>
          </cell>
          <cell r="B903">
            <v>9228100</v>
          </cell>
        </row>
        <row r="904">
          <cell r="A904">
            <v>228155</v>
          </cell>
          <cell r="B904">
            <v>9228100</v>
          </cell>
        </row>
        <row r="905">
          <cell r="A905">
            <v>228156</v>
          </cell>
          <cell r="B905">
            <v>9228100</v>
          </cell>
        </row>
        <row r="906">
          <cell r="A906">
            <v>228170</v>
          </cell>
          <cell r="B906">
            <v>9228100</v>
          </cell>
        </row>
        <row r="907">
          <cell r="A907">
            <v>228175</v>
          </cell>
          <cell r="B907">
            <v>9228100</v>
          </cell>
        </row>
        <row r="908">
          <cell r="A908">
            <v>228176</v>
          </cell>
          <cell r="B908">
            <v>9228100</v>
          </cell>
        </row>
        <row r="909">
          <cell r="A909">
            <v>228179</v>
          </cell>
          <cell r="B909">
            <v>9228100</v>
          </cell>
        </row>
        <row r="910">
          <cell r="A910">
            <v>228190</v>
          </cell>
          <cell r="B910">
            <v>9228100</v>
          </cell>
        </row>
        <row r="911">
          <cell r="A911">
            <v>228199</v>
          </cell>
          <cell r="B911">
            <v>9228100</v>
          </cell>
        </row>
        <row r="912">
          <cell r="A912">
            <v>228210</v>
          </cell>
          <cell r="B912">
            <v>9228200</v>
          </cell>
        </row>
        <row r="913">
          <cell r="A913">
            <v>228290</v>
          </cell>
          <cell r="B913">
            <v>9228200</v>
          </cell>
        </row>
        <row r="914">
          <cell r="A914">
            <v>228299</v>
          </cell>
          <cell r="B914">
            <v>9228200</v>
          </cell>
        </row>
        <row r="915">
          <cell r="A915">
            <v>228304</v>
          </cell>
          <cell r="B915">
            <v>9228300</v>
          </cell>
        </row>
        <row r="916">
          <cell r="A916">
            <v>228305</v>
          </cell>
          <cell r="B916">
            <v>9228300</v>
          </cell>
        </row>
        <row r="917">
          <cell r="A917">
            <v>228306</v>
          </cell>
          <cell r="B917">
            <v>9228300</v>
          </cell>
        </row>
        <row r="918">
          <cell r="A918">
            <v>228312</v>
          </cell>
          <cell r="B918">
            <v>9228300</v>
          </cell>
        </row>
        <row r="919">
          <cell r="A919">
            <v>228313</v>
          </cell>
          <cell r="B919">
            <v>9228300</v>
          </cell>
        </row>
        <row r="920">
          <cell r="A920">
            <v>228314</v>
          </cell>
          <cell r="B920">
            <v>9228300</v>
          </cell>
        </row>
        <row r="921">
          <cell r="A921">
            <v>228326</v>
          </cell>
          <cell r="B921">
            <v>9228300</v>
          </cell>
        </row>
        <row r="922">
          <cell r="A922">
            <v>228338</v>
          </cell>
          <cell r="B922">
            <v>9228300</v>
          </cell>
        </row>
        <row r="923">
          <cell r="A923">
            <v>228341</v>
          </cell>
          <cell r="B923">
            <v>9228300</v>
          </cell>
        </row>
        <row r="924">
          <cell r="A924">
            <v>228342</v>
          </cell>
          <cell r="B924">
            <v>9228300</v>
          </cell>
        </row>
        <row r="925">
          <cell r="A925">
            <v>228343</v>
          </cell>
          <cell r="B925">
            <v>9228300</v>
          </cell>
        </row>
        <row r="926">
          <cell r="A926">
            <v>228346</v>
          </cell>
          <cell r="B926">
            <v>9228300</v>
          </cell>
        </row>
        <row r="927">
          <cell r="A927">
            <v>228348</v>
          </cell>
          <cell r="B927">
            <v>9228300</v>
          </cell>
        </row>
        <row r="928">
          <cell r="A928">
            <v>228354</v>
          </cell>
          <cell r="B928">
            <v>9228300</v>
          </cell>
        </row>
        <row r="929">
          <cell r="A929">
            <v>228355</v>
          </cell>
          <cell r="B929">
            <v>9228300</v>
          </cell>
        </row>
        <row r="930">
          <cell r="A930">
            <v>228361</v>
          </cell>
          <cell r="B930">
            <v>9228300</v>
          </cell>
        </row>
        <row r="931">
          <cell r="A931">
            <v>228362</v>
          </cell>
          <cell r="B931">
            <v>9228300</v>
          </cell>
        </row>
        <row r="932">
          <cell r="A932">
            <v>228363</v>
          </cell>
          <cell r="B932">
            <v>9228300</v>
          </cell>
        </row>
        <row r="933">
          <cell r="A933">
            <v>228364</v>
          </cell>
          <cell r="B933">
            <v>9228300</v>
          </cell>
        </row>
        <row r="934">
          <cell r="A934">
            <v>228365</v>
          </cell>
          <cell r="B934">
            <v>9228300</v>
          </cell>
        </row>
        <row r="935">
          <cell r="A935">
            <v>228366</v>
          </cell>
          <cell r="B935">
            <v>9228300</v>
          </cell>
        </row>
        <row r="936">
          <cell r="A936">
            <v>228367</v>
          </cell>
          <cell r="B936">
            <v>9228300</v>
          </cell>
        </row>
        <row r="937">
          <cell r="A937">
            <v>228368</v>
          </cell>
          <cell r="B937">
            <v>9228300</v>
          </cell>
        </row>
        <row r="938">
          <cell r="A938">
            <v>228369</v>
          </cell>
          <cell r="B938">
            <v>9228300</v>
          </cell>
        </row>
        <row r="939">
          <cell r="A939">
            <v>228371</v>
          </cell>
          <cell r="B939">
            <v>9228300</v>
          </cell>
        </row>
        <row r="940">
          <cell r="A940">
            <v>228372</v>
          </cell>
          <cell r="B940">
            <v>9228300</v>
          </cell>
        </row>
        <row r="941">
          <cell r="A941">
            <v>228373</v>
          </cell>
          <cell r="B941">
            <v>9228300</v>
          </cell>
        </row>
        <row r="942">
          <cell r="A942">
            <v>228374</v>
          </cell>
          <cell r="B942">
            <v>9228300</v>
          </cell>
        </row>
        <row r="943">
          <cell r="A943">
            <v>228375</v>
          </cell>
          <cell r="B943">
            <v>9228300</v>
          </cell>
        </row>
        <row r="944">
          <cell r="A944">
            <v>228376</v>
          </cell>
          <cell r="B944">
            <v>9228300</v>
          </cell>
        </row>
        <row r="945">
          <cell r="A945">
            <v>228377</v>
          </cell>
          <cell r="B945">
            <v>9228300</v>
          </cell>
        </row>
        <row r="946">
          <cell r="A946">
            <v>228380</v>
          </cell>
          <cell r="B946">
            <v>9228300</v>
          </cell>
        </row>
        <row r="947">
          <cell r="A947">
            <v>228381</v>
          </cell>
          <cell r="B947">
            <v>9228300</v>
          </cell>
        </row>
        <row r="948">
          <cell r="A948">
            <v>228385</v>
          </cell>
          <cell r="B948">
            <v>9228300</v>
          </cell>
        </row>
        <row r="949">
          <cell r="A949">
            <v>228393</v>
          </cell>
          <cell r="B949">
            <v>9228300</v>
          </cell>
        </row>
        <row r="950">
          <cell r="A950">
            <v>228395</v>
          </cell>
          <cell r="B950">
            <v>9228300</v>
          </cell>
        </row>
        <row r="951">
          <cell r="A951">
            <v>228396</v>
          </cell>
          <cell r="B951">
            <v>9228300</v>
          </cell>
        </row>
        <row r="952">
          <cell r="A952">
            <v>228397</v>
          </cell>
          <cell r="B952">
            <v>9228300</v>
          </cell>
        </row>
        <row r="953">
          <cell r="A953">
            <v>228398</v>
          </cell>
          <cell r="B953">
            <v>9228300</v>
          </cell>
        </row>
        <row r="954">
          <cell r="A954">
            <v>228399</v>
          </cell>
          <cell r="B954">
            <v>9228300</v>
          </cell>
        </row>
        <row r="955">
          <cell r="A955">
            <v>228473</v>
          </cell>
          <cell r="B955">
            <v>9228400</v>
          </cell>
        </row>
        <row r="956">
          <cell r="A956">
            <v>228474</v>
          </cell>
          <cell r="B956">
            <v>9228400</v>
          </cell>
        </row>
        <row r="957">
          <cell r="A957">
            <v>228475</v>
          </cell>
          <cell r="B957">
            <v>9228400</v>
          </cell>
        </row>
        <row r="958">
          <cell r="A958">
            <v>228476</v>
          </cell>
          <cell r="B958">
            <v>9228400</v>
          </cell>
        </row>
        <row r="959">
          <cell r="A959">
            <v>228500</v>
          </cell>
          <cell r="B959">
            <v>9228300</v>
          </cell>
        </row>
        <row r="960">
          <cell r="A960">
            <v>228570</v>
          </cell>
          <cell r="B960">
            <v>9228300</v>
          </cell>
        </row>
        <row r="961">
          <cell r="A961">
            <v>228583</v>
          </cell>
          <cell r="B961">
            <v>9228300</v>
          </cell>
        </row>
        <row r="962">
          <cell r="A962">
            <v>228584</v>
          </cell>
          <cell r="B962">
            <v>9228300</v>
          </cell>
        </row>
        <row r="963">
          <cell r="A963">
            <v>230100</v>
          </cell>
          <cell r="B963">
            <v>9230000</v>
          </cell>
        </row>
        <row r="964">
          <cell r="A964">
            <v>231020</v>
          </cell>
          <cell r="B964">
            <v>9231000</v>
          </cell>
        </row>
        <row r="965">
          <cell r="A965">
            <v>231050</v>
          </cell>
          <cell r="B965">
            <v>9231000</v>
          </cell>
        </row>
        <row r="966">
          <cell r="A966">
            <v>231051</v>
          </cell>
          <cell r="B966">
            <v>9231000</v>
          </cell>
        </row>
        <row r="967">
          <cell r="A967">
            <v>232100</v>
          </cell>
          <cell r="B967">
            <v>9232000</v>
          </cell>
        </row>
        <row r="968">
          <cell r="A968">
            <v>232110</v>
          </cell>
          <cell r="B968">
            <v>9232000</v>
          </cell>
        </row>
        <row r="969">
          <cell r="A969">
            <v>232155</v>
          </cell>
          <cell r="B969">
            <v>9232000</v>
          </cell>
        </row>
        <row r="970">
          <cell r="A970">
            <v>232156</v>
          </cell>
          <cell r="B970">
            <v>9232000</v>
          </cell>
        </row>
        <row r="971">
          <cell r="A971">
            <v>232201</v>
          </cell>
          <cell r="B971">
            <v>9232000</v>
          </cell>
        </row>
        <row r="972">
          <cell r="A972">
            <v>232202</v>
          </cell>
          <cell r="B972">
            <v>9232000</v>
          </cell>
        </row>
        <row r="973">
          <cell r="A973">
            <v>232204</v>
          </cell>
          <cell r="B973">
            <v>9232000</v>
          </cell>
        </row>
        <row r="974">
          <cell r="A974">
            <v>232205</v>
          </cell>
          <cell r="B974">
            <v>9232000</v>
          </cell>
        </row>
        <row r="975">
          <cell r="A975">
            <v>232220</v>
          </cell>
          <cell r="B975">
            <v>9232000</v>
          </cell>
        </row>
        <row r="976">
          <cell r="A976">
            <v>232263</v>
          </cell>
          <cell r="B976">
            <v>9232000</v>
          </cell>
        </row>
        <row r="977">
          <cell r="A977">
            <v>232270</v>
          </cell>
          <cell r="B977">
            <v>9232000</v>
          </cell>
        </row>
        <row r="978">
          <cell r="A978">
            <v>232293</v>
          </cell>
          <cell r="B978">
            <v>9232000</v>
          </cell>
        </row>
        <row r="979">
          <cell r="A979">
            <v>232350</v>
          </cell>
          <cell r="B979">
            <v>9232000</v>
          </cell>
        </row>
        <row r="980">
          <cell r="A980">
            <v>232407</v>
          </cell>
          <cell r="B980">
            <v>9232000</v>
          </cell>
        </row>
        <row r="981">
          <cell r="A981">
            <v>232408</v>
          </cell>
          <cell r="B981">
            <v>9232000</v>
          </cell>
        </row>
        <row r="982">
          <cell r="A982">
            <v>232420</v>
          </cell>
          <cell r="B982">
            <v>9232000</v>
          </cell>
        </row>
        <row r="983">
          <cell r="A983">
            <v>232425</v>
          </cell>
          <cell r="B983">
            <v>9232000</v>
          </cell>
        </row>
        <row r="984">
          <cell r="A984">
            <v>232430</v>
          </cell>
          <cell r="B984">
            <v>9232000</v>
          </cell>
        </row>
        <row r="985">
          <cell r="A985">
            <v>232440</v>
          </cell>
          <cell r="B985">
            <v>9232000</v>
          </cell>
        </row>
        <row r="986">
          <cell r="A986">
            <v>232445</v>
          </cell>
          <cell r="B986">
            <v>9232000</v>
          </cell>
        </row>
        <row r="987">
          <cell r="A987">
            <v>232460</v>
          </cell>
          <cell r="B987">
            <v>9232000</v>
          </cell>
        </row>
        <row r="988">
          <cell r="A988">
            <v>232490</v>
          </cell>
          <cell r="B988">
            <v>9232000</v>
          </cell>
        </row>
        <row r="989">
          <cell r="A989">
            <v>232500</v>
          </cell>
          <cell r="B989">
            <v>9232000</v>
          </cell>
        </row>
        <row r="990">
          <cell r="A990">
            <v>232505</v>
          </cell>
          <cell r="B990">
            <v>9232000</v>
          </cell>
        </row>
        <row r="991">
          <cell r="A991">
            <v>232510</v>
          </cell>
          <cell r="B991">
            <v>9232000</v>
          </cell>
        </row>
        <row r="992">
          <cell r="A992">
            <v>232520</v>
          </cell>
          <cell r="B992">
            <v>9232000</v>
          </cell>
        </row>
        <row r="993">
          <cell r="A993">
            <v>232530</v>
          </cell>
          <cell r="B993">
            <v>9232000</v>
          </cell>
        </row>
        <row r="994">
          <cell r="A994">
            <v>232540</v>
          </cell>
          <cell r="B994">
            <v>9232000</v>
          </cell>
        </row>
        <row r="995">
          <cell r="A995">
            <v>232550</v>
          </cell>
          <cell r="B995">
            <v>9232000</v>
          </cell>
        </row>
        <row r="996">
          <cell r="A996">
            <v>232585</v>
          </cell>
          <cell r="B996">
            <v>9232000</v>
          </cell>
        </row>
        <row r="997">
          <cell r="A997">
            <v>232588</v>
          </cell>
          <cell r="B997">
            <v>9232000</v>
          </cell>
        </row>
        <row r="998">
          <cell r="A998">
            <v>232591</v>
          </cell>
          <cell r="B998">
            <v>9232000</v>
          </cell>
        </row>
        <row r="999">
          <cell r="A999">
            <v>232610</v>
          </cell>
          <cell r="B999">
            <v>9232000</v>
          </cell>
        </row>
        <row r="1000">
          <cell r="A1000">
            <v>232620</v>
          </cell>
          <cell r="B1000">
            <v>9232000</v>
          </cell>
        </row>
        <row r="1001">
          <cell r="A1001">
            <v>232623</v>
          </cell>
          <cell r="B1001">
            <v>9232000</v>
          </cell>
        </row>
        <row r="1002">
          <cell r="A1002">
            <v>232624</v>
          </cell>
          <cell r="B1002">
            <v>9232000</v>
          </cell>
        </row>
        <row r="1003">
          <cell r="A1003">
            <v>232626</v>
          </cell>
          <cell r="B1003">
            <v>9232000</v>
          </cell>
        </row>
        <row r="1004">
          <cell r="A1004">
            <v>232629</v>
          </cell>
          <cell r="B1004">
            <v>9232000</v>
          </cell>
        </row>
        <row r="1005">
          <cell r="A1005">
            <v>232630</v>
          </cell>
          <cell r="B1005">
            <v>9232000</v>
          </cell>
        </row>
        <row r="1006">
          <cell r="A1006">
            <v>232634</v>
          </cell>
          <cell r="B1006">
            <v>9232000</v>
          </cell>
        </row>
        <row r="1007">
          <cell r="A1007">
            <v>232636</v>
          </cell>
          <cell r="B1007">
            <v>9232000</v>
          </cell>
        </row>
        <row r="1008">
          <cell r="A1008">
            <v>232637</v>
          </cell>
          <cell r="B1008">
            <v>9232000</v>
          </cell>
        </row>
        <row r="1009">
          <cell r="A1009">
            <v>232638</v>
          </cell>
          <cell r="B1009">
            <v>9232000</v>
          </cell>
        </row>
        <row r="1010">
          <cell r="A1010">
            <v>232639</v>
          </cell>
          <cell r="B1010">
            <v>9232000</v>
          </cell>
        </row>
        <row r="1011">
          <cell r="A1011">
            <v>232640</v>
          </cell>
          <cell r="B1011">
            <v>9232000</v>
          </cell>
        </row>
        <row r="1012">
          <cell r="A1012">
            <v>232641</v>
          </cell>
          <cell r="B1012">
            <v>9232000</v>
          </cell>
        </row>
        <row r="1013">
          <cell r="A1013">
            <v>232642</v>
          </cell>
          <cell r="B1013">
            <v>9232000</v>
          </cell>
        </row>
        <row r="1014">
          <cell r="A1014">
            <v>232645</v>
          </cell>
          <cell r="B1014">
            <v>9232000</v>
          </cell>
        </row>
        <row r="1015">
          <cell r="A1015">
            <v>232646</v>
          </cell>
          <cell r="B1015">
            <v>9232000</v>
          </cell>
        </row>
        <row r="1016">
          <cell r="A1016">
            <v>232647</v>
          </cell>
          <cell r="B1016">
            <v>9232000</v>
          </cell>
        </row>
        <row r="1017">
          <cell r="A1017">
            <v>232649</v>
          </cell>
          <cell r="B1017">
            <v>9232000</v>
          </cell>
        </row>
        <row r="1018">
          <cell r="A1018">
            <v>232650</v>
          </cell>
          <cell r="B1018">
            <v>9232000</v>
          </cell>
        </row>
        <row r="1019">
          <cell r="A1019">
            <v>232651</v>
          </cell>
          <cell r="B1019">
            <v>9232000</v>
          </cell>
        </row>
        <row r="1020">
          <cell r="A1020">
            <v>232653</v>
          </cell>
          <cell r="B1020">
            <v>9232000</v>
          </cell>
        </row>
        <row r="1021">
          <cell r="A1021">
            <v>232655</v>
          </cell>
          <cell r="B1021">
            <v>9232000</v>
          </cell>
        </row>
        <row r="1022">
          <cell r="A1022">
            <v>232656</v>
          </cell>
          <cell r="B1022">
            <v>9232000</v>
          </cell>
        </row>
        <row r="1023">
          <cell r="A1023">
            <v>232657</v>
          </cell>
          <cell r="B1023">
            <v>9232000</v>
          </cell>
        </row>
        <row r="1024">
          <cell r="A1024">
            <v>232658</v>
          </cell>
          <cell r="B1024">
            <v>9232000</v>
          </cell>
        </row>
        <row r="1025">
          <cell r="A1025">
            <v>232659</v>
          </cell>
          <cell r="B1025">
            <v>9232000</v>
          </cell>
        </row>
        <row r="1026">
          <cell r="A1026">
            <v>232660</v>
          </cell>
          <cell r="B1026">
            <v>9232000</v>
          </cell>
        </row>
        <row r="1027">
          <cell r="A1027">
            <v>232665</v>
          </cell>
          <cell r="B1027">
            <v>9232000</v>
          </cell>
        </row>
        <row r="1028">
          <cell r="A1028">
            <v>232670</v>
          </cell>
          <cell r="B1028">
            <v>9232000</v>
          </cell>
        </row>
        <row r="1029">
          <cell r="A1029">
            <v>232671</v>
          </cell>
          <cell r="B1029">
            <v>9232000</v>
          </cell>
        </row>
        <row r="1030">
          <cell r="A1030">
            <v>232675</v>
          </cell>
          <cell r="B1030">
            <v>9232000</v>
          </cell>
        </row>
        <row r="1031">
          <cell r="A1031">
            <v>232676</v>
          </cell>
          <cell r="B1031">
            <v>9232000</v>
          </cell>
        </row>
        <row r="1032">
          <cell r="A1032">
            <v>232680</v>
          </cell>
          <cell r="B1032">
            <v>9232000</v>
          </cell>
        </row>
        <row r="1033">
          <cell r="A1033">
            <v>232685</v>
          </cell>
          <cell r="B1033">
            <v>9232000</v>
          </cell>
        </row>
        <row r="1034">
          <cell r="A1034">
            <v>232690</v>
          </cell>
          <cell r="B1034">
            <v>9232000</v>
          </cell>
        </row>
        <row r="1035">
          <cell r="A1035">
            <v>232691</v>
          </cell>
          <cell r="B1035">
            <v>9232000</v>
          </cell>
        </row>
        <row r="1036">
          <cell r="A1036">
            <v>232692</v>
          </cell>
          <cell r="B1036">
            <v>9232000</v>
          </cell>
        </row>
        <row r="1037">
          <cell r="A1037">
            <v>232693</v>
          </cell>
          <cell r="B1037">
            <v>9232000</v>
          </cell>
        </row>
        <row r="1038">
          <cell r="A1038">
            <v>232694</v>
          </cell>
          <cell r="B1038">
            <v>9232000</v>
          </cell>
        </row>
        <row r="1039">
          <cell r="A1039">
            <v>232698</v>
          </cell>
          <cell r="B1039">
            <v>9232000</v>
          </cell>
        </row>
        <row r="1040">
          <cell r="A1040">
            <v>232700</v>
          </cell>
          <cell r="B1040">
            <v>9232000</v>
          </cell>
        </row>
        <row r="1041">
          <cell r="A1041">
            <v>232701</v>
          </cell>
          <cell r="B1041">
            <v>9232000</v>
          </cell>
        </row>
        <row r="1042">
          <cell r="A1042">
            <v>232702</v>
          </cell>
          <cell r="B1042">
            <v>9232000</v>
          </cell>
        </row>
        <row r="1043">
          <cell r="A1043">
            <v>232703</v>
          </cell>
          <cell r="B1043">
            <v>9232000</v>
          </cell>
        </row>
        <row r="1044">
          <cell r="A1044">
            <v>232704</v>
          </cell>
          <cell r="B1044">
            <v>9232000</v>
          </cell>
        </row>
        <row r="1045">
          <cell r="A1045">
            <v>232707</v>
          </cell>
          <cell r="B1045">
            <v>9232000</v>
          </cell>
        </row>
        <row r="1046">
          <cell r="A1046">
            <v>232708</v>
          </cell>
          <cell r="B1046">
            <v>9232000</v>
          </cell>
        </row>
        <row r="1047">
          <cell r="A1047">
            <v>232709</v>
          </cell>
          <cell r="B1047">
            <v>9232000</v>
          </cell>
        </row>
        <row r="1048">
          <cell r="A1048">
            <v>232710</v>
          </cell>
          <cell r="B1048">
            <v>9232000</v>
          </cell>
        </row>
        <row r="1049">
          <cell r="A1049">
            <v>232711</v>
          </cell>
          <cell r="B1049">
            <v>9232000</v>
          </cell>
        </row>
        <row r="1050">
          <cell r="A1050">
            <v>232712</v>
          </cell>
          <cell r="B1050">
            <v>9232000</v>
          </cell>
        </row>
        <row r="1051">
          <cell r="A1051">
            <v>232713</v>
          </cell>
          <cell r="B1051">
            <v>9232000</v>
          </cell>
        </row>
        <row r="1052">
          <cell r="A1052">
            <v>232714</v>
          </cell>
          <cell r="B1052">
            <v>9232000</v>
          </cell>
        </row>
        <row r="1053">
          <cell r="A1053">
            <v>232715</v>
          </cell>
          <cell r="B1053">
            <v>9232000</v>
          </cell>
        </row>
        <row r="1054">
          <cell r="A1054">
            <v>232716</v>
          </cell>
          <cell r="B1054">
            <v>9232000</v>
          </cell>
        </row>
        <row r="1055">
          <cell r="A1055">
            <v>232718</v>
          </cell>
          <cell r="B1055">
            <v>9232000</v>
          </cell>
        </row>
        <row r="1056">
          <cell r="A1056">
            <v>232719</v>
          </cell>
          <cell r="B1056">
            <v>9232000</v>
          </cell>
        </row>
        <row r="1057">
          <cell r="A1057">
            <v>232720</v>
          </cell>
          <cell r="B1057">
            <v>9232000</v>
          </cell>
        </row>
        <row r="1058">
          <cell r="A1058">
            <v>232721</v>
          </cell>
          <cell r="B1058">
            <v>9232000</v>
          </cell>
        </row>
        <row r="1059">
          <cell r="A1059">
            <v>232723</v>
          </cell>
          <cell r="B1059">
            <v>9232000</v>
          </cell>
        </row>
        <row r="1060">
          <cell r="A1060">
            <v>232724</v>
          </cell>
          <cell r="B1060">
            <v>9232000</v>
          </cell>
        </row>
        <row r="1061">
          <cell r="A1061">
            <v>232725</v>
          </cell>
          <cell r="B1061">
            <v>9232000</v>
          </cell>
        </row>
        <row r="1062">
          <cell r="A1062">
            <v>232726</v>
          </cell>
          <cell r="B1062">
            <v>9232000</v>
          </cell>
        </row>
        <row r="1063">
          <cell r="A1063">
            <v>232727</v>
          </cell>
          <cell r="B1063">
            <v>9232000</v>
          </cell>
        </row>
        <row r="1064">
          <cell r="A1064">
            <v>232728</v>
          </cell>
          <cell r="B1064">
            <v>9232000</v>
          </cell>
        </row>
        <row r="1065">
          <cell r="A1065">
            <v>232729</v>
          </cell>
          <cell r="B1065">
            <v>9232000</v>
          </cell>
        </row>
        <row r="1066">
          <cell r="A1066">
            <v>232730</v>
          </cell>
          <cell r="B1066">
            <v>9232000</v>
          </cell>
        </row>
        <row r="1067">
          <cell r="A1067">
            <v>232731</v>
          </cell>
          <cell r="B1067">
            <v>9232000</v>
          </cell>
        </row>
        <row r="1068">
          <cell r="A1068">
            <v>232732</v>
          </cell>
          <cell r="B1068">
            <v>9232000</v>
          </cell>
        </row>
        <row r="1069">
          <cell r="A1069">
            <v>232734</v>
          </cell>
          <cell r="B1069">
            <v>9232000</v>
          </cell>
        </row>
        <row r="1070">
          <cell r="A1070">
            <v>232735</v>
          </cell>
          <cell r="B1070">
            <v>9232000</v>
          </cell>
        </row>
        <row r="1071">
          <cell r="A1071">
            <v>232736</v>
          </cell>
          <cell r="B1071">
            <v>9232000</v>
          </cell>
        </row>
        <row r="1072">
          <cell r="A1072">
            <v>232737</v>
          </cell>
          <cell r="B1072">
            <v>9232000</v>
          </cell>
        </row>
        <row r="1073">
          <cell r="A1073">
            <v>232738</v>
          </cell>
          <cell r="B1073">
            <v>9232000</v>
          </cell>
        </row>
        <row r="1074">
          <cell r="A1074">
            <v>232739</v>
          </cell>
          <cell r="B1074">
            <v>9232000</v>
          </cell>
        </row>
        <row r="1075">
          <cell r="A1075">
            <v>232740</v>
          </cell>
          <cell r="B1075">
            <v>9232000</v>
          </cell>
        </row>
        <row r="1076">
          <cell r="A1076">
            <v>232741</v>
          </cell>
          <cell r="B1076">
            <v>9232000</v>
          </cell>
        </row>
        <row r="1077">
          <cell r="A1077">
            <v>232742</v>
          </cell>
          <cell r="B1077">
            <v>9232000</v>
          </cell>
        </row>
        <row r="1078">
          <cell r="A1078">
            <v>232743</v>
          </cell>
          <cell r="B1078">
            <v>9232000</v>
          </cell>
        </row>
        <row r="1079">
          <cell r="A1079">
            <v>232744</v>
          </cell>
          <cell r="B1079">
            <v>9232000</v>
          </cell>
        </row>
        <row r="1080">
          <cell r="A1080">
            <v>232750</v>
          </cell>
          <cell r="B1080">
            <v>9232000</v>
          </cell>
        </row>
        <row r="1081">
          <cell r="A1081">
            <v>232753</v>
          </cell>
          <cell r="B1081">
            <v>9232000</v>
          </cell>
        </row>
        <row r="1082">
          <cell r="A1082">
            <v>232755</v>
          </cell>
          <cell r="B1082">
            <v>9232000</v>
          </cell>
        </row>
        <row r="1083">
          <cell r="A1083">
            <v>232756</v>
          </cell>
          <cell r="B1083">
            <v>9232000</v>
          </cell>
        </row>
        <row r="1084">
          <cell r="A1084">
            <v>232757</v>
          </cell>
          <cell r="B1084">
            <v>9232000</v>
          </cell>
        </row>
        <row r="1085">
          <cell r="A1085">
            <v>232760</v>
          </cell>
          <cell r="B1085">
            <v>9232000</v>
          </cell>
        </row>
        <row r="1086">
          <cell r="A1086">
            <v>232762</v>
          </cell>
          <cell r="B1086">
            <v>9232000</v>
          </cell>
        </row>
        <row r="1087">
          <cell r="A1087">
            <v>232763</v>
          </cell>
          <cell r="B1087">
            <v>9232000</v>
          </cell>
        </row>
        <row r="1088">
          <cell r="A1088">
            <v>232764</v>
          </cell>
          <cell r="B1088">
            <v>9232000</v>
          </cell>
        </row>
        <row r="1089">
          <cell r="A1089">
            <v>232765</v>
          </cell>
          <cell r="B1089">
            <v>9232000</v>
          </cell>
        </row>
        <row r="1090">
          <cell r="A1090">
            <v>232770</v>
          </cell>
          <cell r="B1090">
            <v>9232000</v>
          </cell>
        </row>
        <row r="1091">
          <cell r="A1091">
            <v>232771</v>
          </cell>
          <cell r="B1091">
            <v>9232000</v>
          </cell>
        </row>
        <row r="1092">
          <cell r="A1092">
            <v>232772</v>
          </cell>
          <cell r="B1092">
            <v>9232000</v>
          </cell>
        </row>
        <row r="1093">
          <cell r="A1093">
            <v>232773</v>
          </cell>
          <cell r="B1093">
            <v>9232000</v>
          </cell>
        </row>
        <row r="1094">
          <cell r="A1094">
            <v>232775</v>
          </cell>
          <cell r="B1094">
            <v>9232000</v>
          </cell>
        </row>
        <row r="1095">
          <cell r="A1095">
            <v>232780</v>
          </cell>
          <cell r="B1095">
            <v>9232000</v>
          </cell>
        </row>
        <row r="1096">
          <cell r="A1096">
            <v>232785</v>
          </cell>
          <cell r="B1096">
            <v>9232000</v>
          </cell>
        </row>
        <row r="1097">
          <cell r="A1097">
            <v>232790</v>
          </cell>
          <cell r="B1097">
            <v>9232000</v>
          </cell>
        </row>
        <row r="1098">
          <cell r="A1098">
            <v>232800</v>
          </cell>
          <cell r="B1098">
            <v>9232000</v>
          </cell>
        </row>
        <row r="1099">
          <cell r="A1099">
            <v>232801</v>
          </cell>
          <cell r="B1099">
            <v>9232000</v>
          </cell>
        </row>
        <row r="1100">
          <cell r="A1100">
            <v>232802</v>
          </cell>
          <cell r="B1100">
            <v>9232000</v>
          </cell>
        </row>
        <row r="1101">
          <cell r="A1101">
            <v>232803</v>
          </cell>
          <cell r="B1101">
            <v>9232000</v>
          </cell>
        </row>
        <row r="1102">
          <cell r="A1102">
            <v>232805</v>
          </cell>
          <cell r="B1102">
            <v>9232000</v>
          </cell>
        </row>
        <row r="1103">
          <cell r="A1103">
            <v>232806</v>
          </cell>
          <cell r="B1103">
            <v>9232000</v>
          </cell>
        </row>
        <row r="1104">
          <cell r="A1104">
            <v>232807</v>
          </cell>
          <cell r="B1104">
            <v>9232000</v>
          </cell>
        </row>
        <row r="1105">
          <cell r="A1105">
            <v>232810</v>
          </cell>
          <cell r="B1105">
            <v>9232000</v>
          </cell>
        </row>
        <row r="1106">
          <cell r="A1106">
            <v>232814</v>
          </cell>
          <cell r="B1106">
            <v>9232000</v>
          </cell>
        </row>
        <row r="1107">
          <cell r="A1107">
            <v>232815</v>
          </cell>
          <cell r="B1107">
            <v>9232000</v>
          </cell>
        </row>
        <row r="1108">
          <cell r="A1108">
            <v>232820</v>
          </cell>
          <cell r="B1108">
            <v>9232000</v>
          </cell>
        </row>
        <row r="1109">
          <cell r="A1109">
            <v>232825</v>
          </cell>
          <cell r="B1109">
            <v>9232000</v>
          </cell>
        </row>
        <row r="1110">
          <cell r="A1110">
            <v>232830</v>
          </cell>
          <cell r="B1110">
            <v>9232000</v>
          </cell>
        </row>
        <row r="1111">
          <cell r="A1111">
            <v>232831</v>
          </cell>
          <cell r="B1111">
            <v>9232000</v>
          </cell>
        </row>
        <row r="1112">
          <cell r="A1112">
            <v>232833</v>
          </cell>
          <cell r="B1112">
            <v>9232000</v>
          </cell>
        </row>
        <row r="1113">
          <cell r="A1113">
            <v>232834</v>
          </cell>
          <cell r="B1113">
            <v>9232000</v>
          </cell>
        </row>
        <row r="1114">
          <cell r="A1114">
            <v>232835</v>
          </cell>
          <cell r="B1114">
            <v>9232000</v>
          </cell>
        </row>
        <row r="1115">
          <cell r="A1115">
            <v>232838</v>
          </cell>
          <cell r="B1115">
            <v>9232000</v>
          </cell>
        </row>
        <row r="1116">
          <cell r="A1116">
            <v>232839</v>
          </cell>
          <cell r="B1116">
            <v>9232000</v>
          </cell>
        </row>
        <row r="1117">
          <cell r="A1117">
            <v>232842</v>
          </cell>
          <cell r="B1117">
            <v>9232000</v>
          </cell>
        </row>
        <row r="1118">
          <cell r="A1118">
            <v>232844</v>
          </cell>
          <cell r="B1118">
            <v>9232000</v>
          </cell>
        </row>
        <row r="1119">
          <cell r="A1119">
            <v>232850</v>
          </cell>
          <cell r="B1119">
            <v>9232000</v>
          </cell>
        </row>
        <row r="1120">
          <cell r="A1120">
            <v>232902</v>
          </cell>
          <cell r="B1120">
            <v>9232000</v>
          </cell>
        </row>
        <row r="1121">
          <cell r="A1121">
            <v>232920</v>
          </cell>
          <cell r="B1121">
            <v>9232000</v>
          </cell>
        </row>
        <row r="1122">
          <cell r="A1122">
            <v>232921</v>
          </cell>
          <cell r="B1122">
            <v>9232000</v>
          </cell>
        </row>
        <row r="1123">
          <cell r="A1123">
            <v>232960</v>
          </cell>
          <cell r="B1123">
            <v>9232000</v>
          </cell>
        </row>
        <row r="1124">
          <cell r="A1124">
            <v>232961</v>
          </cell>
          <cell r="B1124">
            <v>9232000</v>
          </cell>
        </row>
        <row r="1125">
          <cell r="A1125">
            <v>233100</v>
          </cell>
          <cell r="B1125">
            <v>9233000</v>
          </cell>
        </row>
        <row r="1126">
          <cell r="A1126">
            <v>233200</v>
          </cell>
          <cell r="B1126">
            <v>9233000</v>
          </cell>
        </row>
        <row r="1127">
          <cell r="A1127">
            <v>234130</v>
          </cell>
          <cell r="B1127">
            <v>9234000</v>
          </cell>
        </row>
        <row r="1128">
          <cell r="A1128">
            <v>234135</v>
          </cell>
          <cell r="B1128">
            <v>9234000</v>
          </cell>
        </row>
        <row r="1129">
          <cell r="A1129">
            <v>234160</v>
          </cell>
          <cell r="B1129">
            <v>9234000</v>
          </cell>
        </row>
        <row r="1130">
          <cell r="A1130">
            <v>234180</v>
          </cell>
          <cell r="B1130">
            <v>9234000</v>
          </cell>
        </row>
        <row r="1131">
          <cell r="A1131">
            <v>234190</v>
          </cell>
          <cell r="B1131">
            <v>9234000</v>
          </cell>
        </row>
        <row r="1132">
          <cell r="A1132">
            <v>234200</v>
          </cell>
          <cell r="B1132">
            <v>9234000</v>
          </cell>
        </row>
        <row r="1133">
          <cell r="A1133">
            <v>234300</v>
          </cell>
          <cell r="B1133">
            <v>9234000</v>
          </cell>
        </row>
        <row r="1134">
          <cell r="A1134">
            <v>234302</v>
          </cell>
          <cell r="B1134">
            <v>9234000</v>
          </cell>
        </row>
        <row r="1135">
          <cell r="A1135">
            <v>234303</v>
          </cell>
          <cell r="B1135">
            <v>9234000</v>
          </cell>
        </row>
        <row r="1136">
          <cell r="A1136">
            <v>234305</v>
          </cell>
          <cell r="B1136">
            <v>9234000</v>
          </cell>
        </row>
        <row r="1137">
          <cell r="A1137">
            <v>234310</v>
          </cell>
          <cell r="B1137">
            <v>9234000</v>
          </cell>
        </row>
        <row r="1138">
          <cell r="A1138">
            <v>234320</v>
          </cell>
          <cell r="B1138">
            <v>9234000</v>
          </cell>
        </row>
        <row r="1139">
          <cell r="A1139">
            <v>234330</v>
          </cell>
          <cell r="B1139">
            <v>9234000</v>
          </cell>
        </row>
        <row r="1140">
          <cell r="A1140">
            <v>234500</v>
          </cell>
          <cell r="B1140">
            <v>9234000</v>
          </cell>
        </row>
        <row r="1141">
          <cell r="A1141">
            <v>234700</v>
          </cell>
          <cell r="B1141">
            <v>9234000</v>
          </cell>
        </row>
        <row r="1142">
          <cell r="A1142">
            <v>234760</v>
          </cell>
          <cell r="B1142">
            <v>9234000</v>
          </cell>
        </row>
        <row r="1143">
          <cell r="A1143">
            <v>234770</v>
          </cell>
          <cell r="B1143">
            <v>9234000</v>
          </cell>
        </row>
        <row r="1144">
          <cell r="A1144">
            <v>234810</v>
          </cell>
          <cell r="B1144">
            <v>9234000</v>
          </cell>
        </row>
        <row r="1145">
          <cell r="A1145">
            <v>234850</v>
          </cell>
          <cell r="B1145">
            <v>9234000</v>
          </cell>
        </row>
        <row r="1146">
          <cell r="A1146">
            <v>234900</v>
          </cell>
          <cell r="B1146">
            <v>9234000</v>
          </cell>
        </row>
        <row r="1147">
          <cell r="A1147">
            <v>234901</v>
          </cell>
          <cell r="B1147">
            <v>9234000</v>
          </cell>
        </row>
        <row r="1148">
          <cell r="A1148">
            <v>234902</v>
          </cell>
          <cell r="B1148">
            <v>9234000</v>
          </cell>
        </row>
        <row r="1149">
          <cell r="A1149">
            <v>234916</v>
          </cell>
          <cell r="B1149">
            <v>9234000</v>
          </cell>
        </row>
        <row r="1150">
          <cell r="A1150">
            <v>235020</v>
          </cell>
          <cell r="B1150">
            <v>9235000</v>
          </cell>
        </row>
        <row r="1151">
          <cell r="A1151">
            <v>236010</v>
          </cell>
          <cell r="B1151">
            <v>9236000</v>
          </cell>
        </row>
        <row r="1152">
          <cell r="A1152">
            <v>236015</v>
          </cell>
          <cell r="B1152">
            <v>9236000</v>
          </cell>
        </row>
        <row r="1153">
          <cell r="A1153">
            <v>236020</v>
          </cell>
          <cell r="B1153">
            <v>9236000</v>
          </cell>
        </row>
        <row r="1154">
          <cell r="A1154">
            <v>236021</v>
          </cell>
          <cell r="B1154">
            <v>9236000</v>
          </cell>
        </row>
        <row r="1155">
          <cell r="A1155">
            <v>236030</v>
          </cell>
          <cell r="B1155">
            <v>9236000</v>
          </cell>
        </row>
        <row r="1156">
          <cell r="A1156">
            <v>236031</v>
          </cell>
          <cell r="B1156">
            <v>9236000</v>
          </cell>
        </row>
        <row r="1157">
          <cell r="A1157">
            <v>236032</v>
          </cell>
          <cell r="B1157">
            <v>9236000</v>
          </cell>
        </row>
        <row r="1158">
          <cell r="A1158">
            <v>236033</v>
          </cell>
          <cell r="B1158">
            <v>9236000</v>
          </cell>
        </row>
        <row r="1159">
          <cell r="A1159">
            <v>236034</v>
          </cell>
          <cell r="B1159">
            <v>9236000</v>
          </cell>
        </row>
        <row r="1160">
          <cell r="A1160">
            <v>236035</v>
          </cell>
          <cell r="B1160">
            <v>9236000</v>
          </cell>
        </row>
        <row r="1161">
          <cell r="A1161">
            <v>236037</v>
          </cell>
          <cell r="B1161">
            <v>9236000</v>
          </cell>
        </row>
        <row r="1162">
          <cell r="A1162">
            <v>236038</v>
          </cell>
          <cell r="B1162">
            <v>9236000</v>
          </cell>
        </row>
        <row r="1163">
          <cell r="A1163">
            <v>236039</v>
          </cell>
          <cell r="B1163">
            <v>9236000</v>
          </cell>
        </row>
        <row r="1164">
          <cell r="A1164">
            <v>236040</v>
          </cell>
          <cell r="B1164">
            <v>9236000</v>
          </cell>
        </row>
        <row r="1165">
          <cell r="A1165">
            <v>236041</v>
          </cell>
          <cell r="B1165">
            <v>9236000</v>
          </cell>
        </row>
        <row r="1166">
          <cell r="A1166">
            <v>236042</v>
          </cell>
          <cell r="B1166">
            <v>9236000</v>
          </cell>
        </row>
        <row r="1167">
          <cell r="A1167">
            <v>236043</v>
          </cell>
          <cell r="B1167">
            <v>9236000</v>
          </cell>
        </row>
        <row r="1168">
          <cell r="A1168">
            <v>236044</v>
          </cell>
          <cell r="B1168">
            <v>9236000</v>
          </cell>
        </row>
        <row r="1169">
          <cell r="A1169">
            <v>236045</v>
          </cell>
          <cell r="B1169">
            <v>9236000</v>
          </cell>
        </row>
        <row r="1170">
          <cell r="A1170">
            <v>236046</v>
          </cell>
          <cell r="B1170">
            <v>9236000</v>
          </cell>
        </row>
        <row r="1171">
          <cell r="A1171">
            <v>236048</v>
          </cell>
          <cell r="B1171">
            <v>9236000</v>
          </cell>
        </row>
        <row r="1172">
          <cell r="A1172">
            <v>236049</v>
          </cell>
          <cell r="B1172">
            <v>9236000</v>
          </cell>
        </row>
        <row r="1173">
          <cell r="A1173">
            <v>236050</v>
          </cell>
          <cell r="B1173">
            <v>9236000</v>
          </cell>
        </row>
        <row r="1174">
          <cell r="A1174">
            <v>236051</v>
          </cell>
          <cell r="B1174">
            <v>9236000</v>
          </cell>
        </row>
        <row r="1175">
          <cell r="A1175">
            <v>236052</v>
          </cell>
          <cell r="B1175">
            <v>9236000</v>
          </cell>
        </row>
        <row r="1176">
          <cell r="A1176">
            <v>236053</v>
          </cell>
          <cell r="B1176">
            <v>9236000</v>
          </cell>
        </row>
        <row r="1177">
          <cell r="A1177">
            <v>236054</v>
          </cell>
          <cell r="B1177">
            <v>9236000</v>
          </cell>
        </row>
        <row r="1178">
          <cell r="A1178">
            <v>236056</v>
          </cell>
          <cell r="B1178">
            <v>9236000</v>
          </cell>
        </row>
        <row r="1179">
          <cell r="A1179">
            <v>236057</v>
          </cell>
          <cell r="B1179">
            <v>9236000</v>
          </cell>
        </row>
        <row r="1180">
          <cell r="A1180">
            <v>236058</v>
          </cell>
          <cell r="B1180">
            <v>9236000</v>
          </cell>
        </row>
        <row r="1181">
          <cell r="A1181">
            <v>236059</v>
          </cell>
          <cell r="B1181">
            <v>9236000</v>
          </cell>
        </row>
        <row r="1182">
          <cell r="A1182">
            <v>236060</v>
          </cell>
          <cell r="B1182">
            <v>9236000</v>
          </cell>
        </row>
        <row r="1183">
          <cell r="A1183">
            <v>236061</v>
          </cell>
          <cell r="B1183">
            <v>9236000</v>
          </cell>
        </row>
        <row r="1184">
          <cell r="A1184">
            <v>236062</v>
          </cell>
          <cell r="B1184">
            <v>9236000</v>
          </cell>
        </row>
        <row r="1185">
          <cell r="A1185">
            <v>236063</v>
          </cell>
          <cell r="B1185">
            <v>9236000</v>
          </cell>
        </row>
        <row r="1186">
          <cell r="A1186">
            <v>236064</v>
          </cell>
          <cell r="B1186">
            <v>9236000</v>
          </cell>
        </row>
        <row r="1187">
          <cell r="A1187">
            <v>236065</v>
          </cell>
          <cell r="B1187">
            <v>9236000</v>
          </cell>
        </row>
        <row r="1188">
          <cell r="A1188">
            <v>236066</v>
          </cell>
          <cell r="B1188">
            <v>9236000</v>
          </cell>
        </row>
        <row r="1189">
          <cell r="A1189">
            <v>236068</v>
          </cell>
          <cell r="B1189">
            <v>9236000</v>
          </cell>
        </row>
        <row r="1190">
          <cell r="A1190">
            <v>236069</v>
          </cell>
          <cell r="B1190">
            <v>9236000</v>
          </cell>
        </row>
        <row r="1191">
          <cell r="A1191">
            <v>236070</v>
          </cell>
          <cell r="B1191">
            <v>9236000</v>
          </cell>
        </row>
        <row r="1192">
          <cell r="A1192">
            <v>236071</v>
          </cell>
          <cell r="B1192">
            <v>9236000</v>
          </cell>
        </row>
        <row r="1193">
          <cell r="A1193">
            <v>236072</v>
          </cell>
          <cell r="B1193">
            <v>9236000</v>
          </cell>
        </row>
        <row r="1194">
          <cell r="A1194">
            <v>236074</v>
          </cell>
          <cell r="B1194">
            <v>9236000</v>
          </cell>
        </row>
        <row r="1195">
          <cell r="A1195">
            <v>236076</v>
          </cell>
          <cell r="B1195">
            <v>9236000</v>
          </cell>
        </row>
        <row r="1196">
          <cell r="A1196">
            <v>236079</v>
          </cell>
          <cell r="B1196">
            <v>9236000</v>
          </cell>
        </row>
        <row r="1197">
          <cell r="A1197">
            <v>236081</v>
          </cell>
          <cell r="B1197">
            <v>9236000</v>
          </cell>
        </row>
        <row r="1198">
          <cell r="A1198">
            <v>236082</v>
          </cell>
          <cell r="B1198">
            <v>9236000</v>
          </cell>
        </row>
        <row r="1199">
          <cell r="A1199">
            <v>236083</v>
          </cell>
          <cell r="B1199">
            <v>9236000</v>
          </cell>
        </row>
        <row r="1200">
          <cell r="A1200">
            <v>236084</v>
          </cell>
          <cell r="B1200">
            <v>9236000</v>
          </cell>
        </row>
        <row r="1201">
          <cell r="A1201">
            <v>236085</v>
          </cell>
          <cell r="B1201">
            <v>9236000</v>
          </cell>
        </row>
        <row r="1202">
          <cell r="A1202">
            <v>236100</v>
          </cell>
          <cell r="B1202">
            <v>9236000</v>
          </cell>
        </row>
        <row r="1203">
          <cell r="A1203">
            <v>236110</v>
          </cell>
          <cell r="B1203">
            <v>9236000</v>
          </cell>
        </row>
        <row r="1204">
          <cell r="A1204">
            <v>236200</v>
          </cell>
          <cell r="B1204">
            <v>9236000</v>
          </cell>
        </row>
        <row r="1205">
          <cell r="A1205">
            <v>236210</v>
          </cell>
          <cell r="B1205">
            <v>9236000</v>
          </cell>
        </row>
        <row r="1206">
          <cell r="A1206">
            <v>236250</v>
          </cell>
          <cell r="B1206">
            <v>9236000</v>
          </cell>
        </row>
        <row r="1207">
          <cell r="A1207">
            <v>236251</v>
          </cell>
          <cell r="B1207">
            <v>9236000</v>
          </cell>
        </row>
        <row r="1208">
          <cell r="A1208">
            <v>236251</v>
          </cell>
          <cell r="B1208">
            <v>9236000</v>
          </cell>
        </row>
        <row r="1209">
          <cell r="A1209">
            <v>236255</v>
          </cell>
          <cell r="B1209">
            <v>9236000</v>
          </cell>
        </row>
        <row r="1210">
          <cell r="A1210">
            <v>236256</v>
          </cell>
          <cell r="B1210">
            <v>9236000</v>
          </cell>
        </row>
        <row r="1211">
          <cell r="A1211">
            <v>236257</v>
          </cell>
          <cell r="B1211">
            <v>9236000</v>
          </cell>
        </row>
        <row r="1212">
          <cell r="A1212">
            <v>236258</v>
          </cell>
          <cell r="B1212">
            <v>9236000</v>
          </cell>
        </row>
        <row r="1213">
          <cell r="A1213">
            <v>236300</v>
          </cell>
          <cell r="B1213">
            <v>9236000</v>
          </cell>
        </row>
        <row r="1214">
          <cell r="A1214">
            <v>236301</v>
          </cell>
          <cell r="B1214">
            <v>9236000</v>
          </cell>
        </row>
        <row r="1215">
          <cell r="A1215">
            <v>236302</v>
          </cell>
          <cell r="B1215">
            <v>9236000</v>
          </cell>
        </row>
        <row r="1216">
          <cell r="A1216">
            <v>236303</v>
          </cell>
          <cell r="B1216">
            <v>9236000</v>
          </cell>
        </row>
        <row r="1217">
          <cell r="A1217">
            <v>236304</v>
          </cell>
          <cell r="B1217">
            <v>9236000</v>
          </cell>
        </row>
        <row r="1218">
          <cell r="A1218">
            <v>236410</v>
          </cell>
          <cell r="B1218">
            <v>9236000</v>
          </cell>
        </row>
        <row r="1219">
          <cell r="A1219">
            <v>236411</v>
          </cell>
          <cell r="B1219">
            <v>9236000</v>
          </cell>
        </row>
        <row r="1220">
          <cell r="A1220">
            <v>236416</v>
          </cell>
          <cell r="B1220">
            <v>9236000</v>
          </cell>
        </row>
        <row r="1221">
          <cell r="A1221">
            <v>236420</v>
          </cell>
          <cell r="B1221">
            <v>9236000</v>
          </cell>
        </row>
        <row r="1222">
          <cell r="A1222">
            <v>236421</v>
          </cell>
          <cell r="B1222">
            <v>9236000</v>
          </cell>
        </row>
        <row r="1223">
          <cell r="A1223">
            <v>236422</v>
          </cell>
          <cell r="B1223">
            <v>9236000</v>
          </cell>
        </row>
        <row r="1224">
          <cell r="A1224">
            <v>236428</v>
          </cell>
          <cell r="B1224">
            <v>9236000</v>
          </cell>
        </row>
        <row r="1225">
          <cell r="A1225">
            <v>236429</v>
          </cell>
          <cell r="B1225">
            <v>9236000</v>
          </cell>
        </row>
        <row r="1226">
          <cell r="A1226">
            <v>236430</v>
          </cell>
          <cell r="B1226">
            <v>9236000</v>
          </cell>
        </row>
        <row r="1227">
          <cell r="A1227">
            <v>236442</v>
          </cell>
          <cell r="B1227">
            <v>9236000</v>
          </cell>
        </row>
        <row r="1228">
          <cell r="A1228">
            <v>236455</v>
          </cell>
          <cell r="B1228">
            <v>9236000</v>
          </cell>
        </row>
        <row r="1229">
          <cell r="A1229">
            <v>236459</v>
          </cell>
          <cell r="B1229">
            <v>9236000</v>
          </cell>
        </row>
        <row r="1230">
          <cell r="A1230">
            <v>236460</v>
          </cell>
          <cell r="B1230">
            <v>9236000</v>
          </cell>
        </row>
        <row r="1231">
          <cell r="A1231">
            <v>236468</v>
          </cell>
          <cell r="B1231">
            <v>9236000</v>
          </cell>
        </row>
        <row r="1232">
          <cell r="A1232">
            <v>236469</v>
          </cell>
          <cell r="B1232">
            <v>9236000</v>
          </cell>
        </row>
        <row r="1233">
          <cell r="A1233">
            <v>236472</v>
          </cell>
          <cell r="B1233">
            <v>9236000</v>
          </cell>
        </row>
        <row r="1234">
          <cell r="A1234">
            <v>236484</v>
          </cell>
          <cell r="B1234">
            <v>9236000</v>
          </cell>
        </row>
        <row r="1235">
          <cell r="A1235">
            <v>236485</v>
          </cell>
          <cell r="B1235">
            <v>9236000</v>
          </cell>
        </row>
        <row r="1236">
          <cell r="A1236">
            <v>236486</v>
          </cell>
          <cell r="B1236">
            <v>9236000</v>
          </cell>
        </row>
        <row r="1237">
          <cell r="A1237">
            <v>236487</v>
          </cell>
          <cell r="B1237">
            <v>9236000</v>
          </cell>
        </row>
        <row r="1238">
          <cell r="A1238">
            <v>236490</v>
          </cell>
          <cell r="B1238">
            <v>9236000</v>
          </cell>
        </row>
        <row r="1239">
          <cell r="A1239">
            <v>236491</v>
          </cell>
          <cell r="B1239">
            <v>9236000</v>
          </cell>
        </row>
        <row r="1240">
          <cell r="A1240">
            <v>236492</v>
          </cell>
          <cell r="B1240">
            <v>9236000</v>
          </cell>
        </row>
        <row r="1241">
          <cell r="A1241">
            <v>236493</v>
          </cell>
          <cell r="B1241">
            <v>9236000</v>
          </cell>
        </row>
        <row r="1242">
          <cell r="A1242">
            <v>236494</v>
          </cell>
          <cell r="B1242">
            <v>9236000</v>
          </cell>
        </row>
        <row r="1243">
          <cell r="A1243">
            <v>236495</v>
          </cell>
          <cell r="B1243">
            <v>9236000</v>
          </cell>
        </row>
        <row r="1244">
          <cell r="A1244">
            <v>236497</v>
          </cell>
          <cell r="B1244">
            <v>9236000</v>
          </cell>
        </row>
        <row r="1245">
          <cell r="A1245">
            <v>236500</v>
          </cell>
          <cell r="B1245">
            <v>9236000</v>
          </cell>
        </row>
        <row r="1246">
          <cell r="A1246">
            <v>236510</v>
          </cell>
          <cell r="B1246">
            <v>9236000</v>
          </cell>
        </row>
        <row r="1247">
          <cell r="A1247">
            <v>236540</v>
          </cell>
          <cell r="B1247">
            <v>9236000</v>
          </cell>
        </row>
        <row r="1248">
          <cell r="A1248">
            <v>236541</v>
          </cell>
          <cell r="B1248">
            <v>9236000</v>
          </cell>
        </row>
        <row r="1249">
          <cell r="A1249">
            <v>236542</v>
          </cell>
          <cell r="B1249">
            <v>9236000</v>
          </cell>
        </row>
        <row r="1250">
          <cell r="A1250">
            <v>236550</v>
          </cell>
          <cell r="B1250">
            <v>9236000</v>
          </cell>
        </row>
        <row r="1251">
          <cell r="A1251">
            <v>236560</v>
          </cell>
          <cell r="B1251">
            <v>9236000</v>
          </cell>
        </row>
        <row r="1252">
          <cell r="A1252">
            <v>236600</v>
          </cell>
          <cell r="B1252">
            <v>9236000</v>
          </cell>
        </row>
        <row r="1253">
          <cell r="A1253">
            <v>236610</v>
          </cell>
          <cell r="B1253">
            <v>9236000</v>
          </cell>
        </row>
        <row r="1254">
          <cell r="A1254">
            <v>236611</v>
          </cell>
          <cell r="B1254">
            <v>9236000</v>
          </cell>
        </row>
        <row r="1255">
          <cell r="A1255">
            <v>236620</v>
          </cell>
          <cell r="B1255">
            <v>9236000</v>
          </cell>
        </row>
        <row r="1256">
          <cell r="A1256">
            <v>236675</v>
          </cell>
          <cell r="B1256">
            <v>9236000</v>
          </cell>
        </row>
        <row r="1257">
          <cell r="A1257">
            <v>236700</v>
          </cell>
          <cell r="B1257">
            <v>9236000</v>
          </cell>
        </row>
        <row r="1258">
          <cell r="A1258">
            <v>236710</v>
          </cell>
          <cell r="B1258">
            <v>9236000</v>
          </cell>
        </row>
        <row r="1259">
          <cell r="A1259">
            <v>236720</v>
          </cell>
          <cell r="B1259">
            <v>9236000</v>
          </cell>
        </row>
        <row r="1260">
          <cell r="A1260">
            <v>236730</v>
          </cell>
          <cell r="B1260">
            <v>9236000</v>
          </cell>
        </row>
        <row r="1261">
          <cell r="A1261">
            <v>236740</v>
          </cell>
          <cell r="B1261">
            <v>9236000</v>
          </cell>
        </row>
        <row r="1262">
          <cell r="A1262">
            <v>236800</v>
          </cell>
          <cell r="B1262">
            <v>9236000</v>
          </cell>
        </row>
        <row r="1263">
          <cell r="A1263">
            <v>236850</v>
          </cell>
          <cell r="B1263">
            <v>9236000</v>
          </cell>
        </row>
        <row r="1264">
          <cell r="A1264">
            <v>236851</v>
          </cell>
          <cell r="B1264">
            <v>9236000</v>
          </cell>
        </row>
        <row r="1265">
          <cell r="A1265">
            <v>236901</v>
          </cell>
          <cell r="B1265">
            <v>9236000</v>
          </cell>
        </row>
        <row r="1266">
          <cell r="A1266">
            <v>236902</v>
          </cell>
          <cell r="B1266">
            <v>9236000</v>
          </cell>
        </row>
        <row r="1267">
          <cell r="A1267">
            <v>236903</v>
          </cell>
          <cell r="B1267">
            <v>9236000</v>
          </cell>
        </row>
        <row r="1268">
          <cell r="A1268">
            <v>237100</v>
          </cell>
          <cell r="B1268">
            <v>9236000</v>
          </cell>
        </row>
        <row r="1269">
          <cell r="A1269">
            <v>237200</v>
          </cell>
          <cell r="B1269">
            <v>9236000</v>
          </cell>
        </row>
        <row r="1270">
          <cell r="A1270">
            <v>237201</v>
          </cell>
          <cell r="B1270">
            <v>9237000</v>
          </cell>
        </row>
        <row r="1271">
          <cell r="A1271">
            <v>237250</v>
          </cell>
          <cell r="B1271">
            <v>9237000</v>
          </cell>
        </row>
        <row r="1272">
          <cell r="A1272">
            <v>237300</v>
          </cell>
          <cell r="B1272">
            <v>9237000</v>
          </cell>
        </row>
        <row r="1273">
          <cell r="A1273">
            <v>237350</v>
          </cell>
          <cell r="B1273">
            <v>9237000</v>
          </cell>
        </row>
        <row r="1274">
          <cell r="A1274">
            <v>237351</v>
          </cell>
          <cell r="B1274">
            <v>9237000</v>
          </cell>
        </row>
        <row r="1275">
          <cell r="A1275">
            <v>237352</v>
          </cell>
          <cell r="B1275">
            <v>9237000</v>
          </cell>
        </row>
        <row r="1276">
          <cell r="A1276">
            <v>237353</v>
          </cell>
          <cell r="B1276">
            <v>9237000</v>
          </cell>
        </row>
        <row r="1277">
          <cell r="A1277">
            <v>237354</v>
          </cell>
          <cell r="B1277">
            <v>9237000</v>
          </cell>
        </row>
        <row r="1278">
          <cell r="A1278">
            <v>237355</v>
          </cell>
          <cell r="B1278">
            <v>9237000</v>
          </cell>
        </row>
        <row r="1279">
          <cell r="A1279">
            <v>237356</v>
          </cell>
          <cell r="B1279">
            <v>9237000</v>
          </cell>
        </row>
        <row r="1280">
          <cell r="A1280">
            <v>237400</v>
          </cell>
          <cell r="B1280">
            <v>9237000</v>
          </cell>
        </row>
        <row r="1281">
          <cell r="A1281">
            <v>237500</v>
          </cell>
          <cell r="B1281">
            <v>9237000</v>
          </cell>
        </row>
        <row r="1282">
          <cell r="A1282">
            <v>238110</v>
          </cell>
          <cell r="B1282">
            <v>9238000</v>
          </cell>
        </row>
        <row r="1283">
          <cell r="A1283">
            <v>238410</v>
          </cell>
          <cell r="B1283">
            <v>9238000</v>
          </cell>
        </row>
        <row r="1284">
          <cell r="A1284">
            <v>238430</v>
          </cell>
          <cell r="B1284">
            <v>9238000</v>
          </cell>
        </row>
        <row r="1285">
          <cell r="A1285">
            <v>238440</v>
          </cell>
          <cell r="B1285">
            <v>9238000</v>
          </cell>
        </row>
        <row r="1286">
          <cell r="A1286">
            <v>238450</v>
          </cell>
          <cell r="B1286">
            <v>9238000</v>
          </cell>
        </row>
        <row r="1287">
          <cell r="A1287">
            <v>238530</v>
          </cell>
          <cell r="B1287">
            <v>9238000</v>
          </cell>
        </row>
        <row r="1288">
          <cell r="A1288">
            <v>238540</v>
          </cell>
          <cell r="B1288">
            <v>9238000</v>
          </cell>
        </row>
        <row r="1289">
          <cell r="A1289">
            <v>238550</v>
          </cell>
          <cell r="B1289">
            <v>9238000</v>
          </cell>
        </row>
        <row r="1290">
          <cell r="A1290">
            <v>238900</v>
          </cell>
          <cell r="B1290">
            <v>9238000</v>
          </cell>
        </row>
        <row r="1291">
          <cell r="A1291">
            <v>241011</v>
          </cell>
          <cell r="B1291">
            <v>9241000</v>
          </cell>
        </row>
        <row r="1292">
          <cell r="A1292">
            <v>241013</v>
          </cell>
          <cell r="B1292">
            <v>9241000</v>
          </cell>
        </row>
        <row r="1293">
          <cell r="A1293">
            <v>241015</v>
          </cell>
          <cell r="B1293">
            <v>9241000</v>
          </cell>
        </row>
        <row r="1294">
          <cell r="A1294">
            <v>241018</v>
          </cell>
          <cell r="B1294">
            <v>9241000</v>
          </cell>
        </row>
        <row r="1295">
          <cell r="A1295">
            <v>241020</v>
          </cell>
          <cell r="B1295">
            <v>9241000</v>
          </cell>
        </row>
        <row r="1296">
          <cell r="A1296">
            <v>241021</v>
          </cell>
          <cell r="B1296">
            <v>9241000</v>
          </cell>
        </row>
        <row r="1297">
          <cell r="A1297">
            <v>241022</v>
          </cell>
          <cell r="B1297">
            <v>9241000</v>
          </cell>
        </row>
        <row r="1298">
          <cell r="A1298">
            <v>241024</v>
          </cell>
          <cell r="B1298">
            <v>9241000</v>
          </cell>
        </row>
        <row r="1299">
          <cell r="A1299">
            <v>241025</v>
          </cell>
          <cell r="B1299">
            <v>9241000</v>
          </cell>
        </row>
        <row r="1300">
          <cell r="A1300">
            <v>241026</v>
          </cell>
          <cell r="B1300">
            <v>9241000</v>
          </cell>
        </row>
        <row r="1301">
          <cell r="A1301">
            <v>241030</v>
          </cell>
          <cell r="B1301">
            <v>9241000</v>
          </cell>
        </row>
        <row r="1302">
          <cell r="A1302">
            <v>241046</v>
          </cell>
          <cell r="B1302">
            <v>9241000</v>
          </cell>
        </row>
        <row r="1303">
          <cell r="A1303">
            <v>241050</v>
          </cell>
          <cell r="B1303">
            <v>9241000</v>
          </cell>
        </row>
        <row r="1304">
          <cell r="A1304">
            <v>241052</v>
          </cell>
          <cell r="B1304">
            <v>9241000</v>
          </cell>
        </row>
        <row r="1305">
          <cell r="A1305">
            <v>241055</v>
          </cell>
          <cell r="B1305">
            <v>9241000</v>
          </cell>
        </row>
        <row r="1306">
          <cell r="A1306">
            <v>241057</v>
          </cell>
          <cell r="B1306">
            <v>9241000</v>
          </cell>
        </row>
        <row r="1307">
          <cell r="A1307">
            <v>241060</v>
          </cell>
          <cell r="B1307">
            <v>9241000</v>
          </cell>
        </row>
        <row r="1308">
          <cell r="A1308">
            <v>241065</v>
          </cell>
          <cell r="B1308">
            <v>9241000</v>
          </cell>
        </row>
        <row r="1309">
          <cell r="A1309">
            <v>241070</v>
          </cell>
          <cell r="B1309">
            <v>9241000</v>
          </cell>
        </row>
        <row r="1310">
          <cell r="A1310">
            <v>241075</v>
          </cell>
          <cell r="B1310">
            <v>9241000</v>
          </cell>
        </row>
        <row r="1311">
          <cell r="A1311">
            <v>241080</v>
          </cell>
          <cell r="B1311">
            <v>9241000</v>
          </cell>
        </row>
        <row r="1312">
          <cell r="A1312">
            <v>241081</v>
          </cell>
          <cell r="B1312">
            <v>9241000</v>
          </cell>
        </row>
        <row r="1313">
          <cell r="A1313">
            <v>241082</v>
          </cell>
          <cell r="B1313">
            <v>9241000</v>
          </cell>
        </row>
        <row r="1314">
          <cell r="A1314">
            <v>241083</v>
          </cell>
          <cell r="B1314">
            <v>9241000</v>
          </cell>
        </row>
        <row r="1315">
          <cell r="A1315">
            <v>241085</v>
          </cell>
          <cell r="B1315">
            <v>9241000</v>
          </cell>
        </row>
        <row r="1316">
          <cell r="A1316">
            <v>241090</v>
          </cell>
          <cell r="B1316">
            <v>9241000</v>
          </cell>
        </row>
        <row r="1317">
          <cell r="A1317">
            <v>241092</v>
          </cell>
          <cell r="B1317">
            <v>9241000</v>
          </cell>
        </row>
        <row r="1318">
          <cell r="A1318">
            <v>241093</v>
          </cell>
          <cell r="B1318">
            <v>9241000</v>
          </cell>
        </row>
        <row r="1319">
          <cell r="A1319">
            <v>241094</v>
          </cell>
          <cell r="B1319">
            <v>9241000</v>
          </cell>
        </row>
        <row r="1320">
          <cell r="A1320">
            <v>241095</v>
          </cell>
          <cell r="B1320">
            <v>9241000</v>
          </cell>
        </row>
        <row r="1321">
          <cell r="A1321">
            <v>241096</v>
          </cell>
          <cell r="B1321">
            <v>9241000</v>
          </cell>
        </row>
        <row r="1322">
          <cell r="A1322">
            <v>241100</v>
          </cell>
          <cell r="B1322">
            <v>9241000</v>
          </cell>
        </row>
        <row r="1323">
          <cell r="A1323">
            <v>241110</v>
          </cell>
          <cell r="B1323">
            <v>9241000</v>
          </cell>
        </row>
        <row r="1324">
          <cell r="A1324">
            <v>241112</v>
          </cell>
          <cell r="B1324">
            <v>9241000</v>
          </cell>
        </row>
        <row r="1325">
          <cell r="A1325">
            <v>241115</v>
          </cell>
          <cell r="B1325">
            <v>9241000</v>
          </cell>
        </row>
        <row r="1326">
          <cell r="A1326">
            <v>241116</v>
          </cell>
          <cell r="B1326">
            <v>9241000</v>
          </cell>
        </row>
        <row r="1327">
          <cell r="A1327">
            <v>241118</v>
          </cell>
          <cell r="B1327">
            <v>9241000</v>
          </cell>
        </row>
        <row r="1328">
          <cell r="A1328">
            <v>241119</v>
          </cell>
          <cell r="B1328">
            <v>9241000</v>
          </cell>
        </row>
        <row r="1329">
          <cell r="A1329">
            <v>241120</v>
          </cell>
          <cell r="B1329">
            <v>9241000</v>
          </cell>
        </row>
        <row r="1330">
          <cell r="A1330">
            <v>241122</v>
          </cell>
          <cell r="B1330">
            <v>9241000</v>
          </cell>
        </row>
        <row r="1331">
          <cell r="A1331">
            <v>241124</v>
          </cell>
          <cell r="B1331">
            <v>9241000</v>
          </cell>
        </row>
        <row r="1332">
          <cell r="A1332">
            <v>241126</v>
          </cell>
          <cell r="B1332">
            <v>9241000</v>
          </cell>
        </row>
        <row r="1333">
          <cell r="A1333">
            <v>241130</v>
          </cell>
          <cell r="B1333">
            <v>9241000</v>
          </cell>
        </row>
        <row r="1334">
          <cell r="A1334">
            <v>241132</v>
          </cell>
          <cell r="B1334">
            <v>9241000</v>
          </cell>
        </row>
        <row r="1335">
          <cell r="A1335">
            <v>241136</v>
          </cell>
          <cell r="B1335">
            <v>9241000</v>
          </cell>
        </row>
        <row r="1336">
          <cell r="A1336">
            <v>241137</v>
          </cell>
          <cell r="B1336">
            <v>9241000</v>
          </cell>
        </row>
        <row r="1337">
          <cell r="A1337">
            <v>241140</v>
          </cell>
          <cell r="B1337">
            <v>9241000</v>
          </cell>
        </row>
        <row r="1338">
          <cell r="A1338">
            <v>241142</v>
          </cell>
          <cell r="B1338">
            <v>9241000</v>
          </cell>
        </row>
        <row r="1339">
          <cell r="A1339">
            <v>241145</v>
          </cell>
          <cell r="B1339">
            <v>9241000</v>
          </cell>
        </row>
        <row r="1340">
          <cell r="A1340">
            <v>241150</v>
          </cell>
          <cell r="B1340">
            <v>9241000</v>
          </cell>
        </row>
        <row r="1341">
          <cell r="A1341">
            <v>241154</v>
          </cell>
          <cell r="B1341">
            <v>9241000</v>
          </cell>
        </row>
        <row r="1342">
          <cell r="A1342">
            <v>241155</v>
          </cell>
          <cell r="B1342">
            <v>9241000</v>
          </cell>
        </row>
        <row r="1343">
          <cell r="A1343">
            <v>241160</v>
          </cell>
          <cell r="B1343">
            <v>9241000</v>
          </cell>
        </row>
        <row r="1344">
          <cell r="A1344">
            <v>241165</v>
          </cell>
          <cell r="B1344">
            <v>9241000</v>
          </cell>
        </row>
        <row r="1345">
          <cell r="A1345">
            <v>241166</v>
          </cell>
          <cell r="B1345">
            <v>9241000</v>
          </cell>
        </row>
        <row r="1346">
          <cell r="A1346">
            <v>241167</v>
          </cell>
          <cell r="B1346">
            <v>9241000</v>
          </cell>
        </row>
        <row r="1347">
          <cell r="A1347">
            <v>241170</v>
          </cell>
          <cell r="B1347">
            <v>9241000</v>
          </cell>
        </row>
        <row r="1348">
          <cell r="A1348">
            <v>241174</v>
          </cell>
          <cell r="B1348">
            <v>9241000</v>
          </cell>
        </row>
        <row r="1349">
          <cell r="A1349">
            <v>241180</v>
          </cell>
          <cell r="B1349">
            <v>9241000</v>
          </cell>
        </row>
        <row r="1350">
          <cell r="A1350">
            <v>241185</v>
          </cell>
          <cell r="B1350">
            <v>9241000</v>
          </cell>
        </row>
        <row r="1351">
          <cell r="A1351">
            <v>241190</v>
          </cell>
          <cell r="B1351">
            <v>9241000</v>
          </cell>
        </row>
        <row r="1352">
          <cell r="A1352">
            <v>241191</v>
          </cell>
          <cell r="B1352">
            <v>9241000</v>
          </cell>
        </row>
        <row r="1353">
          <cell r="A1353">
            <v>241192</v>
          </cell>
          <cell r="B1353">
            <v>9241000</v>
          </cell>
        </row>
        <row r="1354">
          <cell r="A1354">
            <v>241195</v>
          </cell>
          <cell r="B1354">
            <v>9241000</v>
          </cell>
        </row>
        <row r="1355">
          <cell r="A1355">
            <v>241196</v>
          </cell>
          <cell r="B1355">
            <v>9241000</v>
          </cell>
        </row>
        <row r="1356">
          <cell r="A1356">
            <v>241198</v>
          </cell>
          <cell r="B1356">
            <v>9241000</v>
          </cell>
        </row>
        <row r="1357">
          <cell r="A1357">
            <v>241199</v>
          </cell>
          <cell r="B1357">
            <v>9241000</v>
          </cell>
        </row>
        <row r="1358">
          <cell r="A1358">
            <v>241200</v>
          </cell>
          <cell r="B1358">
            <v>9241000</v>
          </cell>
        </row>
        <row r="1359">
          <cell r="A1359">
            <v>241201</v>
          </cell>
          <cell r="B1359">
            <v>9241000</v>
          </cell>
        </row>
        <row r="1360">
          <cell r="A1360">
            <v>241203</v>
          </cell>
          <cell r="B1360">
            <v>9241000</v>
          </cell>
        </row>
        <row r="1361">
          <cell r="A1361">
            <v>241204</v>
          </cell>
          <cell r="B1361">
            <v>9241000</v>
          </cell>
        </row>
        <row r="1362">
          <cell r="A1362">
            <v>241208</v>
          </cell>
          <cell r="B1362">
            <v>9241000</v>
          </cell>
        </row>
        <row r="1363">
          <cell r="A1363">
            <v>241210</v>
          </cell>
          <cell r="B1363">
            <v>9241000</v>
          </cell>
        </row>
        <row r="1364">
          <cell r="A1364">
            <v>241214</v>
          </cell>
          <cell r="B1364">
            <v>9241000</v>
          </cell>
        </row>
        <row r="1365">
          <cell r="A1365">
            <v>241220</v>
          </cell>
          <cell r="B1365">
            <v>9241000</v>
          </cell>
        </row>
        <row r="1366">
          <cell r="A1366">
            <v>241222</v>
          </cell>
          <cell r="B1366">
            <v>9241000</v>
          </cell>
        </row>
        <row r="1367">
          <cell r="A1367">
            <v>241224</v>
          </cell>
          <cell r="B1367">
            <v>9241000</v>
          </cell>
        </row>
        <row r="1368">
          <cell r="A1368">
            <v>241230</v>
          </cell>
          <cell r="B1368">
            <v>9241000</v>
          </cell>
        </row>
        <row r="1369">
          <cell r="A1369">
            <v>241240</v>
          </cell>
          <cell r="B1369">
            <v>9241000</v>
          </cell>
        </row>
        <row r="1370">
          <cell r="A1370">
            <v>241242</v>
          </cell>
          <cell r="B1370">
            <v>9241000</v>
          </cell>
        </row>
        <row r="1371">
          <cell r="A1371">
            <v>241246</v>
          </cell>
          <cell r="B1371">
            <v>9241000</v>
          </cell>
        </row>
        <row r="1372">
          <cell r="A1372">
            <v>241250</v>
          </cell>
          <cell r="B1372">
            <v>9241000</v>
          </cell>
        </row>
        <row r="1373">
          <cell r="A1373">
            <v>241260</v>
          </cell>
          <cell r="B1373">
            <v>9241000</v>
          </cell>
        </row>
        <row r="1374">
          <cell r="A1374">
            <v>241265</v>
          </cell>
          <cell r="B1374">
            <v>9241000</v>
          </cell>
        </row>
        <row r="1375">
          <cell r="A1375">
            <v>241270</v>
          </cell>
          <cell r="B1375">
            <v>9241000</v>
          </cell>
        </row>
        <row r="1376">
          <cell r="A1376">
            <v>241272</v>
          </cell>
          <cell r="B1376">
            <v>9241000</v>
          </cell>
        </row>
        <row r="1377">
          <cell r="A1377">
            <v>241275</v>
          </cell>
          <cell r="B1377">
            <v>9241000</v>
          </cell>
        </row>
        <row r="1378">
          <cell r="A1378">
            <v>241280</v>
          </cell>
          <cell r="B1378">
            <v>9241000</v>
          </cell>
        </row>
        <row r="1379">
          <cell r="A1379">
            <v>241286</v>
          </cell>
          <cell r="B1379">
            <v>9241000</v>
          </cell>
        </row>
        <row r="1380">
          <cell r="A1380">
            <v>241290</v>
          </cell>
          <cell r="B1380">
            <v>9241000</v>
          </cell>
        </row>
        <row r="1381">
          <cell r="A1381">
            <v>241292</v>
          </cell>
          <cell r="B1381">
            <v>9241000</v>
          </cell>
        </row>
        <row r="1382">
          <cell r="A1382">
            <v>241295</v>
          </cell>
          <cell r="B1382">
            <v>9241000</v>
          </cell>
        </row>
        <row r="1383">
          <cell r="A1383">
            <v>241296</v>
          </cell>
          <cell r="B1383">
            <v>9241000</v>
          </cell>
        </row>
        <row r="1384">
          <cell r="A1384">
            <v>241297</v>
          </cell>
          <cell r="B1384">
            <v>9241000</v>
          </cell>
        </row>
        <row r="1385">
          <cell r="A1385">
            <v>241298</v>
          </cell>
          <cell r="B1385">
            <v>9241000</v>
          </cell>
        </row>
        <row r="1386">
          <cell r="A1386">
            <v>241310</v>
          </cell>
          <cell r="B1386">
            <v>9241000</v>
          </cell>
        </row>
        <row r="1387">
          <cell r="A1387">
            <v>241320</v>
          </cell>
          <cell r="B1387">
            <v>9241000</v>
          </cell>
        </row>
        <row r="1388">
          <cell r="A1388">
            <v>241326</v>
          </cell>
          <cell r="B1388">
            <v>9241000</v>
          </cell>
        </row>
        <row r="1389">
          <cell r="A1389">
            <v>241328</v>
          </cell>
          <cell r="B1389">
            <v>9241000</v>
          </cell>
        </row>
        <row r="1390">
          <cell r="A1390">
            <v>241360</v>
          </cell>
          <cell r="B1390">
            <v>9241000</v>
          </cell>
        </row>
        <row r="1391">
          <cell r="A1391">
            <v>241425</v>
          </cell>
          <cell r="B1391">
            <v>9241000</v>
          </cell>
        </row>
        <row r="1392">
          <cell r="A1392">
            <v>241600</v>
          </cell>
          <cell r="B1392">
            <v>9241000</v>
          </cell>
        </row>
        <row r="1393">
          <cell r="A1393">
            <v>241601</v>
          </cell>
          <cell r="B1393">
            <v>9241000</v>
          </cell>
        </row>
        <row r="1394">
          <cell r="A1394">
            <v>241604</v>
          </cell>
          <cell r="B1394">
            <v>9241000</v>
          </cell>
        </row>
        <row r="1395">
          <cell r="A1395">
            <v>241606</v>
          </cell>
          <cell r="B1395">
            <v>9241000</v>
          </cell>
        </row>
        <row r="1396">
          <cell r="A1396">
            <v>241607</v>
          </cell>
          <cell r="B1396">
            <v>9241000</v>
          </cell>
        </row>
        <row r="1397">
          <cell r="A1397">
            <v>241608</v>
          </cell>
          <cell r="B1397">
            <v>9241000</v>
          </cell>
        </row>
        <row r="1398">
          <cell r="A1398">
            <v>241609</v>
          </cell>
          <cell r="B1398">
            <v>9241000</v>
          </cell>
        </row>
        <row r="1399">
          <cell r="A1399">
            <v>241726</v>
          </cell>
          <cell r="B1399">
            <v>9241000</v>
          </cell>
        </row>
        <row r="1400">
          <cell r="A1400">
            <v>241730</v>
          </cell>
          <cell r="B1400">
            <v>9241000</v>
          </cell>
        </row>
        <row r="1401">
          <cell r="A1401">
            <v>241735</v>
          </cell>
          <cell r="B1401">
            <v>9241000</v>
          </cell>
        </row>
        <row r="1402">
          <cell r="A1402">
            <v>241740</v>
          </cell>
          <cell r="B1402">
            <v>9241000</v>
          </cell>
        </row>
        <row r="1403">
          <cell r="A1403">
            <v>241745</v>
          </cell>
          <cell r="B1403">
            <v>9241000</v>
          </cell>
        </row>
        <row r="1404">
          <cell r="A1404">
            <v>241760</v>
          </cell>
          <cell r="B1404">
            <v>9241000</v>
          </cell>
        </row>
        <row r="1405">
          <cell r="A1405">
            <v>241800</v>
          </cell>
          <cell r="B1405">
            <v>9241000</v>
          </cell>
        </row>
        <row r="1406">
          <cell r="A1406">
            <v>241801</v>
          </cell>
          <cell r="B1406">
            <v>9241000</v>
          </cell>
        </row>
        <row r="1407">
          <cell r="A1407">
            <v>241802</v>
          </cell>
          <cell r="B1407">
            <v>9241000</v>
          </cell>
        </row>
        <row r="1408">
          <cell r="A1408">
            <v>241804</v>
          </cell>
          <cell r="B1408">
            <v>9241000</v>
          </cell>
        </row>
        <row r="1409">
          <cell r="A1409">
            <v>241810</v>
          </cell>
          <cell r="B1409">
            <v>9241000</v>
          </cell>
        </row>
        <row r="1410">
          <cell r="A1410">
            <v>241811</v>
          </cell>
          <cell r="B1410">
            <v>9241000</v>
          </cell>
        </row>
        <row r="1411">
          <cell r="A1411">
            <v>241819</v>
          </cell>
          <cell r="B1411">
            <v>9241000</v>
          </cell>
        </row>
        <row r="1412">
          <cell r="A1412">
            <v>241820</v>
          </cell>
          <cell r="B1412">
            <v>9241000</v>
          </cell>
        </row>
        <row r="1413">
          <cell r="A1413">
            <v>241821</v>
          </cell>
          <cell r="B1413">
            <v>9241000</v>
          </cell>
        </row>
        <row r="1414">
          <cell r="A1414">
            <v>241824</v>
          </cell>
          <cell r="B1414">
            <v>9241000</v>
          </cell>
        </row>
        <row r="1415">
          <cell r="A1415">
            <v>241827</v>
          </cell>
          <cell r="B1415">
            <v>9241000</v>
          </cell>
        </row>
        <row r="1416">
          <cell r="A1416">
            <v>241830</v>
          </cell>
          <cell r="B1416">
            <v>9241000</v>
          </cell>
        </row>
        <row r="1417">
          <cell r="A1417">
            <v>241835</v>
          </cell>
          <cell r="B1417">
            <v>9241000</v>
          </cell>
        </row>
        <row r="1418">
          <cell r="A1418">
            <v>241836</v>
          </cell>
          <cell r="B1418">
            <v>9241000</v>
          </cell>
        </row>
        <row r="1419">
          <cell r="A1419">
            <v>241843</v>
          </cell>
          <cell r="B1419">
            <v>9241000</v>
          </cell>
        </row>
        <row r="1420">
          <cell r="A1420">
            <v>241860</v>
          </cell>
          <cell r="B1420">
            <v>9241000</v>
          </cell>
        </row>
        <row r="1421">
          <cell r="A1421">
            <v>241871</v>
          </cell>
          <cell r="B1421">
            <v>9241000</v>
          </cell>
        </row>
        <row r="1422">
          <cell r="A1422">
            <v>241872</v>
          </cell>
          <cell r="B1422">
            <v>9241000</v>
          </cell>
        </row>
        <row r="1423">
          <cell r="A1423">
            <v>241880</v>
          </cell>
          <cell r="B1423">
            <v>9241000</v>
          </cell>
        </row>
        <row r="1424">
          <cell r="A1424">
            <v>241881</v>
          </cell>
          <cell r="B1424">
            <v>9241000</v>
          </cell>
        </row>
        <row r="1425">
          <cell r="A1425">
            <v>241882</v>
          </cell>
          <cell r="B1425">
            <v>9241000</v>
          </cell>
        </row>
        <row r="1426">
          <cell r="A1426">
            <v>241883</v>
          </cell>
          <cell r="B1426">
            <v>9241000</v>
          </cell>
        </row>
        <row r="1427">
          <cell r="A1427">
            <v>241884</v>
          </cell>
          <cell r="B1427">
            <v>9241000</v>
          </cell>
        </row>
        <row r="1428">
          <cell r="A1428">
            <v>241885</v>
          </cell>
          <cell r="B1428">
            <v>9241000</v>
          </cell>
        </row>
        <row r="1429">
          <cell r="A1429">
            <v>241886</v>
          </cell>
          <cell r="B1429">
            <v>9241000</v>
          </cell>
        </row>
        <row r="1430">
          <cell r="A1430">
            <v>241887</v>
          </cell>
          <cell r="B1430">
            <v>9241000</v>
          </cell>
        </row>
        <row r="1431">
          <cell r="A1431">
            <v>241888</v>
          </cell>
          <cell r="B1431">
            <v>9241000</v>
          </cell>
        </row>
        <row r="1432">
          <cell r="A1432">
            <v>241889</v>
          </cell>
          <cell r="B1432">
            <v>9241000</v>
          </cell>
        </row>
        <row r="1433">
          <cell r="A1433">
            <v>241890</v>
          </cell>
          <cell r="B1433">
            <v>9241000</v>
          </cell>
        </row>
        <row r="1434">
          <cell r="A1434">
            <v>241893</v>
          </cell>
          <cell r="B1434">
            <v>9241000</v>
          </cell>
        </row>
        <row r="1435">
          <cell r="A1435">
            <v>241899</v>
          </cell>
          <cell r="B1435">
            <v>9241000</v>
          </cell>
        </row>
        <row r="1436">
          <cell r="A1436">
            <v>241902</v>
          </cell>
          <cell r="B1436">
            <v>9241000</v>
          </cell>
        </row>
        <row r="1437">
          <cell r="A1437">
            <v>241903</v>
          </cell>
          <cell r="B1437">
            <v>9241000</v>
          </cell>
        </row>
        <row r="1438">
          <cell r="A1438">
            <v>241905</v>
          </cell>
          <cell r="B1438">
            <v>9241000</v>
          </cell>
        </row>
        <row r="1439">
          <cell r="A1439">
            <v>241906</v>
          </cell>
          <cell r="B1439">
            <v>9241000</v>
          </cell>
        </row>
        <row r="1440">
          <cell r="A1440">
            <v>241987</v>
          </cell>
          <cell r="B1440">
            <v>9241000</v>
          </cell>
        </row>
        <row r="1441">
          <cell r="A1441">
            <v>241988</v>
          </cell>
          <cell r="B1441">
            <v>9241000</v>
          </cell>
        </row>
        <row r="1442">
          <cell r="A1442">
            <v>241989</v>
          </cell>
          <cell r="B1442">
            <v>9241000</v>
          </cell>
        </row>
        <row r="1443">
          <cell r="A1443">
            <v>241990</v>
          </cell>
          <cell r="B1443">
            <v>9241000</v>
          </cell>
        </row>
        <row r="1444">
          <cell r="A1444">
            <v>241991</v>
          </cell>
          <cell r="B1444">
            <v>9241000</v>
          </cell>
        </row>
        <row r="1445">
          <cell r="A1445">
            <v>241992</v>
          </cell>
          <cell r="B1445">
            <v>9241000</v>
          </cell>
        </row>
        <row r="1446">
          <cell r="A1446">
            <v>241993</v>
          </cell>
          <cell r="B1446">
            <v>9241000</v>
          </cell>
        </row>
        <row r="1447">
          <cell r="A1447">
            <v>241995</v>
          </cell>
          <cell r="B1447">
            <v>9241000</v>
          </cell>
        </row>
        <row r="1448">
          <cell r="A1448">
            <v>241996</v>
          </cell>
          <cell r="B1448">
            <v>9241000</v>
          </cell>
        </row>
        <row r="1449">
          <cell r="A1449">
            <v>241997</v>
          </cell>
          <cell r="B1449">
            <v>9241000</v>
          </cell>
        </row>
        <row r="1450">
          <cell r="A1450">
            <v>242010</v>
          </cell>
          <cell r="B1450">
            <v>9242000</v>
          </cell>
        </row>
        <row r="1451">
          <cell r="A1451">
            <v>242015</v>
          </cell>
          <cell r="B1451">
            <v>9242000</v>
          </cell>
        </row>
        <row r="1452">
          <cell r="A1452">
            <v>242020</v>
          </cell>
          <cell r="B1452">
            <v>9242000</v>
          </cell>
        </row>
        <row r="1453">
          <cell r="A1453">
            <v>242025</v>
          </cell>
          <cell r="B1453">
            <v>9242000</v>
          </cell>
        </row>
        <row r="1454">
          <cell r="A1454">
            <v>242029</v>
          </cell>
          <cell r="B1454">
            <v>9242000</v>
          </cell>
        </row>
        <row r="1455">
          <cell r="A1455">
            <v>242030</v>
          </cell>
          <cell r="B1455">
            <v>9242000</v>
          </cell>
        </row>
        <row r="1456">
          <cell r="A1456">
            <v>242040</v>
          </cell>
          <cell r="B1456">
            <v>9242000</v>
          </cell>
        </row>
        <row r="1457">
          <cell r="A1457">
            <v>242050</v>
          </cell>
          <cell r="B1457">
            <v>9242000</v>
          </cell>
        </row>
        <row r="1458">
          <cell r="A1458">
            <v>242060</v>
          </cell>
          <cell r="B1458">
            <v>9242000</v>
          </cell>
        </row>
        <row r="1459">
          <cell r="A1459">
            <v>242100</v>
          </cell>
          <cell r="B1459">
            <v>9242000</v>
          </cell>
        </row>
        <row r="1460">
          <cell r="A1460">
            <v>242150</v>
          </cell>
          <cell r="B1460">
            <v>9242000</v>
          </cell>
        </row>
        <row r="1461">
          <cell r="A1461">
            <v>242160</v>
          </cell>
          <cell r="B1461">
            <v>9242000</v>
          </cell>
        </row>
        <row r="1462">
          <cell r="A1462">
            <v>242250</v>
          </cell>
          <cell r="B1462">
            <v>9242000</v>
          </cell>
        </row>
        <row r="1463">
          <cell r="A1463">
            <v>242393</v>
          </cell>
          <cell r="B1463">
            <v>9242000</v>
          </cell>
        </row>
        <row r="1464">
          <cell r="A1464">
            <v>242450</v>
          </cell>
          <cell r="B1464">
            <v>9242000</v>
          </cell>
        </row>
        <row r="1465">
          <cell r="A1465">
            <v>242834</v>
          </cell>
          <cell r="B1465">
            <v>9242000</v>
          </cell>
        </row>
        <row r="1466">
          <cell r="A1466">
            <v>242835</v>
          </cell>
          <cell r="B1466">
            <v>9242000</v>
          </cell>
        </row>
        <row r="1467">
          <cell r="A1467">
            <v>242844</v>
          </cell>
          <cell r="B1467">
            <v>9242000</v>
          </cell>
        </row>
        <row r="1468">
          <cell r="A1468">
            <v>242855</v>
          </cell>
          <cell r="B1468">
            <v>9242000</v>
          </cell>
        </row>
        <row r="1469">
          <cell r="A1469">
            <v>242890</v>
          </cell>
          <cell r="B1469">
            <v>9242000</v>
          </cell>
        </row>
        <row r="1470">
          <cell r="A1470">
            <v>242895</v>
          </cell>
          <cell r="B1470">
            <v>9242000</v>
          </cell>
        </row>
        <row r="1471">
          <cell r="A1471">
            <v>242908</v>
          </cell>
          <cell r="B1471">
            <v>9242000</v>
          </cell>
        </row>
        <row r="1472">
          <cell r="A1472">
            <v>242910</v>
          </cell>
          <cell r="B1472">
            <v>9242000</v>
          </cell>
        </row>
        <row r="1473">
          <cell r="A1473">
            <v>242911</v>
          </cell>
          <cell r="B1473">
            <v>9242000</v>
          </cell>
        </row>
        <row r="1474">
          <cell r="A1474">
            <v>242912</v>
          </cell>
          <cell r="B1474">
            <v>9242000</v>
          </cell>
        </row>
        <row r="1475">
          <cell r="A1475">
            <v>242920</v>
          </cell>
          <cell r="B1475">
            <v>9242000</v>
          </cell>
        </row>
        <row r="1476">
          <cell r="A1476">
            <v>242925</v>
          </cell>
          <cell r="B1476">
            <v>9242000</v>
          </cell>
        </row>
        <row r="1477">
          <cell r="A1477">
            <v>243111</v>
          </cell>
          <cell r="B1477">
            <v>9243000</v>
          </cell>
        </row>
        <row r="1478">
          <cell r="A1478">
            <v>244700</v>
          </cell>
          <cell r="B1478">
            <v>9244000</v>
          </cell>
        </row>
        <row r="1479">
          <cell r="A1479">
            <v>244925</v>
          </cell>
          <cell r="B1479">
            <v>9244000</v>
          </cell>
        </row>
        <row r="1480">
          <cell r="A1480">
            <v>244926</v>
          </cell>
          <cell r="B1480">
            <v>9244000</v>
          </cell>
        </row>
        <row r="1481">
          <cell r="A1481">
            <v>244945</v>
          </cell>
          <cell r="B1481">
            <v>9244000</v>
          </cell>
        </row>
        <row r="1482">
          <cell r="A1482">
            <v>244946</v>
          </cell>
          <cell r="B1482">
            <v>9244000</v>
          </cell>
        </row>
        <row r="1483">
          <cell r="A1483">
            <v>252100</v>
          </cell>
          <cell r="B1483">
            <v>9252000</v>
          </cell>
        </row>
        <row r="1484">
          <cell r="A1484">
            <v>252120</v>
          </cell>
          <cell r="B1484">
            <v>9252000</v>
          </cell>
        </row>
        <row r="1485">
          <cell r="A1485">
            <v>252130</v>
          </cell>
          <cell r="B1485">
            <v>9252000</v>
          </cell>
        </row>
        <row r="1486">
          <cell r="A1486">
            <v>252140</v>
          </cell>
          <cell r="B1486">
            <v>9252000</v>
          </cell>
        </row>
        <row r="1487">
          <cell r="A1487">
            <v>252160</v>
          </cell>
          <cell r="B1487">
            <v>9252000</v>
          </cell>
        </row>
        <row r="1488">
          <cell r="A1488">
            <v>252200</v>
          </cell>
          <cell r="B1488">
            <v>9252000</v>
          </cell>
        </row>
        <row r="1489">
          <cell r="A1489">
            <v>252430</v>
          </cell>
          <cell r="B1489">
            <v>9252000</v>
          </cell>
        </row>
        <row r="1490">
          <cell r="A1490">
            <v>253116</v>
          </cell>
          <cell r="B1490">
            <v>9253000</v>
          </cell>
        </row>
        <row r="1491">
          <cell r="A1491">
            <v>253120</v>
          </cell>
          <cell r="B1491">
            <v>9253000</v>
          </cell>
        </row>
        <row r="1492">
          <cell r="A1492">
            <v>253130</v>
          </cell>
          <cell r="B1492">
            <v>9253000</v>
          </cell>
        </row>
        <row r="1493">
          <cell r="A1493">
            <v>253135</v>
          </cell>
          <cell r="B1493">
            <v>9253000</v>
          </cell>
        </row>
        <row r="1494">
          <cell r="A1494">
            <v>253136</v>
          </cell>
          <cell r="B1494">
            <v>9253000</v>
          </cell>
        </row>
        <row r="1495">
          <cell r="A1495">
            <v>253140</v>
          </cell>
          <cell r="B1495">
            <v>9253000</v>
          </cell>
        </row>
        <row r="1496">
          <cell r="A1496">
            <v>253150</v>
          </cell>
          <cell r="B1496">
            <v>9253000</v>
          </cell>
        </row>
        <row r="1497">
          <cell r="A1497">
            <v>253250</v>
          </cell>
          <cell r="B1497">
            <v>9253000</v>
          </cell>
        </row>
        <row r="1498">
          <cell r="A1498">
            <v>253307</v>
          </cell>
          <cell r="B1498">
            <v>9253000</v>
          </cell>
        </row>
        <row r="1499">
          <cell r="A1499">
            <v>253360</v>
          </cell>
          <cell r="B1499">
            <v>9253000</v>
          </cell>
        </row>
        <row r="1500">
          <cell r="A1500">
            <v>253390</v>
          </cell>
          <cell r="B1500">
            <v>9253000</v>
          </cell>
        </row>
        <row r="1501">
          <cell r="A1501">
            <v>253400</v>
          </cell>
          <cell r="B1501">
            <v>9253000</v>
          </cell>
        </row>
        <row r="1502">
          <cell r="A1502">
            <v>253412</v>
          </cell>
          <cell r="B1502">
            <v>9253000</v>
          </cell>
        </row>
        <row r="1503">
          <cell r="A1503">
            <v>253413</v>
          </cell>
          <cell r="B1503">
            <v>9253000</v>
          </cell>
        </row>
        <row r="1504">
          <cell r="A1504">
            <v>253425</v>
          </cell>
          <cell r="B1504">
            <v>9253000</v>
          </cell>
        </row>
        <row r="1505">
          <cell r="A1505">
            <v>253426</v>
          </cell>
          <cell r="B1505">
            <v>9253000</v>
          </cell>
        </row>
        <row r="1506">
          <cell r="A1506">
            <v>253427</v>
          </cell>
          <cell r="B1506">
            <v>9253000</v>
          </cell>
        </row>
        <row r="1507">
          <cell r="A1507">
            <v>253430</v>
          </cell>
          <cell r="B1507">
            <v>9253000</v>
          </cell>
        </row>
        <row r="1508">
          <cell r="A1508">
            <v>253435</v>
          </cell>
          <cell r="B1508">
            <v>9253000</v>
          </cell>
        </row>
        <row r="1509">
          <cell r="A1509">
            <v>253450</v>
          </cell>
          <cell r="B1509">
            <v>9253000</v>
          </cell>
        </row>
        <row r="1510">
          <cell r="A1510">
            <v>253460</v>
          </cell>
          <cell r="B1510">
            <v>9253000</v>
          </cell>
        </row>
        <row r="1511">
          <cell r="A1511">
            <v>253470</v>
          </cell>
          <cell r="B1511">
            <v>9253000</v>
          </cell>
        </row>
        <row r="1512">
          <cell r="A1512">
            <v>253480</v>
          </cell>
          <cell r="B1512">
            <v>9253000</v>
          </cell>
        </row>
        <row r="1513">
          <cell r="A1513">
            <v>253500</v>
          </cell>
          <cell r="B1513">
            <v>9253000</v>
          </cell>
        </row>
        <row r="1514">
          <cell r="A1514">
            <v>253512</v>
          </cell>
          <cell r="B1514">
            <v>9253000</v>
          </cell>
        </row>
        <row r="1515">
          <cell r="A1515">
            <v>253550</v>
          </cell>
          <cell r="B1515">
            <v>9253000</v>
          </cell>
        </row>
        <row r="1516">
          <cell r="A1516">
            <v>253551</v>
          </cell>
          <cell r="B1516">
            <v>9253000</v>
          </cell>
        </row>
        <row r="1517">
          <cell r="A1517">
            <v>253552</v>
          </cell>
          <cell r="B1517">
            <v>9253000</v>
          </cell>
        </row>
        <row r="1518">
          <cell r="A1518">
            <v>253553</v>
          </cell>
          <cell r="B1518">
            <v>9253000</v>
          </cell>
        </row>
        <row r="1519">
          <cell r="A1519">
            <v>253554</v>
          </cell>
          <cell r="B1519">
            <v>9253000</v>
          </cell>
        </row>
        <row r="1520">
          <cell r="A1520">
            <v>253555</v>
          </cell>
          <cell r="B1520">
            <v>9253000</v>
          </cell>
        </row>
        <row r="1521">
          <cell r="A1521">
            <v>253557</v>
          </cell>
          <cell r="B1521">
            <v>9253000</v>
          </cell>
        </row>
        <row r="1522">
          <cell r="A1522">
            <v>253558</v>
          </cell>
          <cell r="B1522">
            <v>9253000</v>
          </cell>
        </row>
        <row r="1523">
          <cell r="A1523">
            <v>253559</v>
          </cell>
          <cell r="B1523">
            <v>9253000</v>
          </cell>
        </row>
        <row r="1524">
          <cell r="A1524">
            <v>253560</v>
          </cell>
          <cell r="B1524">
            <v>9253000</v>
          </cell>
        </row>
        <row r="1525">
          <cell r="A1525">
            <v>253561</v>
          </cell>
          <cell r="B1525">
            <v>9253000</v>
          </cell>
        </row>
        <row r="1526">
          <cell r="A1526">
            <v>253563</v>
          </cell>
          <cell r="B1526">
            <v>9253000</v>
          </cell>
        </row>
        <row r="1527">
          <cell r="A1527">
            <v>253565</v>
          </cell>
          <cell r="B1527">
            <v>9253000</v>
          </cell>
        </row>
        <row r="1528">
          <cell r="A1528">
            <v>253566</v>
          </cell>
          <cell r="B1528">
            <v>9253000</v>
          </cell>
        </row>
        <row r="1529">
          <cell r="A1529">
            <v>253650</v>
          </cell>
          <cell r="B1529">
            <v>9253000</v>
          </cell>
        </row>
        <row r="1530">
          <cell r="A1530">
            <v>253651</v>
          </cell>
          <cell r="B1530">
            <v>9253000</v>
          </cell>
        </row>
        <row r="1531">
          <cell r="A1531">
            <v>253700</v>
          </cell>
          <cell r="B1531">
            <v>9253000</v>
          </cell>
        </row>
        <row r="1532">
          <cell r="A1532">
            <v>253810</v>
          </cell>
          <cell r="B1532">
            <v>9253000</v>
          </cell>
        </row>
        <row r="1533">
          <cell r="A1533">
            <v>253830</v>
          </cell>
          <cell r="B1533">
            <v>9253000</v>
          </cell>
        </row>
        <row r="1534">
          <cell r="A1534">
            <v>253850</v>
          </cell>
          <cell r="B1534">
            <v>9253000</v>
          </cell>
        </row>
        <row r="1535">
          <cell r="A1535">
            <v>253860</v>
          </cell>
          <cell r="B1535">
            <v>9253000</v>
          </cell>
        </row>
        <row r="1536">
          <cell r="A1536">
            <v>253870</v>
          </cell>
          <cell r="B1536">
            <v>9253000</v>
          </cell>
        </row>
        <row r="1537">
          <cell r="A1537">
            <v>253880</v>
          </cell>
          <cell r="B1537">
            <v>9253000</v>
          </cell>
        </row>
        <row r="1538">
          <cell r="A1538">
            <v>253890</v>
          </cell>
          <cell r="B1538">
            <v>9253000</v>
          </cell>
        </row>
        <row r="1539">
          <cell r="A1539">
            <v>253900</v>
          </cell>
          <cell r="B1539">
            <v>9253000</v>
          </cell>
        </row>
        <row r="1540">
          <cell r="A1540">
            <v>253930</v>
          </cell>
          <cell r="B1540">
            <v>9253000</v>
          </cell>
        </row>
        <row r="1541">
          <cell r="A1541">
            <v>253931</v>
          </cell>
          <cell r="B1541">
            <v>9253000</v>
          </cell>
        </row>
        <row r="1542">
          <cell r="A1542">
            <v>253932</v>
          </cell>
          <cell r="B1542">
            <v>9253000</v>
          </cell>
        </row>
        <row r="1543">
          <cell r="A1543">
            <v>253933</v>
          </cell>
          <cell r="B1543">
            <v>9253000</v>
          </cell>
        </row>
        <row r="1544">
          <cell r="A1544">
            <v>253934</v>
          </cell>
          <cell r="B1544">
            <v>9253000</v>
          </cell>
        </row>
        <row r="1545">
          <cell r="A1545">
            <v>253935</v>
          </cell>
          <cell r="B1545">
            <v>9253000</v>
          </cell>
        </row>
        <row r="1546">
          <cell r="A1546">
            <v>253936</v>
          </cell>
          <cell r="B1546">
            <v>9253000</v>
          </cell>
        </row>
        <row r="1547">
          <cell r="A1547">
            <v>253937</v>
          </cell>
          <cell r="B1547">
            <v>9253000</v>
          </cell>
        </row>
        <row r="1548">
          <cell r="A1548">
            <v>253938</v>
          </cell>
          <cell r="B1548">
            <v>9253000</v>
          </cell>
        </row>
        <row r="1549">
          <cell r="A1549">
            <v>253940</v>
          </cell>
          <cell r="B1549">
            <v>9253000</v>
          </cell>
        </row>
        <row r="1550">
          <cell r="A1550">
            <v>253941</v>
          </cell>
          <cell r="B1550">
            <v>9253000</v>
          </cell>
        </row>
        <row r="1551">
          <cell r="A1551">
            <v>253944</v>
          </cell>
          <cell r="B1551">
            <v>9253000</v>
          </cell>
        </row>
        <row r="1552">
          <cell r="A1552">
            <v>253945</v>
          </cell>
          <cell r="B1552">
            <v>9253000</v>
          </cell>
        </row>
        <row r="1553">
          <cell r="A1553">
            <v>253950</v>
          </cell>
          <cell r="B1553">
            <v>9253000</v>
          </cell>
        </row>
        <row r="1554">
          <cell r="A1554">
            <v>253955</v>
          </cell>
          <cell r="B1554">
            <v>9253000</v>
          </cell>
        </row>
        <row r="1555">
          <cell r="A1555">
            <v>253960</v>
          </cell>
          <cell r="B1555">
            <v>9253000</v>
          </cell>
        </row>
        <row r="1556">
          <cell r="A1556">
            <v>253961</v>
          </cell>
          <cell r="B1556">
            <v>9253000</v>
          </cell>
        </row>
        <row r="1557">
          <cell r="A1557">
            <v>253990</v>
          </cell>
          <cell r="B1557">
            <v>9253000</v>
          </cell>
        </row>
        <row r="1558">
          <cell r="A1558">
            <v>254125</v>
          </cell>
          <cell r="B1558">
            <v>9254000</v>
          </cell>
        </row>
        <row r="1559">
          <cell r="A1559">
            <v>254250</v>
          </cell>
          <cell r="B1559">
            <v>9254000</v>
          </cell>
        </row>
        <row r="1560">
          <cell r="A1560">
            <v>254260</v>
          </cell>
          <cell r="B1560">
            <v>9254000</v>
          </cell>
        </row>
        <row r="1561">
          <cell r="A1561">
            <v>254300</v>
          </cell>
          <cell r="B1561">
            <v>9254000</v>
          </cell>
        </row>
        <row r="1562">
          <cell r="A1562">
            <v>254304</v>
          </cell>
          <cell r="B1562">
            <v>9254000</v>
          </cell>
        </row>
        <row r="1563">
          <cell r="A1563">
            <v>254305</v>
          </cell>
          <cell r="B1563">
            <v>9254000</v>
          </cell>
        </row>
        <row r="1564">
          <cell r="A1564">
            <v>254350</v>
          </cell>
          <cell r="B1564">
            <v>9254000</v>
          </cell>
        </row>
        <row r="1565">
          <cell r="A1565">
            <v>254367</v>
          </cell>
          <cell r="B1565">
            <v>9254000</v>
          </cell>
        </row>
        <row r="1566">
          <cell r="A1566">
            <v>254373</v>
          </cell>
          <cell r="B1566">
            <v>9254000</v>
          </cell>
        </row>
        <row r="1567">
          <cell r="A1567">
            <v>254382</v>
          </cell>
          <cell r="B1567">
            <v>9254000</v>
          </cell>
        </row>
        <row r="1568">
          <cell r="A1568">
            <v>254412</v>
          </cell>
          <cell r="B1568">
            <v>9254000</v>
          </cell>
        </row>
        <row r="1569">
          <cell r="A1569">
            <v>254413</v>
          </cell>
          <cell r="B1569">
            <v>9254000</v>
          </cell>
        </row>
        <row r="1570">
          <cell r="A1570">
            <v>254414</v>
          </cell>
          <cell r="B1570">
            <v>9254000</v>
          </cell>
        </row>
        <row r="1571">
          <cell r="A1571">
            <v>254417</v>
          </cell>
          <cell r="B1571">
            <v>9254000</v>
          </cell>
        </row>
        <row r="1572">
          <cell r="A1572">
            <v>254418</v>
          </cell>
          <cell r="B1572">
            <v>9254000</v>
          </cell>
        </row>
        <row r="1573">
          <cell r="A1573">
            <v>254421</v>
          </cell>
          <cell r="B1573">
            <v>9254000</v>
          </cell>
        </row>
        <row r="1574">
          <cell r="A1574">
            <v>254423</v>
          </cell>
          <cell r="B1574">
            <v>9254000</v>
          </cell>
        </row>
        <row r="1575">
          <cell r="A1575">
            <v>254425</v>
          </cell>
          <cell r="B1575">
            <v>9254000</v>
          </cell>
        </row>
        <row r="1576">
          <cell r="A1576">
            <v>254427</v>
          </cell>
          <cell r="B1576">
            <v>9254000</v>
          </cell>
        </row>
        <row r="1577">
          <cell r="A1577">
            <v>254431</v>
          </cell>
          <cell r="B1577">
            <v>9254000</v>
          </cell>
        </row>
        <row r="1578">
          <cell r="A1578">
            <v>254433</v>
          </cell>
          <cell r="B1578">
            <v>9254000</v>
          </cell>
        </row>
        <row r="1579">
          <cell r="A1579">
            <v>254434</v>
          </cell>
          <cell r="B1579">
            <v>9254000</v>
          </cell>
        </row>
        <row r="1580">
          <cell r="A1580">
            <v>254436</v>
          </cell>
          <cell r="B1580">
            <v>9254000</v>
          </cell>
        </row>
        <row r="1581">
          <cell r="A1581">
            <v>254439</v>
          </cell>
          <cell r="B1581">
            <v>9254000</v>
          </cell>
        </row>
        <row r="1582">
          <cell r="A1582">
            <v>254441</v>
          </cell>
          <cell r="B1582">
            <v>9254000</v>
          </cell>
        </row>
        <row r="1583">
          <cell r="A1583">
            <v>254443</v>
          </cell>
          <cell r="B1583">
            <v>9254000</v>
          </cell>
        </row>
        <row r="1584">
          <cell r="A1584">
            <v>254444</v>
          </cell>
          <cell r="B1584">
            <v>9254000</v>
          </cell>
        </row>
        <row r="1585">
          <cell r="A1585">
            <v>254445</v>
          </cell>
          <cell r="B1585">
            <v>9254000</v>
          </cell>
        </row>
        <row r="1586">
          <cell r="A1586">
            <v>254448</v>
          </cell>
          <cell r="B1586">
            <v>9254000</v>
          </cell>
        </row>
        <row r="1587">
          <cell r="A1587">
            <v>254449</v>
          </cell>
          <cell r="B1587">
            <v>9254000</v>
          </cell>
        </row>
        <row r="1588">
          <cell r="A1588">
            <v>254452</v>
          </cell>
          <cell r="B1588">
            <v>9254000</v>
          </cell>
        </row>
        <row r="1589">
          <cell r="A1589">
            <v>254453</v>
          </cell>
          <cell r="B1589">
            <v>9254000</v>
          </cell>
        </row>
        <row r="1590">
          <cell r="A1590">
            <v>254457</v>
          </cell>
          <cell r="B1590">
            <v>9254000</v>
          </cell>
        </row>
        <row r="1591">
          <cell r="A1591">
            <v>254459</v>
          </cell>
          <cell r="B1591">
            <v>9254000</v>
          </cell>
        </row>
        <row r="1592">
          <cell r="A1592">
            <v>254460</v>
          </cell>
          <cell r="B1592">
            <v>9254000</v>
          </cell>
        </row>
        <row r="1593">
          <cell r="A1593">
            <v>254463</v>
          </cell>
          <cell r="B1593">
            <v>9254000</v>
          </cell>
        </row>
        <row r="1594">
          <cell r="A1594">
            <v>254464</v>
          </cell>
          <cell r="B1594">
            <v>9254000</v>
          </cell>
        </row>
        <row r="1595">
          <cell r="A1595">
            <v>254465</v>
          </cell>
          <cell r="B1595">
            <v>9254000</v>
          </cell>
        </row>
        <row r="1596">
          <cell r="A1596">
            <v>254470</v>
          </cell>
          <cell r="B1596">
            <v>9254000</v>
          </cell>
        </row>
        <row r="1597">
          <cell r="A1597">
            <v>254471</v>
          </cell>
          <cell r="B1597">
            <v>9254000</v>
          </cell>
        </row>
        <row r="1598">
          <cell r="A1598">
            <v>254472</v>
          </cell>
          <cell r="B1598">
            <v>9254000</v>
          </cell>
        </row>
        <row r="1599">
          <cell r="A1599">
            <v>254473</v>
          </cell>
          <cell r="B1599">
            <v>9254000</v>
          </cell>
        </row>
        <row r="1600">
          <cell r="A1600">
            <v>254474</v>
          </cell>
          <cell r="B1600">
            <v>9254000</v>
          </cell>
        </row>
        <row r="1601">
          <cell r="A1601">
            <v>254475</v>
          </cell>
          <cell r="B1601">
            <v>9254000</v>
          </cell>
        </row>
        <row r="1602">
          <cell r="A1602">
            <v>254476</v>
          </cell>
          <cell r="B1602">
            <v>9254000</v>
          </cell>
        </row>
        <row r="1603">
          <cell r="A1603">
            <v>254477</v>
          </cell>
          <cell r="B1603">
            <v>9254000</v>
          </cell>
        </row>
        <row r="1604">
          <cell r="A1604">
            <v>254478</v>
          </cell>
          <cell r="B1604">
            <v>9254000</v>
          </cell>
        </row>
        <row r="1605">
          <cell r="A1605">
            <v>254481</v>
          </cell>
          <cell r="B1605">
            <v>9254000</v>
          </cell>
        </row>
        <row r="1606">
          <cell r="A1606">
            <v>254482</v>
          </cell>
          <cell r="B1606">
            <v>9254000</v>
          </cell>
        </row>
        <row r="1607">
          <cell r="A1607">
            <v>254484</v>
          </cell>
          <cell r="B1607">
            <v>9254000</v>
          </cell>
        </row>
        <row r="1608">
          <cell r="A1608">
            <v>254485</v>
          </cell>
          <cell r="B1608">
            <v>9254000</v>
          </cell>
        </row>
        <row r="1609">
          <cell r="A1609">
            <v>254490</v>
          </cell>
          <cell r="B1609">
            <v>9254000</v>
          </cell>
        </row>
        <row r="1610">
          <cell r="A1610">
            <v>254492</v>
          </cell>
          <cell r="B1610">
            <v>9254000</v>
          </cell>
        </row>
        <row r="1611">
          <cell r="A1611">
            <v>254493</v>
          </cell>
          <cell r="B1611">
            <v>9254000</v>
          </cell>
        </row>
        <row r="1612">
          <cell r="A1612">
            <v>254494</v>
          </cell>
          <cell r="B1612">
            <v>9254000</v>
          </cell>
        </row>
        <row r="1613">
          <cell r="A1613">
            <v>254561</v>
          </cell>
          <cell r="B1613">
            <v>9254000</v>
          </cell>
        </row>
        <row r="1614">
          <cell r="A1614">
            <v>254640</v>
          </cell>
          <cell r="B1614">
            <v>9254000</v>
          </cell>
        </row>
        <row r="1615">
          <cell r="A1615">
            <v>254641</v>
          </cell>
          <cell r="B1615">
            <v>9254000</v>
          </cell>
        </row>
        <row r="1616">
          <cell r="A1616">
            <v>254642</v>
          </cell>
          <cell r="B1616">
            <v>9254000</v>
          </cell>
        </row>
        <row r="1617">
          <cell r="A1617">
            <v>254650</v>
          </cell>
          <cell r="B1617">
            <v>9254000</v>
          </cell>
        </row>
        <row r="1618">
          <cell r="A1618">
            <v>254659</v>
          </cell>
          <cell r="B1618">
            <v>9254000</v>
          </cell>
        </row>
        <row r="1619">
          <cell r="A1619">
            <v>254660</v>
          </cell>
          <cell r="B1619">
            <v>9254000</v>
          </cell>
        </row>
        <row r="1620">
          <cell r="A1620">
            <v>254670</v>
          </cell>
          <cell r="B1620">
            <v>9254000</v>
          </cell>
        </row>
        <row r="1621">
          <cell r="A1621">
            <v>254671</v>
          </cell>
          <cell r="B1621">
            <v>9254000</v>
          </cell>
        </row>
        <row r="1622">
          <cell r="A1622">
            <v>254720</v>
          </cell>
          <cell r="B1622">
            <v>9254000</v>
          </cell>
        </row>
        <row r="1623">
          <cell r="A1623">
            <v>254900</v>
          </cell>
          <cell r="B1623">
            <v>9254000</v>
          </cell>
        </row>
        <row r="1624">
          <cell r="A1624">
            <v>254906</v>
          </cell>
          <cell r="B1624">
            <v>9254000</v>
          </cell>
        </row>
        <row r="1625">
          <cell r="A1625">
            <v>255100</v>
          </cell>
          <cell r="B1625">
            <v>9255000</v>
          </cell>
        </row>
        <row r="1626">
          <cell r="A1626">
            <v>255323</v>
          </cell>
          <cell r="B1626">
            <v>9255000</v>
          </cell>
        </row>
        <row r="1627">
          <cell r="A1627">
            <v>255500</v>
          </cell>
          <cell r="B1627">
            <v>9255000</v>
          </cell>
        </row>
        <row r="1628">
          <cell r="A1628">
            <v>282100</v>
          </cell>
          <cell r="B1628">
            <v>9282000</v>
          </cell>
        </row>
        <row r="1629">
          <cell r="A1629">
            <v>282291</v>
          </cell>
          <cell r="B1629">
            <v>9282000</v>
          </cell>
        </row>
        <row r="1630">
          <cell r="A1630">
            <v>282500</v>
          </cell>
          <cell r="B1630">
            <v>9282000</v>
          </cell>
        </row>
        <row r="1631">
          <cell r="A1631">
            <v>282503</v>
          </cell>
          <cell r="B1631">
            <v>9282000</v>
          </cell>
        </row>
        <row r="1632">
          <cell r="A1632">
            <v>282510</v>
          </cell>
          <cell r="B1632">
            <v>9282000</v>
          </cell>
        </row>
        <row r="1633">
          <cell r="A1633">
            <v>282515</v>
          </cell>
          <cell r="B1633">
            <v>9282000</v>
          </cell>
        </row>
        <row r="1634">
          <cell r="A1634">
            <v>282555</v>
          </cell>
          <cell r="B1634">
            <v>9282000</v>
          </cell>
        </row>
        <row r="1635">
          <cell r="A1635">
            <v>282565</v>
          </cell>
          <cell r="B1635">
            <v>9282000</v>
          </cell>
        </row>
        <row r="1636">
          <cell r="A1636">
            <v>282570</v>
          </cell>
          <cell r="B1636">
            <v>9282000</v>
          </cell>
        </row>
        <row r="1637">
          <cell r="A1637">
            <v>282648</v>
          </cell>
          <cell r="B1637">
            <v>9282000</v>
          </cell>
        </row>
        <row r="1638">
          <cell r="A1638">
            <v>282794</v>
          </cell>
          <cell r="B1638">
            <v>9282000</v>
          </cell>
        </row>
        <row r="1639">
          <cell r="A1639">
            <v>282795</v>
          </cell>
          <cell r="B1639">
            <v>9282000</v>
          </cell>
        </row>
        <row r="1640">
          <cell r="A1640">
            <v>283112</v>
          </cell>
          <cell r="B1640">
            <v>9283000</v>
          </cell>
        </row>
        <row r="1641">
          <cell r="A1641">
            <v>283116</v>
          </cell>
          <cell r="B1641">
            <v>9283000</v>
          </cell>
        </row>
        <row r="1642">
          <cell r="A1642">
            <v>283120</v>
          </cell>
          <cell r="B1642">
            <v>9283000</v>
          </cell>
        </row>
        <row r="1643">
          <cell r="A1643">
            <v>283122</v>
          </cell>
          <cell r="B1643">
            <v>9283000</v>
          </cell>
        </row>
        <row r="1644">
          <cell r="A1644">
            <v>283133</v>
          </cell>
          <cell r="B1644">
            <v>9283000</v>
          </cell>
        </row>
        <row r="1645">
          <cell r="A1645">
            <v>283142</v>
          </cell>
          <cell r="B1645">
            <v>9283000</v>
          </cell>
        </row>
        <row r="1646">
          <cell r="A1646">
            <v>283143</v>
          </cell>
          <cell r="B1646">
            <v>9283000</v>
          </cell>
        </row>
        <row r="1647">
          <cell r="A1647">
            <v>283145</v>
          </cell>
          <cell r="B1647">
            <v>9283000</v>
          </cell>
        </row>
        <row r="1648">
          <cell r="A1648">
            <v>283203</v>
          </cell>
          <cell r="B1648">
            <v>9283000</v>
          </cell>
        </row>
        <row r="1649">
          <cell r="A1649">
            <v>283209</v>
          </cell>
          <cell r="B1649">
            <v>9283000</v>
          </cell>
        </row>
        <row r="1650">
          <cell r="A1650">
            <v>283211</v>
          </cell>
          <cell r="B1650">
            <v>9283000</v>
          </cell>
        </row>
        <row r="1651">
          <cell r="A1651">
            <v>283212</v>
          </cell>
          <cell r="B1651">
            <v>9283000</v>
          </cell>
        </row>
        <row r="1652">
          <cell r="A1652">
            <v>283213</v>
          </cell>
          <cell r="B1652">
            <v>9283000</v>
          </cell>
        </row>
        <row r="1653">
          <cell r="A1653">
            <v>283214</v>
          </cell>
          <cell r="B1653">
            <v>9283000</v>
          </cell>
        </row>
        <row r="1654">
          <cell r="A1654">
            <v>283215</v>
          </cell>
          <cell r="B1654">
            <v>9283000</v>
          </cell>
        </row>
        <row r="1655">
          <cell r="A1655">
            <v>283221</v>
          </cell>
          <cell r="B1655">
            <v>9283000</v>
          </cell>
        </row>
        <row r="1656">
          <cell r="A1656">
            <v>283226</v>
          </cell>
          <cell r="B1656">
            <v>9283000</v>
          </cell>
        </row>
        <row r="1657">
          <cell r="A1657">
            <v>283227</v>
          </cell>
          <cell r="B1657">
            <v>9283000</v>
          </cell>
        </row>
        <row r="1658">
          <cell r="A1658">
            <v>283228</v>
          </cell>
          <cell r="B1658">
            <v>9283000</v>
          </cell>
        </row>
        <row r="1659">
          <cell r="A1659">
            <v>283229</v>
          </cell>
          <cell r="B1659">
            <v>9283000</v>
          </cell>
        </row>
        <row r="1660">
          <cell r="A1660">
            <v>283234</v>
          </cell>
          <cell r="B1660">
            <v>9283000</v>
          </cell>
        </row>
        <row r="1661">
          <cell r="A1661">
            <v>283235</v>
          </cell>
          <cell r="B1661">
            <v>9283000</v>
          </cell>
        </row>
        <row r="1662">
          <cell r="A1662">
            <v>283236</v>
          </cell>
          <cell r="B1662">
            <v>9283000</v>
          </cell>
        </row>
        <row r="1663">
          <cell r="A1663">
            <v>283238</v>
          </cell>
          <cell r="B1663">
            <v>9283000</v>
          </cell>
        </row>
        <row r="1664">
          <cell r="A1664">
            <v>283239</v>
          </cell>
          <cell r="B1664">
            <v>9283000</v>
          </cell>
        </row>
        <row r="1665">
          <cell r="A1665">
            <v>283242</v>
          </cell>
          <cell r="B1665">
            <v>9283000</v>
          </cell>
        </row>
        <row r="1666">
          <cell r="A1666">
            <v>283245</v>
          </cell>
          <cell r="B1666">
            <v>9283000</v>
          </cell>
        </row>
        <row r="1667">
          <cell r="A1667">
            <v>283246</v>
          </cell>
          <cell r="B1667">
            <v>9283000</v>
          </cell>
        </row>
        <row r="1668">
          <cell r="A1668">
            <v>283247</v>
          </cell>
          <cell r="B1668">
            <v>9283000</v>
          </cell>
        </row>
        <row r="1669">
          <cell r="A1669">
            <v>283257</v>
          </cell>
          <cell r="B1669">
            <v>9283000</v>
          </cell>
        </row>
        <row r="1670">
          <cell r="A1670">
            <v>283258</v>
          </cell>
          <cell r="B1670">
            <v>9283000</v>
          </cell>
        </row>
        <row r="1671">
          <cell r="A1671">
            <v>283259</v>
          </cell>
          <cell r="B1671">
            <v>9283000</v>
          </cell>
        </row>
        <row r="1672">
          <cell r="A1672">
            <v>283260</v>
          </cell>
          <cell r="B1672">
            <v>9283000</v>
          </cell>
        </row>
        <row r="1673">
          <cell r="A1673">
            <v>283261</v>
          </cell>
          <cell r="B1673">
            <v>9283000</v>
          </cell>
        </row>
        <row r="1674">
          <cell r="A1674">
            <v>283262</v>
          </cell>
          <cell r="B1674">
            <v>9283000</v>
          </cell>
        </row>
        <row r="1675">
          <cell r="A1675">
            <v>283273</v>
          </cell>
          <cell r="B1675">
            <v>9283000</v>
          </cell>
        </row>
        <row r="1676">
          <cell r="A1676">
            <v>283273</v>
          </cell>
          <cell r="B1676">
            <v>9283000</v>
          </cell>
        </row>
        <row r="1677">
          <cell r="A1677">
            <v>283275</v>
          </cell>
          <cell r="B1677">
            <v>9283000</v>
          </cell>
        </row>
        <row r="1678">
          <cell r="A1678">
            <v>283283</v>
          </cell>
          <cell r="B1678">
            <v>9283000</v>
          </cell>
        </row>
        <row r="1679">
          <cell r="A1679">
            <v>283287</v>
          </cell>
          <cell r="B1679">
            <v>9283000</v>
          </cell>
        </row>
        <row r="1680">
          <cell r="A1680">
            <v>283288</v>
          </cell>
          <cell r="B1680">
            <v>9283000</v>
          </cell>
        </row>
        <row r="1681">
          <cell r="A1681">
            <v>283289</v>
          </cell>
          <cell r="B1681">
            <v>9283000</v>
          </cell>
        </row>
        <row r="1682">
          <cell r="A1682">
            <v>283295</v>
          </cell>
          <cell r="B1682">
            <v>9283000</v>
          </cell>
        </row>
        <row r="1683">
          <cell r="A1683">
            <v>283300</v>
          </cell>
          <cell r="B1683">
            <v>9283000</v>
          </cell>
        </row>
        <row r="1684">
          <cell r="A1684">
            <v>283301</v>
          </cell>
          <cell r="B1684">
            <v>9283000</v>
          </cell>
        </row>
        <row r="1685">
          <cell r="A1685">
            <v>283304</v>
          </cell>
          <cell r="B1685">
            <v>9283000</v>
          </cell>
        </row>
        <row r="1686">
          <cell r="A1686">
            <v>283305</v>
          </cell>
          <cell r="B1686">
            <v>9283000</v>
          </cell>
        </row>
        <row r="1687">
          <cell r="A1687">
            <v>283318</v>
          </cell>
          <cell r="B1687">
            <v>9283000</v>
          </cell>
        </row>
        <row r="1688">
          <cell r="A1688">
            <v>283324</v>
          </cell>
          <cell r="B1688">
            <v>9283000</v>
          </cell>
        </row>
        <row r="1689">
          <cell r="A1689">
            <v>283325</v>
          </cell>
          <cell r="B1689">
            <v>9283000</v>
          </cell>
        </row>
        <row r="1690">
          <cell r="A1690">
            <v>283326</v>
          </cell>
          <cell r="B1690">
            <v>9283000</v>
          </cell>
        </row>
        <row r="1691">
          <cell r="A1691">
            <v>283327</v>
          </cell>
          <cell r="B1691">
            <v>9283000</v>
          </cell>
        </row>
        <row r="1692">
          <cell r="A1692">
            <v>283340</v>
          </cell>
          <cell r="B1692">
            <v>9283000</v>
          </cell>
        </row>
        <row r="1693">
          <cell r="A1693">
            <v>283362</v>
          </cell>
          <cell r="B1693">
            <v>9283000</v>
          </cell>
        </row>
        <row r="1694">
          <cell r="A1694">
            <v>283367</v>
          </cell>
          <cell r="B1694">
            <v>9283000</v>
          </cell>
        </row>
        <row r="1695">
          <cell r="A1695">
            <v>283376</v>
          </cell>
          <cell r="B1695">
            <v>9283000</v>
          </cell>
        </row>
        <row r="1696">
          <cell r="A1696">
            <v>283384</v>
          </cell>
          <cell r="B1696">
            <v>9283000</v>
          </cell>
        </row>
        <row r="1697">
          <cell r="A1697">
            <v>283385</v>
          </cell>
          <cell r="B1697">
            <v>9283000</v>
          </cell>
        </row>
        <row r="1698">
          <cell r="A1698">
            <v>283386</v>
          </cell>
          <cell r="B1698">
            <v>9283000</v>
          </cell>
        </row>
        <row r="1699">
          <cell r="A1699">
            <v>283389</v>
          </cell>
          <cell r="B1699">
            <v>9283000</v>
          </cell>
        </row>
        <row r="1700">
          <cell r="A1700">
            <v>283390</v>
          </cell>
          <cell r="B1700">
            <v>9283000</v>
          </cell>
        </row>
        <row r="1701">
          <cell r="A1701">
            <v>283393</v>
          </cell>
          <cell r="B1701">
            <v>9283000</v>
          </cell>
        </row>
        <row r="1702">
          <cell r="A1702">
            <v>283395</v>
          </cell>
          <cell r="B1702">
            <v>9283000</v>
          </cell>
        </row>
        <row r="1703">
          <cell r="A1703">
            <v>283398</v>
          </cell>
          <cell r="B1703">
            <v>9283000</v>
          </cell>
        </row>
        <row r="1704">
          <cell r="A1704">
            <v>283402</v>
          </cell>
          <cell r="B1704">
            <v>9283000</v>
          </cell>
        </row>
        <row r="1705">
          <cell r="A1705">
            <v>283405</v>
          </cell>
          <cell r="B1705">
            <v>9283000</v>
          </cell>
        </row>
        <row r="1706">
          <cell r="A1706">
            <v>283412</v>
          </cell>
          <cell r="B1706">
            <v>9283000</v>
          </cell>
        </row>
        <row r="1707">
          <cell r="A1707">
            <v>283417</v>
          </cell>
          <cell r="B1707">
            <v>9283000</v>
          </cell>
        </row>
        <row r="1708">
          <cell r="A1708">
            <v>283419</v>
          </cell>
          <cell r="B1708">
            <v>9283000</v>
          </cell>
        </row>
        <row r="1709">
          <cell r="A1709">
            <v>283420</v>
          </cell>
          <cell r="B1709">
            <v>9283000</v>
          </cell>
        </row>
        <row r="1710">
          <cell r="A1710">
            <v>283421</v>
          </cell>
          <cell r="B1710">
            <v>9283000</v>
          </cell>
        </row>
        <row r="1711">
          <cell r="A1711">
            <v>283423</v>
          </cell>
          <cell r="B1711">
            <v>9283000</v>
          </cell>
        </row>
        <row r="1712">
          <cell r="A1712">
            <v>283424</v>
          </cell>
          <cell r="B1712">
            <v>9283000</v>
          </cell>
        </row>
        <row r="1713">
          <cell r="A1713">
            <v>283427</v>
          </cell>
          <cell r="B1713">
            <v>9283000</v>
          </cell>
        </row>
        <row r="1714">
          <cell r="A1714">
            <v>283431</v>
          </cell>
          <cell r="B1714">
            <v>9283000</v>
          </cell>
        </row>
        <row r="1715">
          <cell r="A1715">
            <v>283433</v>
          </cell>
          <cell r="B1715">
            <v>9283000</v>
          </cell>
        </row>
        <row r="1716">
          <cell r="A1716">
            <v>283434</v>
          </cell>
          <cell r="B1716">
            <v>9283000</v>
          </cell>
        </row>
        <row r="1717">
          <cell r="A1717">
            <v>283435</v>
          </cell>
          <cell r="B1717">
            <v>9283000</v>
          </cell>
        </row>
        <row r="1718">
          <cell r="A1718">
            <v>283436</v>
          </cell>
          <cell r="B1718">
            <v>9283000</v>
          </cell>
        </row>
        <row r="1719">
          <cell r="A1719">
            <v>283443</v>
          </cell>
          <cell r="B1719">
            <v>9283000</v>
          </cell>
        </row>
        <row r="1720">
          <cell r="A1720">
            <v>283448</v>
          </cell>
          <cell r="B1720">
            <v>9283000</v>
          </cell>
        </row>
        <row r="1721">
          <cell r="A1721">
            <v>283453</v>
          </cell>
          <cell r="B1721">
            <v>9283000</v>
          </cell>
        </row>
        <row r="1722">
          <cell r="A1722">
            <v>283461</v>
          </cell>
          <cell r="B1722">
            <v>9283000</v>
          </cell>
        </row>
        <row r="1723">
          <cell r="A1723">
            <v>283462</v>
          </cell>
          <cell r="B1723">
            <v>9283000</v>
          </cell>
        </row>
        <row r="1724">
          <cell r="A1724">
            <v>283463</v>
          </cell>
          <cell r="B1724">
            <v>9283000</v>
          </cell>
        </row>
        <row r="1725">
          <cell r="A1725">
            <v>283464</v>
          </cell>
          <cell r="B1725">
            <v>9283000</v>
          </cell>
        </row>
        <row r="1726">
          <cell r="A1726">
            <v>283465</v>
          </cell>
          <cell r="B1726">
            <v>9283000</v>
          </cell>
        </row>
        <row r="1727">
          <cell r="A1727">
            <v>283466</v>
          </cell>
          <cell r="B1727">
            <v>9283000</v>
          </cell>
        </row>
        <row r="1728">
          <cell r="A1728">
            <v>283467</v>
          </cell>
          <cell r="B1728">
            <v>9283000</v>
          </cell>
        </row>
        <row r="1729">
          <cell r="A1729">
            <v>283468</v>
          </cell>
          <cell r="B1729">
            <v>9283000</v>
          </cell>
        </row>
        <row r="1730">
          <cell r="A1730">
            <v>283469</v>
          </cell>
          <cell r="B1730">
            <v>9283000</v>
          </cell>
        </row>
        <row r="1731">
          <cell r="A1731">
            <v>283470</v>
          </cell>
          <cell r="B1731">
            <v>9283000</v>
          </cell>
        </row>
        <row r="1732">
          <cell r="A1732">
            <v>283471</v>
          </cell>
          <cell r="B1732">
            <v>9283000</v>
          </cell>
        </row>
        <row r="1733">
          <cell r="A1733">
            <v>283472</v>
          </cell>
          <cell r="B1733">
            <v>9283000</v>
          </cell>
        </row>
        <row r="1734">
          <cell r="A1734">
            <v>283473</v>
          </cell>
          <cell r="B1734">
            <v>9283000</v>
          </cell>
        </row>
        <row r="1735">
          <cell r="A1735">
            <v>283474</v>
          </cell>
          <cell r="B1735">
            <v>9283000</v>
          </cell>
        </row>
        <row r="1736">
          <cell r="A1736">
            <v>283475</v>
          </cell>
          <cell r="B1736">
            <v>9283000</v>
          </cell>
        </row>
        <row r="1737">
          <cell r="A1737">
            <v>283476</v>
          </cell>
          <cell r="B1737">
            <v>9283000</v>
          </cell>
        </row>
        <row r="1738">
          <cell r="A1738">
            <v>283477</v>
          </cell>
          <cell r="B1738">
            <v>9283000</v>
          </cell>
        </row>
        <row r="1739">
          <cell r="A1739">
            <v>283478</v>
          </cell>
          <cell r="B1739">
            <v>9283000</v>
          </cell>
        </row>
        <row r="1740">
          <cell r="A1740">
            <v>283479</v>
          </cell>
          <cell r="B1740">
            <v>9283000</v>
          </cell>
        </row>
        <row r="1741">
          <cell r="A1741">
            <v>283481</v>
          </cell>
          <cell r="B1741">
            <v>9283000</v>
          </cell>
        </row>
        <row r="1742">
          <cell r="A1742">
            <v>283482</v>
          </cell>
          <cell r="B1742">
            <v>9283000</v>
          </cell>
        </row>
        <row r="1743">
          <cell r="A1743">
            <v>283484</v>
          </cell>
          <cell r="B1743">
            <v>9283000</v>
          </cell>
        </row>
        <row r="1744">
          <cell r="A1744">
            <v>283488</v>
          </cell>
          <cell r="B1744">
            <v>9283000</v>
          </cell>
        </row>
        <row r="1745">
          <cell r="A1745">
            <v>283489</v>
          </cell>
          <cell r="B1745">
            <v>9283000</v>
          </cell>
        </row>
        <row r="1746">
          <cell r="A1746">
            <v>283495</v>
          </cell>
          <cell r="B1746">
            <v>9283000</v>
          </cell>
        </row>
        <row r="1747">
          <cell r="A1747">
            <v>283496</v>
          </cell>
          <cell r="B1747">
            <v>9283000</v>
          </cell>
        </row>
        <row r="1748">
          <cell r="A1748">
            <v>283500</v>
          </cell>
          <cell r="B1748">
            <v>9283000</v>
          </cell>
        </row>
        <row r="1749">
          <cell r="A1749">
            <v>283525</v>
          </cell>
          <cell r="B1749">
            <v>9283000</v>
          </cell>
        </row>
        <row r="1750">
          <cell r="A1750">
            <v>283553</v>
          </cell>
          <cell r="B1750">
            <v>9283000</v>
          </cell>
        </row>
        <row r="1751">
          <cell r="A1751">
            <v>283557</v>
          </cell>
          <cell r="B1751">
            <v>9283000</v>
          </cell>
        </row>
        <row r="1752">
          <cell r="A1752">
            <v>283561</v>
          </cell>
          <cell r="B1752">
            <v>9283000</v>
          </cell>
        </row>
        <row r="1753">
          <cell r="A1753">
            <v>283640</v>
          </cell>
          <cell r="B1753">
            <v>9283000</v>
          </cell>
        </row>
        <row r="1754">
          <cell r="A1754">
            <v>283700</v>
          </cell>
          <cell r="B1754">
            <v>9283000</v>
          </cell>
        </row>
        <row r="1755">
          <cell r="A1755">
            <v>283731</v>
          </cell>
          <cell r="B1755">
            <v>9283000</v>
          </cell>
        </row>
        <row r="1756">
          <cell r="A1756">
            <v>283820</v>
          </cell>
          <cell r="B1756">
            <v>9283000</v>
          </cell>
        </row>
        <row r="1757">
          <cell r="A1757">
            <v>283830</v>
          </cell>
          <cell r="B1757">
            <v>9283000</v>
          </cell>
        </row>
        <row r="1758">
          <cell r="A1758">
            <v>283831</v>
          </cell>
          <cell r="B1758">
            <v>9283000</v>
          </cell>
        </row>
        <row r="1759">
          <cell r="A1759">
            <v>283832</v>
          </cell>
          <cell r="B1759">
            <v>9283000</v>
          </cell>
        </row>
        <row r="1760">
          <cell r="A1760">
            <v>283833</v>
          </cell>
          <cell r="B1760">
            <v>9283000</v>
          </cell>
        </row>
        <row r="1761">
          <cell r="A1761">
            <v>283834</v>
          </cell>
          <cell r="B1761">
            <v>9283000</v>
          </cell>
        </row>
        <row r="1762">
          <cell r="A1762">
            <v>283835</v>
          </cell>
          <cell r="B1762">
            <v>9283000</v>
          </cell>
        </row>
        <row r="1763">
          <cell r="A1763">
            <v>283837</v>
          </cell>
          <cell r="B1763">
            <v>9283000</v>
          </cell>
        </row>
        <row r="1764">
          <cell r="A1764">
            <v>283838</v>
          </cell>
          <cell r="B1764">
            <v>9283000</v>
          </cell>
        </row>
        <row r="1765">
          <cell r="A1765">
            <v>283839</v>
          </cell>
          <cell r="B1765">
            <v>9283000</v>
          </cell>
        </row>
        <row r="1766">
          <cell r="A1766">
            <v>283840</v>
          </cell>
          <cell r="B1766">
            <v>9283000</v>
          </cell>
        </row>
        <row r="1767">
          <cell r="A1767">
            <v>283841</v>
          </cell>
          <cell r="B1767">
            <v>9283000</v>
          </cell>
        </row>
        <row r="1768">
          <cell r="A1768">
            <v>283842</v>
          </cell>
          <cell r="B1768">
            <v>9283000</v>
          </cell>
        </row>
        <row r="1769">
          <cell r="A1769">
            <v>283843</v>
          </cell>
          <cell r="B1769">
            <v>9283000</v>
          </cell>
        </row>
        <row r="1770">
          <cell r="A1770">
            <v>283844</v>
          </cell>
          <cell r="B1770">
            <v>9283000</v>
          </cell>
        </row>
        <row r="1771">
          <cell r="A1771">
            <v>283845</v>
          </cell>
          <cell r="B1771">
            <v>9283000</v>
          </cell>
        </row>
        <row r="1772">
          <cell r="A1772">
            <v>283846</v>
          </cell>
          <cell r="B1772">
            <v>9283000</v>
          </cell>
        </row>
        <row r="1773">
          <cell r="A1773">
            <v>283848</v>
          </cell>
          <cell r="B1773">
            <v>9283000</v>
          </cell>
        </row>
        <row r="1774">
          <cell r="A1774">
            <v>283849</v>
          </cell>
          <cell r="B1774">
            <v>9283000</v>
          </cell>
        </row>
        <row r="1775">
          <cell r="A1775">
            <v>283850</v>
          </cell>
          <cell r="B1775">
            <v>9283000</v>
          </cell>
        </row>
        <row r="1776">
          <cell r="A1776">
            <v>283851</v>
          </cell>
          <cell r="B1776">
            <v>9283000</v>
          </cell>
        </row>
        <row r="1777">
          <cell r="A1777">
            <v>283852</v>
          </cell>
          <cell r="B1777">
            <v>9283000</v>
          </cell>
        </row>
        <row r="1778">
          <cell r="A1778">
            <v>283853</v>
          </cell>
          <cell r="B1778">
            <v>9283000</v>
          </cell>
        </row>
        <row r="1779">
          <cell r="A1779">
            <v>283854</v>
          </cell>
          <cell r="B1779">
            <v>9283000</v>
          </cell>
        </row>
        <row r="1780">
          <cell r="A1780">
            <v>283856</v>
          </cell>
          <cell r="B1780">
            <v>9283000</v>
          </cell>
        </row>
        <row r="1781">
          <cell r="A1781">
            <v>283857</v>
          </cell>
          <cell r="B1781">
            <v>9283000</v>
          </cell>
        </row>
        <row r="1782">
          <cell r="A1782">
            <v>283858</v>
          </cell>
          <cell r="B1782">
            <v>9283000</v>
          </cell>
        </row>
        <row r="1783">
          <cell r="A1783">
            <v>283859</v>
          </cell>
          <cell r="B1783">
            <v>9283000</v>
          </cell>
        </row>
        <row r="1784">
          <cell r="A1784">
            <v>283860</v>
          </cell>
          <cell r="B1784">
            <v>9283000</v>
          </cell>
        </row>
        <row r="1785">
          <cell r="A1785">
            <v>283861</v>
          </cell>
          <cell r="B1785">
            <v>9283000</v>
          </cell>
        </row>
        <row r="1786">
          <cell r="A1786">
            <v>283862</v>
          </cell>
          <cell r="B1786">
            <v>9283000</v>
          </cell>
        </row>
        <row r="1787">
          <cell r="A1787">
            <v>283863</v>
          </cell>
          <cell r="B1787">
            <v>9283000</v>
          </cell>
        </row>
        <row r="1788">
          <cell r="A1788">
            <v>283864</v>
          </cell>
          <cell r="B1788">
            <v>9283000</v>
          </cell>
        </row>
        <row r="1789">
          <cell r="A1789">
            <v>283865</v>
          </cell>
          <cell r="B1789">
            <v>9283000</v>
          </cell>
        </row>
        <row r="1790">
          <cell r="A1790">
            <v>283866</v>
          </cell>
          <cell r="B1790">
            <v>9283000</v>
          </cell>
        </row>
        <row r="1791">
          <cell r="A1791">
            <v>283868</v>
          </cell>
          <cell r="B1791">
            <v>9283000</v>
          </cell>
        </row>
        <row r="1792">
          <cell r="A1792">
            <v>283869</v>
          </cell>
          <cell r="B1792">
            <v>9283000</v>
          </cell>
        </row>
        <row r="1793">
          <cell r="A1793">
            <v>283870</v>
          </cell>
          <cell r="B1793">
            <v>9283000</v>
          </cell>
        </row>
        <row r="1794">
          <cell r="A1794">
            <v>283871</v>
          </cell>
          <cell r="B1794">
            <v>9283000</v>
          </cell>
        </row>
        <row r="1795">
          <cell r="A1795">
            <v>283872</v>
          </cell>
          <cell r="B1795">
            <v>9283000</v>
          </cell>
        </row>
        <row r="1796">
          <cell r="A1796">
            <v>283874</v>
          </cell>
          <cell r="B1796">
            <v>9283000</v>
          </cell>
        </row>
        <row r="1797">
          <cell r="A1797">
            <v>283876</v>
          </cell>
          <cell r="B1797">
            <v>9283000</v>
          </cell>
        </row>
        <row r="1798">
          <cell r="A1798">
            <v>283879</v>
          </cell>
          <cell r="B1798">
            <v>9283000</v>
          </cell>
        </row>
        <row r="1799">
          <cell r="A1799">
            <v>283881</v>
          </cell>
          <cell r="B1799">
            <v>9283000</v>
          </cell>
        </row>
        <row r="1800">
          <cell r="A1800">
            <v>283882</v>
          </cell>
          <cell r="B1800">
            <v>9283000</v>
          </cell>
        </row>
        <row r="1801">
          <cell r="A1801">
            <v>283883</v>
          </cell>
          <cell r="B1801">
            <v>9283000</v>
          </cell>
        </row>
        <row r="1802">
          <cell r="A1802">
            <v>283884</v>
          </cell>
          <cell r="B1802">
            <v>9283000</v>
          </cell>
        </row>
        <row r="1803">
          <cell r="A1803">
            <v>283885</v>
          </cell>
          <cell r="B1803">
            <v>9283000</v>
          </cell>
        </row>
        <row r="1804">
          <cell r="A1804">
            <v>283960</v>
          </cell>
          <cell r="B1804">
            <v>9283000</v>
          </cell>
        </row>
        <row r="1805">
          <cell r="A1805">
            <v>283970</v>
          </cell>
          <cell r="B1805">
            <v>9283000</v>
          </cell>
        </row>
        <row r="1806">
          <cell r="A1806">
            <v>403100</v>
          </cell>
          <cell r="B1806">
            <v>9403000</v>
          </cell>
        </row>
        <row r="1807">
          <cell r="A1807">
            <v>403101</v>
          </cell>
          <cell r="B1807">
            <v>9403000</v>
          </cell>
        </row>
        <row r="1808">
          <cell r="A1808">
            <v>403105</v>
          </cell>
          <cell r="B1808">
            <v>9403000</v>
          </cell>
        </row>
        <row r="1809">
          <cell r="A1809">
            <v>403115</v>
          </cell>
          <cell r="B1809">
            <v>9403100</v>
          </cell>
        </row>
        <row r="1810">
          <cell r="A1810">
            <v>403200</v>
          </cell>
          <cell r="B1810">
            <v>9403000</v>
          </cell>
        </row>
        <row r="1811">
          <cell r="A1811">
            <v>403201</v>
          </cell>
          <cell r="B1811">
            <v>9403000</v>
          </cell>
        </row>
        <row r="1812">
          <cell r="A1812">
            <v>403202</v>
          </cell>
          <cell r="B1812">
            <v>9403000</v>
          </cell>
        </row>
        <row r="1813">
          <cell r="A1813">
            <v>403203</v>
          </cell>
          <cell r="B1813">
            <v>9403000</v>
          </cell>
        </row>
        <row r="1814">
          <cell r="A1814">
            <v>403260</v>
          </cell>
          <cell r="B1814">
            <v>9403000</v>
          </cell>
        </row>
        <row r="1815">
          <cell r="A1815">
            <v>404101</v>
          </cell>
          <cell r="B1815">
            <v>9404000</v>
          </cell>
        </row>
        <row r="1816">
          <cell r="A1816">
            <v>404105</v>
          </cell>
          <cell r="B1816">
            <v>9404000</v>
          </cell>
        </row>
        <row r="1817">
          <cell r="A1817">
            <v>404107</v>
          </cell>
          <cell r="B1817">
            <v>9404000</v>
          </cell>
        </row>
        <row r="1818">
          <cell r="A1818">
            <v>404210</v>
          </cell>
          <cell r="B1818">
            <v>9404000</v>
          </cell>
        </row>
        <row r="1819">
          <cell r="A1819">
            <v>404220</v>
          </cell>
          <cell r="B1819">
            <v>9404000</v>
          </cell>
        </row>
        <row r="1820">
          <cell r="A1820">
            <v>404260</v>
          </cell>
          <cell r="B1820">
            <v>9404000</v>
          </cell>
        </row>
        <row r="1821">
          <cell r="A1821">
            <v>404315</v>
          </cell>
          <cell r="B1821">
            <v>9404000</v>
          </cell>
        </row>
        <row r="1822">
          <cell r="A1822">
            <v>404640</v>
          </cell>
          <cell r="B1822">
            <v>9404000</v>
          </cell>
        </row>
        <row r="1823">
          <cell r="A1823">
            <v>405100</v>
          </cell>
          <cell r="B1823">
            <v>9405000</v>
          </cell>
        </row>
        <row r="1824">
          <cell r="A1824">
            <v>405104</v>
          </cell>
          <cell r="B1824">
            <v>9405000</v>
          </cell>
        </row>
        <row r="1825">
          <cell r="A1825">
            <v>405109</v>
          </cell>
          <cell r="B1825">
            <v>9405000</v>
          </cell>
        </row>
        <row r="1826">
          <cell r="A1826">
            <v>406100</v>
          </cell>
          <cell r="B1826">
            <v>9406000</v>
          </cell>
        </row>
        <row r="1827">
          <cell r="A1827">
            <v>407011</v>
          </cell>
          <cell r="B1827">
            <v>9407000</v>
          </cell>
        </row>
        <row r="1828">
          <cell r="A1828">
            <v>407250</v>
          </cell>
          <cell r="B1828">
            <v>9407300</v>
          </cell>
        </row>
        <row r="1829">
          <cell r="A1829">
            <v>407301</v>
          </cell>
          <cell r="B1829">
            <v>9407300</v>
          </cell>
        </row>
        <row r="1830">
          <cell r="A1830">
            <v>407302</v>
          </cell>
          <cell r="B1830">
            <v>9407300</v>
          </cell>
        </row>
        <row r="1831">
          <cell r="A1831">
            <v>407305</v>
          </cell>
          <cell r="B1831">
            <v>9407300</v>
          </cell>
        </row>
        <row r="1832">
          <cell r="A1832">
            <v>407310</v>
          </cell>
          <cell r="B1832">
            <v>9407300</v>
          </cell>
        </row>
        <row r="1833">
          <cell r="A1833">
            <v>407340</v>
          </cell>
          <cell r="B1833">
            <v>9407300</v>
          </cell>
        </row>
        <row r="1834">
          <cell r="A1834">
            <v>407361</v>
          </cell>
          <cell r="B1834">
            <v>9407300</v>
          </cell>
        </row>
        <row r="1835">
          <cell r="A1835">
            <v>407367</v>
          </cell>
          <cell r="B1835">
            <v>9407300</v>
          </cell>
        </row>
        <row r="1836">
          <cell r="A1836">
            <v>407373</v>
          </cell>
          <cell r="B1836">
            <v>9407300</v>
          </cell>
        </row>
        <row r="1837">
          <cell r="A1837">
            <v>407381</v>
          </cell>
          <cell r="B1837">
            <v>9407300</v>
          </cell>
        </row>
        <row r="1838">
          <cell r="A1838">
            <v>407383</v>
          </cell>
          <cell r="B1838">
            <v>9407300</v>
          </cell>
        </row>
        <row r="1839">
          <cell r="A1839">
            <v>407384</v>
          </cell>
          <cell r="B1839">
            <v>9407300</v>
          </cell>
        </row>
        <row r="1840">
          <cell r="A1840">
            <v>407412</v>
          </cell>
          <cell r="B1840">
            <v>9407300</v>
          </cell>
        </row>
        <row r="1841">
          <cell r="A1841">
            <v>407413</v>
          </cell>
          <cell r="B1841">
            <v>9407300</v>
          </cell>
        </row>
        <row r="1842">
          <cell r="A1842">
            <v>407414</v>
          </cell>
          <cell r="B1842">
            <v>9407300</v>
          </cell>
        </row>
        <row r="1843">
          <cell r="A1843">
            <v>407415</v>
          </cell>
          <cell r="B1843">
            <v>9407300</v>
          </cell>
        </row>
        <row r="1844">
          <cell r="A1844">
            <v>407417</v>
          </cell>
          <cell r="B1844">
            <v>9407300</v>
          </cell>
        </row>
        <row r="1845">
          <cell r="A1845">
            <v>407418</v>
          </cell>
          <cell r="B1845">
            <v>9407300</v>
          </cell>
        </row>
        <row r="1846">
          <cell r="A1846">
            <v>407419</v>
          </cell>
          <cell r="B1846">
            <v>9407300</v>
          </cell>
        </row>
        <row r="1847">
          <cell r="A1847">
            <v>407420</v>
          </cell>
          <cell r="B1847">
            <v>9407300</v>
          </cell>
        </row>
        <row r="1848">
          <cell r="A1848">
            <v>407421</v>
          </cell>
          <cell r="B1848">
            <v>9407300</v>
          </cell>
        </row>
        <row r="1849">
          <cell r="A1849">
            <v>407423</v>
          </cell>
          <cell r="B1849">
            <v>9407300</v>
          </cell>
        </row>
        <row r="1850">
          <cell r="A1850">
            <v>407425</v>
          </cell>
          <cell r="B1850">
            <v>9407300</v>
          </cell>
        </row>
        <row r="1851">
          <cell r="A1851">
            <v>407427</v>
          </cell>
          <cell r="B1851">
            <v>9407300</v>
          </cell>
        </row>
        <row r="1852">
          <cell r="A1852">
            <v>407431</v>
          </cell>
          <cell r="B1852">
            <v>9407300</v>
          </cell>
        </row>
        <row r="1853">
          <cell r="A1853">
            <v>407432</v>
          </cell>
          <cell r="B1853">
            <v>9407300</v>
          </cell>
        </row>
        <row r="1854">
          <cell r="A1854">
            <v>407433</v>
          </cell>
          <cell r="B1854">
            <v>9407300</v>
          </cell>
        </row>
        <row r="1855">
          <cell r="A1855">
            <v>407434</v>
          </cell>
          <cell r="B1855">
            <v>9407300</v>
          </cell>
        </row>
        <row r="1856">
          <cell r="A1856">
            <v>407436</v>
          </cell>
          <cell r="B1856">
            <v>9407300</v>
          </cell>
        </row>
        <row r="1857">
          <cell r="A1857">
            <v>407438</v>
          </cell>
          <cell r="B1857">
            <v>9407300</v>
          </cell>
        </row>
        <row r="1858">
          <cell r="A1858">
            <v>407441</v>
          </cell>
          <cell r="B1858">
            <v>9407300</v>
          </cell>
        </row>
        <row r="1859">
          <cell r="A1859">
            <v>407444</v>
          </cell>
          <cell r="B1859">
            <v>9407300</v>
          </cell>
        </row>
        <row r="1860">
          <cell r="A1860">
            <v>407447</v>
          </cell>
          <cell r="B1860">
            <v>9407300</v>
          </cell>
        </row>
        <row r="1861">
          <cell r="A1861">
            <v>407448</v>
          </cell>
          <cell r="B1861">
            <v>9407300</v>
          </cell>
        </row>
        <row r="1862">
          <cell r="A1862">
            <v>407449</v>
          </cell>
          <cell r="B1862">
            <v>9407300</v>
          </cell>
        </row>
        <row r="1863">
          <cell r="A1863">
            <v>407450</v>
          </cell>
          <cell r="B1863">
            <v>9407400</v>
          </cell>
        </row>
        <row r="1864">
          <cell r="A1864">
            <v>407451</v>
          </cell>
          <cell r="B1864">
            <v>9407300</v>
          </cell>
        </row>
        <row r="1865">
          <cell r="A1865">
            <v>407453</v>
          </cell>
          <cell r="B1865">
            <v>9407300</v>
          </cell>
        </row>
        <row r="1866">
          <cell r="A1866">
            <v>407457</v>
          </cell>
          <cell r="B1866">
            <v>9407300</v>
          </cell>
        </row>
        <row r="1867">
          <cell r="A1867">
            <v>407460</v>
          </cell>
          <cell r="B1867">
            <v>9407300</v>
          </cell>
        </row>
        <row r="1868">
          <cell r="A1868">
            <v>407462</v>
          </cell>
          <cell r="B1868">
            <v>9407300</v>
          </cell>
        </row>
        <row r="1869">
          <cell r="A1869">
            <v>407463</v>
          </cell>
          <cell r="B1869">
            <v>9407300</v>
          </cell>
        </row>
        <row r="1870">
          <cell r="A1870">
            <v>407465</v>
          </cell>
          <cell r="B1870">
            <v>9407300</v>
          </cell>
        </row>
        <row r="1871">
          <cell r="A1871">
            <v>407470</v>
          </cell>
          <cell r="B1871">
            <v>9407300</v>
          </cell>
        </row>
        <row r="1872">
          <cell r="A1872">
            <v>407471</v>
          </cell>
          <cell r="B1872">
            <v>9407300</v>
          </cell>
        </row>
        <row r="1873">
          <cell r="A1873">
            <v>407472</v>
          </cell>
          <cell r="B1873">
            <v>9407300</v>
          </cell>
        </row>
        <row r="1874">
          <cell r="A1874">
            <v>407473</v>
          </cell>
          <cell r="B1874">
            <v>9407300</v>
          </cell>
        </row>
        <row r="1875">
          <cell r="A1875">
            <v>407474</v>
          </cell>
          <cell r="B1875">
            <v>9407300</v>
          </cell>
        </row>
        <row r="1876">
          <cell r="A1876">
            <v>407475</v>
          </cell>
          <cell r="B1876">
            <v>9407300</v>
          </cell>
        </row>
        <row r="1877">
          <cell r="A1877">
            <v>407476</v>
          </cell>
          <cell r="B1877">
            <v>9407300</v>
          </cell>
        </row>
        <row r="1878">
          <cell r="A1878">
            <v>407477</v>
          </cell>
          <cell r="B1878">
            <v>9407300</v>
          </cell>
        </row>
        <row r="1879">
          <cell r="A1879">
            <v>407478</v>
          </cell>
          <cell r="B1879">
            <v>9407300</v>
          </cell>
        </row>
        <row r="1880">
          <cell r="A1880">
            <v>407481</v>
          </cell>
          <cell r="B1880">
            <v>9407300</v>
          </cell>
        </row>
        <row r="1881">
          <cell r="A1881">
            <v>407482</v>
          </cell>
          <cell r="B1881">
            <v>9407300</v>
          </cell>
        </row>
        <row r="1882">
          <cell r="A1882">
            <v>407483</v>
          </cell>
          <cell r="B1882">
            <v>9407300</v>
          </cell>
        </row>
        <row r="1883">
          <cell r="A1883">
            <v>407484</v>
          </cell>
          <cell r="B1883">
            <v>9407300</v>
          </cell>
        </row>
        <row r="1884">
          <cell r="A1884">
            <v>407485</v>
          </cell>
          <cell r="B1884">
            <v>9407300</v>
          </cell>
        </row>
        <row r="1885">
          <cell r="A1885">
            <v>407488</v>
          </cell>
          <cell r="B1885">
            <v>9407300</v>
          </cell>
        </row>
        <row r="1886">
          <cell r="A1886">
            <v>407489</v>
          </cell>
          <cell r="B1886">
            <v>9407300</v>
          </cell>
        </row>
        <row r="1887">
          <cell r="A1887">
            <v>407492</v>
          </cell>
          <cell r="B1887">
            <v>9407300</v>
          </cell>
        </row>
        <row r="1888">
          <cell r="A1888">
            <v>407493</v>
          </cell>
          <cell r="B1888">
            <v>9407300</v>
          </cell>
        </row>
        <row r="1889">
          <cell r="A1889">
            <v>407494</v>
          </cell>
          <cell r="B1889">
            <v>9407300</v>
          </cell>
        </row>
        <row r="1890">
          <cell r="A1890">
            <v>407495</v>
          </cell>
          <cell r="B1890">
            <v>9407300</v>
          </cell>
        </row>
        <row r="1891">
          <cell r="A1891">
            <v>407496</v>
          </cell>
          <cell r="B1891">
            <v>9407300</v>
          </cell>
        </row>
        <row r="1892">
          <cell r="A1892">
            <v>408110</v>
          </cell>
          <cell r="B1892">
            <v>9408100</v>
          </cell>
        </row>
        <row r="1893">
          <cell r="A1893">
            <v>408112</v>
          </cell>
          <cell r="B1893">
            <v>9408100</v>
          </cell>
        </row>
        <row r="1894">
          <cell r="A1894">
            <v>408117</v>
          </cell>
          <cell r="B1894">
            <v>9408100</v>
          </cell>
        </row>
        <row r="1895">
          <cell r="A1895">
            <v>408118</v>
          </cell>
          <cell r="B1895">
            <v>9408100</v>
          </cell>
        </row>
        <row r="1896">
          <cell r="A1896">
            <v>408140</v>
          </cell>
          <cell r="B1896">
            <v>9408100</v>
          </cell>
        </row>
        <row r="1897">
          <cell r="A1897">
            <v>408150</v>
          </cell>
          <cell r="B1897">
            <v>9408100</v>
          </cell>
        </row>
        <row r="1898">
          <cell r="A1898">
            <v>408200</v>
          </cell>
          <cell r="B1898">
            <v>9408200</v>
          </cell>
        </row>
        <row r="1899">
          <cell r="A1899">
            <v>408240</v>
          </cell>
          <cell r="B1899">
            <v>9408200</v>
          </cell>
        </row>
        <row r="1900">
          <cell r="A1900">
            <v>408900</v>
          </cell>
          <cell r="B1900">
            <v>9408100</v>
          </cell>
        </row>
        <row r="1901">
          <cell r="A1901">
            <v>409110</v>
          </cell>
          <cell r="B1901">
            <v>9409100</v>
          </cell>
        </row>
        <row r="1902">
          <cell r="A1902">
            <v>409120</v>
          </cell>
          <cell r="B1902">
            <v>9409100</v>
          </cell>
        </row>
        <row r="1903">
          <cell r="A1903">
            <v>409130</v>
          </cell>
          <cell r="B1903">
            <v>9409100</v>
          </cell>
        </row>
        <row r="1904">
          <cell r="A1904">
            <v>409140</v>
          </cell>
          <cell r="B1904">
            <v>9409100</v>
          </cell>
        </row>
        <row r="1905">
          <cell r="A1905">
            <v>409150</v>
          </cell>
          <cell r="B1905">
            <v>9409100</v>
          </cell>
        </row>
        <row r="1906">
          <cell r="A1906">
            <v>409160</v>
          </cell>
          <cell r="B1906">
            <v>9409100</v>
          </cell>
        </row>
        <row r="1907">
          <cell r="A1907">
            <v>409170</v>
          </cell>
          <cell r="B1907">
            <v>9409100</v>
          </cell>
        </row>
        <row r="1908">
          <cell r="A1908">
            <v>409200</v>
          </cell>
          <cell r="B1908">
            <v>9409200</v>
          </cell>
        </row>
        <row r="1909">
          <cell r="A1909">
            <v>409300</v>
          </cell>
          <cell r="B1909">
            <v>9409300</v>
          </cell>
        </row>
        <row r="1910">
          <cell r="A1910">
            <v>410100</v>
          </cell>
          <cell r="B1910">
            <v>9410100</v>
          </cell>
        </row>
        <row r="1911">
          <cell r="A1911">
            <v>410101</v>
          </cell>
          <cell r="B1911">
            <v>9410100</v>
          </cell>
        </row>
        <row r="1912">
          <cell r="A1912">
            <v>410110</v>
          </cell>
          <cell r="B1912">
            <v>9410100</v>
          </cell>
        </row>
        <row r="1913">
          <cell r="A1913">
            <v>410112</v>
          </cell>
          <cell r="B1913">
            <v>9410100</v>
          </cell>
        </row>
        <row r="1914">
          <cell r="A1914">
            <v>410120</v>
          </cell>
          <cell r="B1914">
            <v>9410100</v>
          </cell>
        </row>
        <row r="1915">
          <cell r="A1915">
            <v>410181</v>
          </cell>
          <cell r="B1915">
            <v>9410100</v>
          </cell>
        </row>
        <row r="1916">
          <cell r="A1916">
            <v>410200</v>
          </cell>
          <cell r="B1916">
            <v>9410200</v>
          </cell>
        </row>
        <row r="1917">
          <cell r="A1917">
            <v>411100</v>
          </cell>
          <cell r="B1917">
            <v>9411100</v>
          </cell>
        </row>
        <row r="1918">
          <cell r="A1918">
            <v>411200</v>
          </cell>
          <cell r="B1918">
            <v>9411200</v>
          </cell>
        </row>
        <row r="1919">
          <cell r="A1919">
            <v>411400</v>
          </cell>
          <cell r="B1919">
            <v>9411400</v>
          </cell>
        </row>
        <row r="1920">
          <cell r="A1920">
            <v>411600</v>
          </cell>
          <cell r="B1920">
            <v>9411600</v>
          </cell>
        </row>
        <row r="1921">
          <cell r="A1921">
            <v>411630</v>
          </cell>
          <cell r="B1921">
            <v>9411600</v>
          </cell>
        </row>
        <row r="1922">
          <cell r="A1922">
            <v>411700</v>
          </cell>
          <cell r="B1922">
            <v>9411700</v>
          </cell>
        </row>
        <row r="1923">
          <cell r="A1923">
            <v>411810</v>
          </cell>
          <cell r="B1923">
            <v>9411600</v>
          </cell>
        </row>
        <row r="1924">
          <cell r="A1924">
            <v>411910</v>
          </cell>
          <cell r="B1924">
            <v>9411800</v>
          </cell>
        </row>
        <row r="1925">
          <cell r="A1925">
            <v>411999</v>
          </cell>
          <cell r="B1925">
            <v>9411100</v>
          </cell>
        </row>
        <row r="1926">
          <cell r="A1926">
            <v>414010</v>
          </cell>
          <cell r="B1926">
            <v>9414010</v>
          </cell>
        </row>
        <row r="1927">
          <cell r="A1927">
            <v>414020</v>
          </cell>
          <cell r="B1927">
            <v>9414020</v>
          </cell>
        </row>
        <row r="1928">
          <cell r="A1928">
            <v>414030</v>
          </cell>
          <cell r="B1928">
            <v>9414030</v>
          </cell>
        </row>
        <row r="1929">
          <cell r="A1929">
            <v>417113</v>
          </cell>
          <cell r="B1929">
            <v>9417100</v>
          </cell>
        </row>
        <row r="1930">
          <cell r="A1930">
            <v>417175</v>
          </cell>
          <cell r="B1930">
            <v>9417100</v>
          </cell>
        </row>
        <row r="1931">
          <cell r="A1931">
            <v>417570</v>
          </cell>
          <cell r="B1931">
            <v>9417000</v>
          </cell>
        </row>
        <row r="1932">
          <cell r="A1932">
            <v>418010</v>
          </cell>
          <cell r="B1932">
            <v>9418000</v>
          </cell>
        </row>
        <row r="1933">
          <cell r="A1933">
            <v>418011</v>
          </cell>
          <cell r="B1933">
            <v>9418000</v>
          </cell>
        </row>
        <row r="1934">
          <cell r="A1934">
            <v>418120</v>
          </cell>
          <cell r="B1934">
            <v>9418100</v>
          </cell>
        </row>
        <row r="1935">
          <cell r="A1935">
            <v>418130</v>
          </cell>
          <cell r="B1935">
            <v>9418100</v>
          </cell>
        </row>
        <row r="1936">
          <cell r="A1936">
            <v>418131</v>
          </cell>
          <cell r="B1936">
            <v>9418100</v>
          </cell>
        </row>
        <row r="1937">
          <cell r="A1937">
            <v>418135</v>
          </cell>
          <cell r="B1937">
            <v>9418100</v>
          </cell>
        </row>
        <row r="1938">
          <cell r="A1938">
            <v>418136</v>
          </cell>
          <cell r="B1938">
            <v>9418100</v>
          </cell>
        </row>
        <row r="1939">
          <cell r="A1939">
            <v>418140</v>
          </cell>
          <cell r="B1939">
            <v>9418100</v>
          </cell>
        </row>
        <row r="1940">
          <cell r="A1940">
            <v>418141</v>
          </cell>
          <cell r="B1940">
            <v>9418100</v>
          </cell>
        </row>
        <row r="1941">
          <cell r="A1941">
            <v>418150</v>
          </cell>
          <cell r="B1941">
            <v>9418100</v>
          </cell>
        </row>
        <row r="1942">
          <cell r="A1942">
            <v>418151</v>
          </cell>
          <cell r="B1942">
            <v>9418100</v>
          </cell>
        </row>
        <row r="1943">
          <cell r="A1943">
            <v>418160</v>
          </cell>
          <cell r="B1943">
            <v>9418100</v>
          </cell>
        </row>
        <row r="1944">
          <cell r="A1944">
            <v>418161</v>
          </cell>
          <cell r="B1944">
            <v>9418100</v>
          </cell>
        </row>
        <row r="1945">
          <cell r="A1945">
            <v>418180</v>
          </cell>
          <cell r="B1945">
            <v>9418100</v>
          </cell>
        </row>
        <row r="1946">
          <cell r="A1946">
            <v>418181</v>
          </cell>
          <cell r="B1946">
            <v>9418100</v>
          </cell>
        </row>
        <row r="1947">
          <cell r="A1947">
            <v>418190</v>
          </cell>
          <cell r="B1947">
            <v>9418100</v>
          </cell>
        </row>
        <row r="1948">
          <cell r="A1948">
            <v>418191</v>
          </cell>
          <cell r="B1948">
            <v>9418100</v>
          </cell>
        </row>
        <row r="1949">
          <cell r="A1949">
            <v>419050</v>
          </cell>
          <cell r="B1949">
            <v>9419000</v>
          </cell>
        </row>
        <row r="1950">
          <cell r="A1950">
            <v>419100</v>
          </cell>
          <cell r="B1950">
            <v>9419100</v>
          </cell>
        </row>
        <row r="1951">
          <cell r="A1951">
            <v>419110</v>
          </cell>
          <cell r="B1951">
            <v>9419100</v>
          </cell>
        </row>
        <row r="1952">
          <cell r="A1952">
            <v>419881</v>
          </cell>
          <cell r="B1952">
            <v>9419000</v>
          </cell>
        </row>
        <row r="1953">
          <cell r="A1953">
            <v>419882</v>
          </cell>
          <cell r="B1953">
            <v>9419000</v>
          </cell>
        </row>
        <row r="1954">
          <cell r="A1954">
            <v>421010</v>
          </cell>
          <cell r="B1954">
            <v>9421000</v>
          </cell>
        </row>
        <row r="1955">
          <cell r="A1955">
            <v>421030</v>
          </cell>
          <cell r="B1955">
            <v>9421000</v>
          </cell>
        </row>
        <row r="1956">
          <cell r="A1956">
            <v>421040</v>
          </cell>
          <cell r="B1956">
            <v>9421000</v>
          </cell>
        </row>
        <row r="1957">
          <cell r="A1957">
            <v>421110</v>
          </cell>
          <cell r="B1957">
            <v>9421100</v>
          </cell>
        </row>
        <row r="1958">
          <cell r="A1958">
            <v>421150</v>
          </cell>
          <cell r="B1958">
            <v>9421100</v>
          </cell>
        </row>
        <row r="1959">
          <cell r="A1959">
            <v>421165</v>
          </cell>
          <cell r="B1959">
            <v>9421100</v>
          </cell>
        </row>
        <row r="1960">
          <cell r="A1960">
            <v>421210</v>
          </cell>
          <cell r="B1960">
            <v>9421200</v>
          </cell>
        </row>
        <row r="1961">
          <cell r="A1961">
            <v>421250</v>
          </cell>
          <cell r="B1961">
            <v>9421200</v>
          </cell>
        </row>
        <row r="1962">
          <cell r="A1962">
            <v>421265</v>
          </cell>
          <cell r="B1962">
            <v>9421200</v>
          </cell>
        </row>
        <row r="1963">
          <cell r="A1963">
            <v>421900</v>
          </cell>
          <cell r="B1963">
            <v>9421000</v>
          </cell>
        </row>
        <row r="1964">
          <cell r="A1964">
            <v>421905</v>
          </cell>
          <cell r="B1964">
            <v>9421000</v>
          </cell>
        </row>
        <row r="1965">
          <cell r="A1965">
            <v>421915</v>
          </cell>
          <cell r="B1965">
            <v>9421000</v>
          </cell>
        </row>
        <row r="1966">
          <cell r="A1966">
            <v>426100</v>
          </cell>
          <cell r="B1966">
            <v>9426100</v>
          </cell>
        </row>
        <row r="1967">
          <cell r="A1967">
            <v>426200</v>
          </cell>
          <cell r="B1967">
            <v>9426200</v>
          </cell>
        </row>
        <row r="1968">
          <cell r="A1968">
            <v>426300</v>
          </cell>
          <cell r="B1968">
            <v>9426300</v>
          </cell>
        </row>
        <row r="1969">
          <cell r="A1969">
            <v>426400</v>
          </cell>
          <cell r="B1969">
            <v>9426400</v>
          </cell>
        </row>
        <row r="1970">
          <cell r="A1970">
            <v>426500</v>
          </cell>
          <cell r="B1970">
            <v>9426500</v>
          </cell>
        </row>
        <row r="1971">
          <cell r="A1971">
            <v>426515</v>
          </cell>
          <cell r="B1971">
            <v>9426500</v>
          </cell>
        </row>
        <row r="1972">
          <cell r="A1972">
            <v>427100</v>
          </cell>
          <cell r="B1972">
            <v>9427000</v>
          </cell>
        </row>
        <row r="1973">
          <cell r="A1973">
            <v>427109</v>
          </cell>
          <cell r="B1973">
            <v>9427000</v>
          </cell>
        </row>
        <row r="1974">
          <cell r="A1974">
            <v>427113</v>
          </cell>
          <cell r="B1974">
            <v>9427000</v>
          </cell>
        </row>
        <row r="1975">
          <cell r="A1975">
            <v>428000</v>
          </cell>
          <cell r="B1975">
            <v>9428000</v>
          </cell>
        </row>
        <row r="1976">
          <cell r="A1976">
            <v>428105</v>
          </cell>
          <cell r="B1976">
            <v>9428100</v>
          </cell>
        </row>
        <row r="1977">
          <cell r="A1977">
            <v>430100</v>
          </cell>
          <cell r="B1977">
            <v>9430000</v>
          </cell>
        </row>
        <row r="1978">
          <cell r="A1978">
            <v>430135</v>
          </cell>
          <cell r="B1978">
            <v>9430000</v>
          </cell>
        </row>
        <row r="1979">
          <cell r="A1979">
            <v>430250</v>
          </cell>
          <cell r="B1979">
            <v>9430000</v>
          </cell>
        </row>
        <row r="1980">
          <cell r="A1980">
            <v>431100</v>
          </cell>
          <cell r="B1980">
            <v>9431000</v>
          </cell>
        </row>
        <row r="1981">
          <cell r="A1981">
            <v>431104</v>
          </cell>
          <cell r="B1981">
            <v>9431000</v>
          </cell>
        </row>
        <row r="1982">
          <cell r="A1982">
            <v>431109</v>
          </cell>
          <cell r="B1982">
            <v>9431000</v>
          </cell>
        </row>
        <row r="1983">
          <cell r="A1983">
            <v>431113</v>
          </cell>
          <cell r="B1983">
            <v>9431000</v>
          </cell>
        </row>
        <row r="1984">
          <cell r="A1984">
            <v>431130</v>
          </cell>
          <cell r="B1984">
            <v>9431000</v>
          </cell>
        </row>
        <row r="1985">
          <cell r="A1985">
            <v>431182</v>
          </cell>
          <cell r="B1985">
            <v>9431000</v>
          </cell>
        </row>
        <row r="1986">
          <cell r="A1986">
            <v>431200</v>
          </cell>
          <cell r="B1986">
            <v>9431000</v>
          </cell>
        </row>
        <row r="1987">
          <cell r="A1987">
            <v>431261</v>
          </cell>
          <cell r="B1987">
            <v>9431000</v>
          </cell>
        </row>
        <row r="1988">
          <cell r="A1988">
            <v>431282</v>
          </cell>
          <cell r="B1988">
            <v>9431000</v>
          </cell>
        </row>
        <row r="1989">
          <cell r="A1989">
            <v>431287</v>
          </cell>
          <cell r="B1989">
            <v>9431000</v>
          </cell>
        </row>
        <row r="1990">
          <cell r="A1990">
            <v>431350</v>
          </cell>
          <cell r="B1990">
            <v>9431000</v>
          </cell>
        </row>
        <row r="1991">
          <cell r="A1991">
            <v>431999</v>
          </cell>
          <cell r="B1991">
            <v>9431000</v>
          </cell>
        </row>
        <row r="1992">
          <cell r="A1992">
            <v>432100</v>
          </cell>
          <cell r="B1992">
            <v>9432000</v>
          </cell>
        </row>
        <row r="1993">
          <cell r="A1993">
            <v>434100</v>
          </cell>
          <cell r="B1993">
            <v>9434000</v>
          </cell>
        </row>
        <row r="1994">
          <cell r="A1994">
            <v>436000</v>
          </cell>
          <cell r="B1994">
            <v>9436000</v>
          </cell>
        </row>
        <row r="1995">
          <cell r="A1995">
            <v>437410</v>
          </cell>
          <cell r="B1995">
            <v>9437000</v>
          </cell>
        </row>
        <row r="1996">
          <cell r="A1996">
            <v>437430</v>
          </cell>
          <cell r="B1996">
            <v>9437000</v>
          </cell>
        </row>
        <row r="1997">
          <cell r="A1997">
            <v>437440</v>
          </cell>
          <cell r="B1997">
            <v>9437000</v>
          </cell>
        </row>
        <row r="1998">
          <cell r="A1998">
            <v>437450</v>
          </cell>
          <cell r="B1998">
            <v>9437000</v>
          </cell>
        </row>
        <row r="1999">
          <cell r="A1999">
            <v>437530</v>
          </cell>
          <cell r="B1999">
            <v>9437000</v>
          </cell>
        </row>
        <row r="2000">
          <cell r="A2000">
            <v>437540</v>
          </cell>
          <cell r="B2000">
            <v>9437000</v>
          </cell>
        </row>
        <row r="2001">
          <cell r="A2001">
            <v>437550</v>
          </cell>
          <cell r="B2001">
            <v>9437000</v>
          </cell>
        </row>
        <row r="2002">
          <cell r="A2002">
            <v>438000</v>
          </cell>
          <cell r="B2002">
            <v>9438000</v>
          </cell>
        </row>
        <row r="2003">
          <cell r="A2003">
            <v>439000</v>
          </cell>
          <cell r="B2003">
            <v>9439000</v>
          </cell>
        </row>
        <row r="2004">
          <cell r="A2004">
            <v>440000</v>
          </cell>
          <cell r="B2004">
            <v>9440000</v>
          </cell>
        </row>
        <row r="2005">
          <cell r="A2005">
            <v>440100</v>
          </cell>
          <cell r="B2005">
            <v>9440100</v>
          </cell>
        </row>
        <row r="2006">
          <cell r="A2006">
            <v>442100</v>
          </cell>
          <cell r="B2006">
            <v>9442100</v>
          </cell>
        </row>
        <row r="2007">
          <cell r="A2007">
            <v>442110</v>
          </cell>
          <cell r="B2007">
            <v>9442100</v>
          </cell>
        </row>
        <row r="2008">
          <cell r="A2008">
            <v>442200</v>
          </cell>
          <cell r="B2008">
            <v>9442200</v>
          </cell>
        </row>
        <row r="2009">
          <cell r="A2009">
            <v>442210</v>
          </cell>
          <cell r="B2009">
            <v>9442200</v>
          </cell>
        </row>
        <row r="2010">
          <cell r="A2010">
            <v>442300</v>
          </cell>
          <cell r="B2010">
            <v>9442300</v>
          </cell>
        </row>
        <row r="2011">
          <cell r="A2011">
            <v>442310</v>
          </cell>
          <cell r="B2011">
            <v>9442300</v>
          </cell>
        </row>
        <row r="2012">
          <cell r="A2012">
            <v>442400</v>
          </cell>
          <cell r="B2012">
            <v>9442400</v>
          </cell>
        </row>
        <row r="2013">
          <cell r="A2013">
            <v>442410</v>
          </cell>
          <cell r="B2013">
            <v>9442400</v>
          </cell>
        </row>
        <row r="2014">
          <cell r="A2014">
            <v>444000</v>
          </cell>
          <cell r="B2014">
            <v>9444000</v>
          </cell>
        </row>
        <row r="2015">
          <cell r="A2015">
            <v>444100</v>
          </cell>
          <cell r="B2015">
            <v>9444000</v>
          </cell>
        </row>
        <row r="2016">
          <cell r="A2016">
            <v>445000</v>
          </cell>
          <cell r="B2016">
            <v>9445000</v>
          </cell>
        </row>
        <row r="2017">
          <cell r="A2017">
            <v>446000</v>
          </cell>
          <cell r="B2017">
            <v>9446000</v>
          </cell>
        </row>
        <row r="2018">
          <cell r="A2018">
            <v>447300</v>
          </cell>
          <cell r="B2018">
            <v>9447000</v>
          </cell>
        </row>
        <row r="2019">
          <cell r="A2019">
            <v>447310</v>
          </cell>
          <cell r="B2019">
            <v>9447000</v>
          </cell>
        </row>
        <row r="2020">
          <cell r="A2020">
            <v>448000</v>
          </cell>
          <cell r="B2020">
            <v>9448000</v>
          </cell>
        </row>
        <row r="2021">
          <cell r="A2021">
            <v>450100</v>
          </cell>
          <cell r="B2021">
            <v>9450000</v>
          </cell>
        </row>
        <row r="2022">
          <cell r="A2022">
            <v>450150</v>
          </cell>
          <cell r="B2022">
            <v>9450000</v>
          </cell>
        </row>
        <row r="2023">
          <cell r="A2023">
            <v>450200</v>
          </cell>
          <cell r="B2023">
            <v>9450000</v>
          </cell>
        </row>
        <row r="2024">
          <cell r="A2024">
            <v>451100</v>
          </cell>
          <cell r="B2024">
            <v>9451000</v>
          </cell>
        </row>
        <row r="2025">
          <cell r="A2025">
            <v>451110</v>
          </cell>
          <cell r="B2025">
            <v>9451000</v>
          </cell>
        </row>
        <row r="2026">
          <cell r="A2026">
            <v>451120</v>
          </cell>
          <cell r="B2026">
            <v>9451000</v>
          </cell>
        </row>
        <row r="2027">
          <cell r="A2027">
            <v>451200</v>
          </cell>
          <cell r="B2027">
            <v>9451000</v>
          </cell>
        </row>
        <row r="2028">
          <cell r="A2028">
            <v>451250</v>
          </cell>
          <cell r="B2028">
            <v>9451000</v>
          </cell>
        </row>
        <row r="2029">
          <cell r="A2029">
            <v>451400</v>
          </cell>
          <cell r="B2029">
            <v>9451000</v>
          </cell>
        </row>
        <row r="2030">
          <cell r="A2030">
            <v>451450</v>
          </cell>
          <cell r="B2030">
            <v>9451000</v>
          </cell>
        </row>
        <row r="2031">
          <cell r="A2031">
            <v>451500</v>
          </cell>
          <cell r="B2031">
            <v>9451000</v>
          </cell>
        </row>
        <row r="2032">
          <cell r="A2032">
            <v>451600</v>
          </cell>
          <cell r="B2032">
            <v>9451000</v>
          </cell>
        </row>
        <row r="2033">
          <cell r="A2033">
            <v>451780</v>
          </cell>
          <cell r="B2033">
            <v>9451000</v>
          </cell>
        </row>
        <row r="2034">
          <cell r="A2034">
            <v>453000</v>
          </cell>
          <cell r="B2034">
            <v>9453000</v>
          </cell>
        </row>
        <row r="2035">
          <cell r="A2035">
            <v>454100</v>
          </cell>
          <cell r="B2035">
            <v>9454000</v>
          </cell>
        </row>
        <row r="2036">
          <cell r="A2036">
            <v>454300</v>
          </cell>
          <cell r="B2036">
            <v>9454000</v>
          </cell>
        </row>
        <row r="2037">
          <cell r="A2037">
            <v>454350</v>
          </cell>
          <cell r="B2037">
            <v>9454000</v>
          </cell>
        </row>
        <row r="2038">
          <cell r="A2038">
            <v>454450</v>
          </cell>
          <cell r="B2038">
            <v>9454000</v>
          </cell>
        </row>
        <row r="2039">
          <cell r="A2039">
            <v>454500</v>
          </cell>
          <cell r="B2039">
            <v>9454000</v>
          </cell>
        </row>
        <row r="2040">
          <cell r="A2040">
            <v>454501</v>
          </cell>
          <cell r="B2040">
            <v>9454000</v>
          </cell>
        </row>
        <row r="2041">
          <cell r="A2041">
            <v>454600</v>
          </cell>
          <cell r="B2041">
            <v>9454000</v>
          </cell>
        </row>
        <row r="2042">
          <cell r="A2042">
            <v>454601</v>
          </cell>
          <cell r="B2042">
            <v>9454000</v>
          </cell>
        </row>
        <row r="2043">
          <cell r="A2043">
            <v>454602</v>
          </cell>
          <cell r="B2043">
            <v>9454000</v>
          </cell>
        </row>
        <row r="2044">
          <cell r="A2044">
            <v>454607</v>
          </cell>
          <cell r="B2044">
            <v>9454000</v>
          </cell>
        </row>
        <row r="2045">
          <cell r="A2045">
            <v>454610</v>
          </cell>
          <cell r="B2045">
            <v>9454000</v>
          </cell>
        </row>
        <row r="2046">
          <cell r="A2046">
            <v>454611</v>
          </cell>
          <cell r="B2046">
            <v>9454000</v>
          </cell>
        </row>
        <row r="2047">
          <cell r="A2047">
            <v>454612</v>
          </cell>
          <cell r="B2047">
            <v>9454000</v>
          </cell>
        </row>
        <row r="2048">
          <cell r="A2048">
            <v>454700</v>
          </cell>
          <cell r="B2048">
            <v>9454000</v>
          </cell>
        </row>
        <row r="2049">
          <cell r="A2049">
            <v>454890</v>
          </cell>
          <cell r="B2049">
            <v>9454000</v>
          </cell>
        </row>
        <row r="2050">
          <cell r="A2050">
            <v>456000</v>
          </cell>
          <cell r="B2050">
            <v>9456000</v>
          </cell>
        </row>
        <row r="2051">
          <cell r="A2051">
            <v>456100</v>
          </cell>
          <cell r="B2051">
            <v>9456100</v>
          </cell>
        </row>
        <row r="2052">
          <cell r="A2052">
            <v>456220</v>
          </cell>
          <cell r="B2052">
            <v>9456100</v>
          </cell>
        </row>
        <row r="2053">
          <cell r="A2053">
            <v>456300</v>
          </cell>
          <cell r="B2053">
            <v>9456100</v>
          </cell>
        </row>
        <row r="2054">
          <cell r="A2054">
            <v>456306</v>
          </cell>
          <cell r="B2054">
            <v>9456100</v>
          </cell>
        </row>
        <row r="2055">
          <cell r="A2055">
            <v>456307</v>
          </cell>
          <cell r="B2055">
            <v>9456100</v>
          </cell>
        </row>
        <row r="2056">
          <cell r="A2056">
            <v>456308</v>
          </cell>
          <cell r="B2056">
            <v>9456100</v>
          </cell>
        </row>
        <row r="2057">
          <cell r="A2057">
            <v>456314</v>
          </cell>
          <cell r="B2057">
            <v>9456100</v>
          </cell>
        </row>
        <row r="2058">
          <cell r="A2058">
            <v>456316</v>
          </cell>
          <cell r="B2058">
            <v>9456100</v>
          </cell>
        </row>
        <row r="2059">
          <cell r="A2059">
            <v>456317</v>
          </cell>
          <cell r="B2059">
            <v>9456100</v>
          </cell>
        </row>
        <row r="2060">
          <cell r="A2060">
            <v>456318</v>
          </cell>
          <cell r="B2060">
            <v>9456100</v>
          </cell>
        </row>
        <row r="2061">
          <cell r="A2061">
            <v>456319</v>
          </cell>
          <cell r="B2061">
            <v>9456100</v>
          </cell>
        </row>
        <row r="2062">
          <cell r="A2062">
            <v>456320</v>
          </cell>
          <cell r="B2062">
            <v>9456100</v>
          </cell>
        </row>
        <row r="2063">
          <cell r="A2063">
            <v>456323</v>
          </cell>
          <cell r="B2063">
            <v>9456100</v>
          </cell>
        </row>
        <row r="2064">
          <cell r="A2064">
            <v>456340</v>
          </cell>
          <cell r="B2064">
            <v>9456100</v>
          </cell>
        </row>
        <row r="2065">
          <cell r="A2065">
            <v>456363</v>
          </cell>
          <cell r="B2065">
            <v>9456100</v>
          </cell>
        </row>
        <row r="2066">
          <cell r="A2066">
            <v>456370</v>
          </cell>
          <cell r="B2066">
            <v>9456100</v>
          </cell>
        </row>
        <row r="2067">
          <cell r="A2067">
            <v>456401</v>
          </cell>
          <cell r="B2067">
            <v>9456000</v>
          </cell>
        </row>
        <row r="2068">
          <cell r="A2068">
            <v>456402</v>
          </cell>
          <cell r="B2068">
            <v>9456000</v>
          </cell>
        </row>
        <row r="2069">
          <cell r="A2069">
            <v>456411</v>
          </cell>
          <cell r="B2069">
            <v>9456000</v>
          </cell>
        </row>
        <row r="2070">
          <cell r="A2070">
            <v>456415</v>
          </cell>
          <cell r="B2070">
            <v>9456000</v>
          </cell>
        </row>
        <row r="2071">
          <cell r="A2071">
            <v>456500</v>
          </cell>
          <cell r="B2071">
            <v>9456000</v>
          </cell>
        </row>
        <row r="2072">
          <cell r="A2072">
            <v>456520</v>
          </cell>
          <cell r="B2072">
            <v>9456000</v>
          </cell>
        </row>
        <row r="2073">
          <cell r="A2073">
            <v>456700</v>
          </cell>
          <cell r="B2073">
            <v>9456000</v>
          </cell>
        </row>
        <row r="2074">
          <cell r="A2074">
            <v>456800</v>
          </cell>
          <cell r="B2074">
            <v>9456000</v>
          </cell>
        </row>
        <row r="2075">
          <cell r="A2075">
            <v>456900</v>
          </cell>
          <cell r="B2075">
            <v>9456000</v>
          </cell>
        </row>
        <row r="2076">
          <cell r="A2076">
            <v>456901</v>
          </cell>
          <cell r="B2076">
            <v>9456200</v>
          </cell>
        </row>
        <row r="2077">
          <cell r="A2077">
            <v>456903</v>
          </cell>
          <cell r="B2077">
            <v>9456000</v>
          </cell>
        </row>
        <row r="2078">
          <cell r="A2078">
            <v>456910</v>
          </cell>
          <cell r="B2078">
            <v>9456200</v>
          </cell>
        </row>
        <row r="2079">
          <cell r="A2079">
            <v>456911</v>
          </cell>
          <cell r="B2079">
            <v>9456000</v>
          </cell>
        </row>
        <row r="2080">
          <cell r="A2080">
            <v>456913</v>
          </cell>
          <cell r="B2080">
            <v>9456000</v>
          </cell>
        </row>
        <row r="2081">
          <cell r="A2081">
            <v>456915</v>
          </cell>
          <cell r="B2081">
            <v>9456000</v>
          </cell>
        </row>
        <row r="2082">
          <cell r="A2082">
            <v>456916</v>
          </cell>
          <cell r="B2082">
            <v>9456000</v>
          </cell>
        </row>
        <row r="2083">
          <cell r="A2083">
            <v>456917</v>
          </cell>
          <cell r="B2083">
            <v>9456000</v>
          </cell>
        </row>
        <row r="2084">
          <cell r="A2084">
            <v>456918</v>
          </cell>
          <cell r="B2084">
            <v>9456000</v>
          </cell>
        </row>
        <row r="2085">
          <cell r="A2085">
            <v>456919</v>
          </cell>
          <cell r="B2085">
            <v>9456000</v>
          </cell>
        </row>
        <row r="2086">
          <cell r="A2086">
            <v>456922</v>
          </cell>
          <cell r="B2086">
            <v>9456000</v>
          </cell>
        </row>
        <row r="2087">
          <cell r="A2087">
            <v>456923</v>
          </cell>
          <cell r="B2087">
            <v>9456000</v>
          </cell>
        </row>
        <row r="2088">
          <cell r="A2088">
            <v>456924</v>
          </cell>
          <cell r="B2088">
            <v>9456000</v>
          </cell>
        </row>
        <row r="2089">
          <cell r="A2089">
            <v>456925</v>
          </cell>
          <cell r="B2089">
            <v>9456000</v>
          </cell>
        </row>
        <row r="2090">
          <cell r="A2090">
            <v>456937</v>
          </cell>
          <cell r="B2090">
            <v>9456000</v>
          </cell>
        </row>
        <row r="2091">
          <cell r="A2091">
            <v>456940</v>
          </cell>
          <cell r="B2091">
            <v>9456000</v>
          </cell>
        </row>
        <row r="2092">
          <cell r="A2092">
            <v>456945</v>
          </cell>
          <cell r="B2092">
            <v>9456000</v>
          </cell>
        </row>
        <row r="2093">
          <cell r="A2093">
            <v>456946</v>
          </cell>
          <cell r="B2093">
            <v>9456000</v>
          </cell>
        </row>
        <row r="2094">
          <cell r="A2094">
            <v>456947</v>
          </cell>
          <cell r="B2094">
            <v>9456000</v>
          </cell>
        </row>
        <row r="2095">
          <cell r="A2095">
            <v>456948</v>
          </cell>
          <cell r="B2095">
            <v>9456000</v>
          </cell>
        </row>
        <row r="2096">
          <cell r="A2096">
            <v>456949</v>
          </cell>
          <cell r="B2096">
            <v>9456000</v>
          </cell>
        </row>
        <row r="2097">
          <cell r="A2097">
            <v>456950</v>
          </cell>
          <cell r="B2097">
            <v>9456000</v>
          </cell>
        </row>
        <row r="2098">
          <cell r="A2098">
            <v>456957</v>
          </cell>
          <cell r="B2098">
            <v>9456000</v>
          </cell>
        </row>
        <row r="2099">
          <cell r="A2099">
            <v>456958</v>
          </cell>
          <cell r="B2099">
            <v>9456000</v>
          </cell>
        </row>
        <row r="2100">
          <cell r="A2100">
            <v>456960</v>
          </cell>
          <cell r="B2100">
            <v>9456000</v>
          </cell>
        </row>
        <row r="2101">
          <cell r="A2101">
            <v>456962</v>
          </cell>
          <cell r="B2101">
            <v>9456000</v>
          </cell>
        </row>
        <row r="2102">
          <cell r="A2102">
            <v>456980</v>
          </cell>
          <cell r="B2102">
            <v>9456000</v>
          </cell>
        </row>
        <row r="2103">
          <cell r="A2103">
            <v>456995</v>
          </cell>
          <cell r="B2103">
            <v>9456000</v>
          </cell>
        </row>
        <row r="2104">
          <cell r="A2104">
            <v>456997</v>
          </cell>
          <cell r="B2104">
            <v>9456000</v>
          </cell>
        </row>
        <row r="2105">
          <cell r="A2105">
            <v>456999</v>
          </cell>
          <cell r="B2105">
            <v>9456000</v>
          </cell>
        </row>
        <row r="2106">
          <cell r="A2106">
            <v>500013</v>
          </cell>
          <cell r="B2106">
            <v>9500000</v>
          </cell>
        </row>
        <row r="2107">
          <cell r="A2107">
            <v>500015</v>
          </cell>
          <cell r="B2107">
            <v>9500000</v>
          </cell>
        </row>
        <row r="2108">
          <cell r="A2108">
            <v>501000</v>
          </cell>
          <cell r="B2108">
            <v>9501000</v>
          </cell>
        </row>
        <row r="2109">
          <cell r="A2109">
            <v>501013</v>
          </cell>
          <cell r="B2109">
            <v>9501000</v>
          </cell>
        </row>
        <row r="2110">
          <cell r="A2110">
            <v>501015</v>
          </cell>
          <cell r="B2110">
            <v>9501000</v>
          </cell>
        </row>
        <row r="2111">
          <cell r="A2111">
            <v>501113</v>
          </cell>
          <cell r="B2111">
            <v>9501000</v>
          </cell>
        </row>
        <row r="2112">
          <cell r="A2112">
            <v>501115</v>
          </cell>
          <cell r="B2112">
            <v>9501000</v>
          </cell>
        </row>
        <row r="2113">
          <cell r="A2113">
            <v>501900</v>
          </cell>
          <cell r="B2113">
            <v>9501000</v>
          </cell>
        </row>
        <row r="2114">
          <cell r="A2114">
            <v>501911</v>
          </cell>
          <cell r="B2114">
            <v>9501000</v>
          </cell>
        </row>
        <row r="2115">
          <cell r="A2115">
            <v>501913</v>
          </cell>
          <cell r="B2115">
            <v>9501000</v>
          </cell>
        </row>
        <row r="2116">
          <cell r="A2116">
            <v>502013</v>
          </cell>
          <cell r="B2116">
            <v>9502000</v>
          </cell>
        </row>
        <row r="2117">
          <cell r="A2117">
            <v>502015</v>
          </cell>
          <cell r="B2117">
            <v>9502000</v>
          </cell>
        </row>
        <row r="2118">
          <cell r="A2118">
            <v>505013</v>
          </cell>
          <cell r="B2118">
            <v>9505000</v>
          </cell>
        </row>
        <row r="2119">
          <cell r="A2119">
            <v>505015</v>
          </cell>
          <cell r="B2119">
            <v>9505000</v>
          </cell>
        </row>
        <row r="2120">
          <cell r="A2120">
            <v>506000</v>
          </cell>
          <cell r="B2120">
            <v>9506000</v>
          </cell>
        </row>
        <row r="2121">
          <cell r="A2121">
            <v>506013</v>
          </cell>
          <cell r="B2121">
            <v>9506000</v>
          </cell>
        </row>
        <row r="2122">
          <cell r="A2122">
            <v>506015</v>
          </cell>
          <cell r="B2122">
            <v>9506000</v>
          </cell>
        </row>
        <row r="2123">
          <cell r="A2123">
            <v>507013</v>
          </cell>
          <cell r="B2123">
            <v>9507000</v>
          </cell>
        </row>
        <row r="2124">
          <cell r="A2124">
            <v>507015</v>
          </cell>
          <cell r="B2124">
            <v>9507000</v>
          </cell>
        </row>
        <row r="2125">
          <cell r="A2125">
            <v>510000</v>
          </cell>
          <cell r="B2125">
            <v>9510000</v>
          </cell>
        </row>
        <row r="2126">
          <cell r="A2126">
            <v>510013</v>
          </cell>
          <cell r="B2126">
            <v>9510000</v>
          </cell>
        </row>
        <row r="2127">
          <cell r="A2127">
            <v>510015</v>
          </cell>
          <cell r="B2127">
            <v>9510000</v>
          </cell>
        </row>
        <row r="2128">
          <cell r="A2128">
            <v>511013</v>
          </cell>
          <cell r="B2128">
            <v>9511000</v>
          </cell>
        </row>
        <row r="2129">
          <cell r="A2129">
            <v>511015</v>
          </cell>
          <cell r="B2129">
            <v>9511000</v>
          </cell>
        </row>
        <row r="2130">
          <cell r="A2130">
            <v>512013</v>
          </cell>
          <cell r="B2130">
            <v>9512000</v>
          </cell>
        </row>
        <row r="2131">
          <cell r="A2131">
            <v>512015</v>
          </cell>
          <cell r="B2131">
            <v>9512000</v>
          </cell>
        </row>
        <row r="2132">
          <cell r="A2132">
            <v>513013</v>
          </cell>
          <cell r="B2132">
            <v>9513000</v>
          </cell>
        </row>
        <row r="2133">
          <cell r="A2133">
            <v>513015</v>
          </cell>
          <cell r="B2133">
            <v>9513000</v>
          </cell>
        </row>
        <row r="2134">
          <cell r="A2134">
            <v>514013</v>
          </cell>
          <cell r="B2134">
            <v>9514000</v>
          </cell>
        </row>
        <row r="2135">
          <cell r="A2135">
            <v>514015</v>
          </cell>
          <cell r="B2135">
            <v>9514000</v>
          </cell>
        </row>
        <row r="2136">
          <cell r="A2136">
            <v>517001</v>
          </cell>
          <cell r="B2136">
            <v>9517000</v>
          </cell>
        </row>
        <row r="2137">
          <cell r="A2137">
            <v>517002</v>
          </cell>
          <cell r="B2137">
            <v>9517000</v>
          </cell>
        </row>
        <row r="2138">
          <cell r="A2138">
            <v>517003</v>
          </cell>
          <cell r="B2138">
            <v>9517000</v>
          </cell>
        </row>
        <row r="2139">
          <cell r="A2139">
            <v>517004</v>
          </cell>
          <cell r="B2139">
            <v>9517000</v>
          </cell>
        </row>
        <row r="2140">
          <cell r="A2140">
            <v>517005</v>
          </cell>
          <cell r="B2140">
            <v>9517000</v>
          </cell>
        </row>
        <row r="2141">
          <cell r="A2141">
            <v>517008</v>
          </cell>
          <cell r="B2141">
            <v>9517000</v>
          </cell>
        </row>
        <row r="2142">
          <cell r="A2142">
            <v>517009</v>
          </cell>
          <cell r="B2142">
            <v>9517000</v>
          </cell>
        </row>
        <row r="2143">
          <cell r="A2143">
            <v>518000</v>
          </cell>
          <cell r="B2143">
            <v>9518000</v>
          </cell>
        </row>
        <row r="2144">
          <cell r="A2144">
            <v>518001</v>
          </cell>
          <cell r="B2144">
            <v>9518000</v>
          </cell>
        </row>
        <row r="2145">
          <cell r="A2145">
            <v>518002</v>
          </cell>
          <cell r="B2145">
            <v>9518000</v>
          </cell>
        </row>
        <row r="2146">
          <cell r="A2146">
            <v>518003</v>
          </cell>
          <cell r="B2146">
            <v>9518000</v>
          </cell>
        </row>
        <row r="2147">
          <cell r="A2147">
            <v>518012</v>
          </cell>
          <cell r="B2147">
            <v>9518000</v>
          </cell>
        </row>
        <row r="2148">
          <cell r="A2148">
            <v>518018</v>
          </cell>
          <cell r="B2148">
            <v>9518000</v>
          </cell>
        </row>
        <row r="2149">
          <cell r="A2149">
            <v>518904</v>
          </cell>
          <cell r="B2149">
            <v>9518000</v>
          </cell>
        </row>
        <row r="2150">
          <cell r="A2150">
            <v>518908</v>
          </cell>
          <cell r="B2150">
            <v>9518000</v>
          </cell>
        </row>
        <row r="2151">
          <cell r="A2151">
            <v>518910</v>
          </cell>
          <cell r="B2151">
            <v>9518000</v>
          </cell>
        </row>
        <row r="2152">
          <cell r="A2152">
            <v>519001</v>
          </cell>
          <cell r="B2152">
            <v>9519000</v>
          </cell>
        </row>
        <row r="2153">
          <cell r="A2153">
            <v>519002</v>
          </cell>
          <cell r="B2153">
            <v>9519000</v>
          </cell>
        </row>
        <row r="2154">
          <cell r="A2154">
            <v>519003</v>
          </cell>
          <cell r="B2154">
            <v>9519000</v>
          </cell>
        </row>
        <row r="2155">
          <cell r="A2155">
            <v>519004</v>
          </cell>
          <cell r="B2155">
            <v>9519000</v>
          </cell>
        </row>
        <row r="2156">
          <cell r="A2156">
            <v>519005</v>
          </cell>
          <cell r="B2156">
            <v>9519000</v>
          </cell>
        </row>
        <row r="2157">
          <cell r="A2157">
            <v>519009</v>
          </cell>
          <cell r="B2157">
            <v>9519000</v>
          </cell>
        </row>
        <row r="2158">
          <cell r="A2158">
            <v>520001</v>
          </cell>
          <cell r="B2158">
            <v>9520000</v>
          </cell>
        </row>
        <row r="2159">
          <cell r="A2159">
            <v>520002</v>
          </cell>
          <cell r="B2159">
            <v>9520000</v>
          </cell>
        </row>
        <row r="2160">
          <cell r="A2160">
            <v>520003</v>
          </cell>
          <cell r="B2160">
            <v>9520000</v>
          </cell>
        </row>
        <row r="2161">
          <cell r="A2161">
            <v>520004</v>
          </cell>
          <cell r="B2161">
            <v>9520000</v>
          </cell>
        </row>
        <row r="2162">
          <cell r="A2162">
            <v>520005</v>
          </cell>
          <cell r="B2162">
            <v>9520000</v>
          </cell>
        </row>
        <row r="2163">
          <cell r="A2163">
            <v>520008</v>
          </cell>
          <cell r="B2163">
            <v>9520000</v>
          </cell>
        </row>
        <row r="2164">
          <cell r="A2164">
            <v>520009</v>
          </cell>
          <cell r="B2164">
            <v>9520000</v>
          </cell>
        </row>
        <row r="2165">
          <cell r="A2165">
            <v>523001</v>
          </cell>
          <cell r="B2165">
            <v>9523000</v>
          </cell>
        </row>
        <row r="2166">
          <cell r="A2166">
            <v>523002</v>
          </cell>
          <cell r="B2166">
            <v>9523000</v>
          </cell>
        </row>
        <row r="2167">
          <cell r="A2167">
            <v>523003</v>
          </cell>
          <cell r="B2167">
            <v>9523000</v>
          </cell>
        </row>
        <row r="2168">
          <cell r="A2168">
            <v>523004</v>
          </cell>
          <cell r="B2168">
            <v>9523000</v>
          </cell>
        </row>
        <row r="2169">
          <cell r="A2169">
            <v>523005</v>
          </cell>
          <cell r="B2169">
            <v>9523000</v>
          </cell>
        </row>
        <row r="2170">
          <cell r="A2170">
            <v>523009</v>
          </cell>
          <cell r="B2170">
            <v>9523000</v>
          </cell>
        </row>
        <row r="2171">
          <cell r="A2171">
            <v>524001</v>
          </cell>
          <cell r="B2171">
            <v>9524000</v>
          </cell>
        </row>
        <row r="2172">
          <cell r="A2172">
            <v>524002</v>
          </cell>
          <cell r="B2172">
            <v>9524000</v>
          </cell>
        </row>
        <row r="2173">
          <cell r="A2173">
            <v>524003</v>
          </cell>
          <cell r="B2173">
            <v>9524000</v>
          </cell>
        </row>
        <row r="2174">
          <cell r="A2174">
            <v>524004</v>
          </cell>
          <cell r="B2174">
            <v>9524000</v>
          </cell>
        </row>
        <row r="2175">
          <cell r="A2175">
            <v>524005</v>
          </cell>
          <cell r="B2175">
            <v>9524000</v>
          </cell>
        </row>
        <row r="2176">
          <cell r="A2176">
            <v>524008</v>
          </cell>
          <cell r="B2176">
            <v>9524000</v>
          </cell>
        </row>
        <row r="2177">
          <cell r="A2177">
            <v>524009</v>
          </cell>
          <cell r="B2177">
            <v>9524000</v>
          </cell>
        </row>
        <row r="2178">
          <cell r="A2178">
            <v>524080</v>
          </cell>
          <cell r="B2178">
            <v>9524000</v>
          </cell>
        </row>
        <row r="2179">
          <cell r="A2179">
            <v>524111</v>
          </cell>
          <cell r="B2179">
            <v>9524000</v>
          </cell>
        </row>
        <row r="2180">
          <cell r="A2180">
            <v>524112</v>
          </cell>
          <cell r="B2180">
            <v>9524000</v>
          </cell>
        </row>
        <row r="2181">
          <cell r="A2181">
            <v>525001</v>
          </cell>
          <cell r="B2181">
            <v>9525000</v>
          </cell>
        </row>
        <row r="2182">
          <cell r="A2182">
            <v>525002</v>
          </cell>
          <cell r="B2182">
            <v>9525000</v>
          </cell>
        </row>
        <row r="2183">
          <cell r="A2183">
            <v>525003</v>
          </cell>
          <cell r="B2183">
            <v>9525000</v>
          </cell>
        </row>
        <row r="2184">
          <cell r="A2184">
            <v>525004</v>
          </cell>
          <cell r="B2184">
            <v>9525000</v>
          </cell>
        </row>
        <row r="2185">
          <cell r="A2185">
            <v>525005</v>
          </cell>
          <cell r="B2185">
            <v>9525000</v>
          </cell>
        </row>
        <row r="2186">
          <cell r="A2186">
            <v>525008</v>
          </cell>
          <cell r="B2186">
            <v>9525000</v>
          </cell>
        </row>
        <row r="2187">
          <cell r="A2187">
            <v>525009</v>
          </cell>
          <cell r="B2187">
            <v>9525000</v>
          </cell>
        </row>
        <row r="2188">
          <cell r="A2188">
            <v>528001</v>
          </cell>
          <cell r="B2188">
            <v>9528000</v>
          </cell>
        </row>
        <row r="2189">
          <cell r="A2189">
            <v>528002</v>
          </cell>
          <cell r="B2189">
            <v>9528000</v>
          </cell>
        </row>
        <row r="2190">
          <cell r="A2190">
            <v>528003</v>
          </cell>
          <cell r="B2190">
            <v>9528000</v>
          </cell>
        </row>
        <row r="2191">
          <cell r="A2191">
            <v>528004</v>
          </cell>
          <cell r="B2191">
            <v>9528000</v>
          </cell>
        </row>
        <row r="2192">
          <cell r="A2192">
            <v>528005</v>
          </cell>
          <cell r="B2192">
            <v>9528000</v>
          </cell>
        </row>
        <row r="2193">
          <cell r="A2193">
            <v>528008</v>
          </cell>
          <cell r="B2193">
            <v>9528000</v>
          </cell>
        </row>
        <row r="2194">
          <cell r="A2194">
            <v>528009</v>
          </cell>
          <cell r="B2194">
            <v>9528000</v>
          </cell>
        </row>
        <row r="2195">
          <cell r="A2195">
            <v>529001</v>
          </cell>
          <cell r="B2195">
            <v>9529000</v>
          </cell>
        </row>
        <row r="2196">
          <cell r="A2196">
            <v>529002</v>
          </cell>
          <cell r="B2196">
            <v>9529000</v>
          </cell>
        </row>
        <row r="2197">
          <cell r="A2197">
            <v>529003</v>
          </cell>
          <cell r="B2197">
            <v>9529000</v>
          </cell>
        </row>
        <row r="2198">
          <cell r="A2198">
            <v>529004</v>
          </cell>
          <cell r="B2198">
            <v>9529000</v>
          </cell>
        </row>
        <row r="2199">
          <cell r="A2199">
            <v>529005</v>
          </cell>
          <cell r="B2199">
            <v>9529000</v>
          </cell>
        </row>
        <row r="2200">
          <cell r="A2200">
            <v>529008</v>
          </cell>
          <cell r="B2200">
            <v>9529000</v>
          </cell>
        </row>
        <row r="2201">
          <cell r="A2201">
            <v>529009</v>
          </cell>
          <cell r="B2201">
            <v>9529000</v>
          </cell>
        </row>
        <row r="2202">
          <cell r="A2202">
            <v>530001</v>
          </cell>
          <cell r="B2202">
            <v>9530000</v>
          </cell>
        </row>
        <row r="2203">
          <cell r="A2203">
            <v>530002</v>
          </cell>
          <cell r="B2203">
            <v>9530000</v>
          </cell>
        </row>
        <row r="2204">
          <cell r="A2204">
            <v>530003</v>
          </cell>
          <cell r="B2204">
            <v>9530000</v>
          </cell>
        </row>
        <row r="2205">
          <cell r="A2205">
            <v>530004</v>
          </cell>
          <cell r="B2205">
            <v>9530000</v>
          </cell>
        </row>
        <row r="2206">
          <cell r="A2206">
            <v>530005</v>
          </cell>
          <cell r="B2206">
            <v>9530000</v>
          </cell>
        </row>
        <row r="2207">
          <cell r="A2207">
            <v>530009</v>
          </cell>
          <cell r="B2207">
            <v>9530000</v>
          </cell>
        </row>
        <row r="2208">
          <cell r="A2208">
            <v>531001</v>
          </cell>
          <cell r="B2208">
            <v>9531000</v>
          </cell>
        </row>
        <row r="2209">
          <cell r="A2209">
            <v>531002</v>
          </cell>
          <cell r="B2209">
            <v>9531000</v>
          </cell>
        </row>
        <row r="2210">
          <cell r="A2210">
            <v>531003</v>
          </cell>
          <cell r="B2210">
            <v>9531000</v>
          </cell>
        </row>
        <row r="2211">
          <cell r="A2211">
            <v>531004</v>
          </cell>
          <cell r="B2211">
            <v>9531000</v>
          </cell>
        </row>
        <row r="2212">
          <cell r="A2212">
            <v>531005</v>
          </cell>
          <cell r="B2212">
            <v>9531000</v>
          </cell>
        </row>
        <row r="2213">
          <cell r="A2213">
            <v>531009</v>
          </cell>
          <cell r="B2213">
            <v>9531000</v>
          </cell>
        </row>
        <row r="2214">
          <cell r="A2214">
            <v>532001</v>
          </cell>
          <cell r="B2214">
            <v>9532000</v>
          </cell>
        </row>
        <row r="2215">
          <cell r="A2215">
            <v>532002</v>
          </cell>
          <cell r="B2215">
            <v>9532000</v>
          </cell>
        </row>
        <row r="2216">
          <cell r="A2216">
            <v>532003</v>
          </cell>
          <cell r="B2216">
            <v>9532000</v>
          </cell>
        </row>
        <row r="2217">
          <cell r="A2217">
            <v>532004</v>
          </cell>
          <cell r="B2217">
            <v>9532000</v>
          </cell>
        </row>
        <row r="2218">
          <cell r="A2218">
            <v>532005</v>
          </cell>
          <cell r="B2218">
            <v>9532000</v>
          </cell>
        </row>
        <row r="2219">
          <cell r="A2219">
            <v>532008</v>
          </cell>
          <cell r="B2219">
            <v>9532000</v>
          </cell>
        </row>
        <row r="2220">
          <cell r="A2220">
            <v>532009</v>
          </cell>
          <cell r="B2220">
            <v>9532000</v>
          </cell>
        </row>
        <row r="2221">
          <cell r="A2221">
            <v>535000</v>
          </cell>
          <cell r="B2221">
            <v>9535000</v>
          </cell>
        </row>
        <row r="2222">
          <cell r="A2222">
            <v>536000</v>
          </cell>
          <cell r="B2222">
            <v>9536000</v>
          </cell>
        </row>
        <row r="2223">
          <cell r="A2223">
            <v>537100</v>
          </cell>
          <cell r="B2223">
            <v>9537000</v>
          </cell>
        </row>
        <row r="2224">
          <cell r="A2224">
            <v>537500</v>
          </cell>
          <cell r="B2224">
            <v>9537000</v>
          </cell>
        </row>
        <row r="2225">
          <cell r="A2225">
            <v>538000</v>
          </cell>
          <cell r="B2225">
            <v>9538000</v>
          </cell>
        </row>
        <row r="2226">
          <cell r="A2226">
            <v>539000</v>
          </cell>
          <cell r="B2226">
            <v>9539000</v>
          </cell>
        </row>
        <row r="2227">
          <cell r="A2227">
            <v>540000</v>
          </cell>
          <cell r="B2227">
            <v>9540000</v>
          </cell>
        </row>
        <row r="2228">
          <cell r="A2228">
            <v>541000</v>
          </cell>
          <cell r="B2228">
            <v>9541000</v>
          </cell>
        </row>
        <row r="2229">
          <cell r="A2229">
            <v>542000</v>
          </cell>
          <cell r="B2229">
            <v>9542000</v>
          </cell>
        </row>
        <row r="2230">
          <cell r="A2230">
            <v>543000</v>
          </cell>
          <cell r="B2230">
            <v>9543000</v>
          </cell>
        </row>
        <row r="2231">
          <cell r="A2231">
            <v>544000</v>
          </cell>
          <cell r="B2231">
            <v>9544000</v>
          </cell>
        </row>
        <row r="2232">
          <cell r="A2232">
            <v>545100</v>
          </cell>
          <cell r="B2232">
            <v>9545000</v>
          </cell>
        </row>
        <row r="2233">
          <cell r="A2233">
            <v>545500</v>
          </cell>
          <cell r="B2233">
            <v>9545000</v>
          </cell>
        </row>
        <row r="2234">
          <cell r="A2234">
            <v>546000</v>
          </cell>
          <cell r="B2234">
            <v>9546000</v>
          </cell>
        </row>
        <row r="2235">
          <cell r="A2235">
            <v>546700</v>
          </cell>
          <cell r="B2235">
            <v>9546000</v>
          </cell>
        </row>
        <row r="2236">
          <cell r="A2236">
            <v>547000</v>
          </cell>
          <cell r="B2236">
            <v>9547000</v>
          </cell>
        </row>
        <row r="2237">
          <cell r="A2237">
            <v>547410</v>
          </cell>
          <cell r="B2237">
            <v>9547000</v>
          </cell>
        </row>
        <row r="2238">
          <cell r="A2238">
            <v>547420</v>
          </cell>
          <cell r="B2238">
            <v>9547000</v>
          </cell>
        </row>
        <row r="2239">
          <cell r="A2239">
            <v>547430</v>
          </cell>
          <cell r="B2239">
            <v>9547000</v>
          </cell>
        </row>
        <row r="2240">
          <cell r="A2240">
            <v>547440</v>
          </cell>
          <cell r="B2240">
            <v>9547000</v>
          </cell>
        </row>
        <row r="2241">
          <cell r="A2241">
            <v>548000</v>
          </cell>
          <cell r="B2241">
            <v>9548000</v>
          </cell>
        </row>
        <row r="2242">
          <cell r="A2242">
            <v>548700</v>
          </cell>
          <cell r="B2242">
            <v>9548000</v>
          </cell>
        </row>
        <row r="2243">
          <cell r="A2243">
            <v>549000</v>
          </cell>
          <cell r="B2243">
            <v>9549000</v>
          </cell>
        </row>
        <row r="2244">
          <cell r="A2244">
            <v>549100</v>
          </cell>
          <cell r="B2244">
            <v>9549000</v>
          </cell>
        </row>
        <row r="2245">
          <cell r="A2245">
            <v>549700</v>
          </cell>
          <cell r="B2245">
            <v>9549000</v>
          </cell>
        </row>
        <row r="2246">
          <cell r="A2246">
            <v>550000</v>
          </cell>
          <cell r="B2246">
            <v>9550000</v>
          </cell>
        </row>
        <row r="2247">
          <cell r="A2247">
            <v>550700</v>
          </cell>
          <cell r="B2247">
            <v>9550000</v>
          </cell>
        </row>
        <row r="2248">
          <cell r="A2248">
            <v>551000</v>
          </cell>
          <cell r="B2248">
            <v>9551000</v>
          </cell>
        </row>
        <row r="2249">
          <cell r="A2249">
            <v>552000</v>
          </cell>
          <cell r="B2249">
            <v>9552000</v>
          </cell>
        </row>
        <row r="2250">
          <cell r="A2250">
            <v>553000</v>
          </cell>
          <cell r="B2250">
            <v>9553000</v>
          </cell>
        </row>
        <row r="2251">
          <cell r="A2251">
            <v>554000</v>
          </cell>
          <cell r="B2251">
            <v>9554000</v>
          </cell>
        </row>
        <row r="2252">
          <cell r="A2252">
            <v>554700</v>
          </cell>
          <cell r="B2252">
            <v>9554000</v>
          </cell>
        </row>
        <row r="2253">
          <cell r="A2253">
            <v>555100</v>
          </cell>
          <cell r="B2253">
            <v>9555000</v>
          </cell>
        </row>
        <row r="2254">
          <cell r="A2254">
            <v>555130</v>
          </cell>
          <cell r="B2254">
            <v>9555000</v>
          </cell>
        </row>
        <row r="2255">
          <cell r="A2255">
            <v>555200</v>
          </cell>
          <cell r="B2255">
            <v>9555000</v>
          </cell>
        </row>
        <row r="2256">
          <cell r="A2256">
            <v>555210</v>
          </cell>
          <cell r="B2256">
            <v>9555000</v>
          </cell>
        </row>
        <row r="2257">
          <cell r="A2257">
            <v>555220</v>
          </cell>
          <cell r="B2257">
            <v>9555000</v>
          </cell>
        </row>
        <row r="2258">
          <cell r="A2258">
            <v>555240</v>
          </cell>
          <cell r="B2258">
            <v>9555000</v>
          </cell>
        </row>
        <row r="2259">
          <cell r="A2259">
            <v>555250</v>
          </cell>
          <cell r="B2259">
            <v>9555000</v>
          </cell>
        </row>
        <row r="2260">
          <cell r="A2260">
            <v>555251</v>
          </cell>
          <cell r="B2260">
            <v>9555000</v>
          </cell>
        </row>
        <row r="2261">
          <cell r="A2261">
            <v>555300</v>
          </cell>
          <cell r="B2261">
            <v>9555000</v>
          </cell>
        </row>
        <row r="2262">
          <cell r="A2262">
            <v>555350</v>
          </cell>
          <cell r="B2262">
            <v>9555000</v>
          </cell>
        </row>
        <row r="2263">
          <cell r="A2263">
            <v>555410</v>
          </cell>
          <cell r="B2263">
            <v>9555000</v>
          </cell>
        </row>
        <row r="2264">
          <cell r="A2264">
            <v>555455</v>
          </cell>
          <cell r="B2264">
            <v>9555000</v>
          </cell>
        </row>
        <row r="2265">
          <cell r="A2265">
            <v>555460</v>
          </cell>
          <cell r="B2265">
            <v>9555000</v>
          </cell>
        </row>
        <row r="2266">
          <cell r="A2266">
            <v>555465</v>
          </cell>
          <cell r="B2266">
            <v>9555000</v>
          </cell>
        </row>
        <row r="2267">
          <cell r="A2267">
            <v>555470</v>
          </cell>
          <cell r="B2267">
            <v>9555000</v>
          </cell>
        </row>
        <row r="2268">
          <cell r="A2268">
            <v>555495</v>
          </cell>
          <cell r="B2268">
            <v>9555000</v>
          </cell>
        </row>
        <row r="2269">
          <cell r="A2269">
            <v>556004</v>
          </cell>
          <cell r="B2269">
            <v>9556000</v>
          </cell>
        </row>
        <row r="2270">
          <cell r="A2270">
            <v>557100</v>
          </cell>
          <cell r="B2270">
            <v>9557000</v>
          </cell>
        </row>
        <row r="2271">
          <cell r="A2271">
            <v>557200</v>
          </cell>
          <cell r="B2271">
            <v>9557000</v>
          </cell>
        </row>
        <row r="2272">
          <cell r="A2272">
            <v>557320</v>
          </cell>
          <cell r="B2272">
            <v>9557000</v>
          </cell>
        </row>
        <row r="2273">
          <cell r="A2273">
            <v>557321</v>
          </cell>
          <cell r="B2273">
            <v>9557000</v>
          </cell>
        </row>
        <row r="2274">
          <cell r="A2274">
            <v>557322</v>
          </cell>
          <cell r="B2274">
            <v>9557000</v>
          </cell>
        </row>
        <row r="2275">
          <cell r="A2275">
            <v>557323</v>
          </cell>
          <cell r="B2275">
            <v>9557000</v>
          </cell>
        </row>
        <row r="2276">
          <cell r="A2276">
            <v>560000</v>
          </cell>
          <cell r="B2276">
            <v>9560000</v>
          </cell>
        </row>
        <row r="2277">
          <cell r="A2277">
            <v>560012</v>
          </cell>
          <cell r="B2277">
            <v>9560000</v>
          </cell>
        </row>
        <row r="2278">
          <cell r="A2278">
            <v>561000</v>
          </cell>
          <cell r="B2278">
            <v>9561000</v>
          </cell>
        </row>
        <row r="2279">
          <cell r="A2279">
            <v>561300</v>
          </cell>
          <cell r="B2279">
            <v>9561300</v>
          </cell>
        </row>
        <row r="2280">
          <cell r="A2280">
            <v>561400</v>
          </cell>
          <cell r="B2280">
            <v>9561400</v>
          </cell>
        </row>
        <row r="2281">
          <cell r="A2281">
            <v>561800</v>
          </cell>
          <cell r="B2281">
            <v>9561400</v>
          </cell>
        </row>
        <row r="2282">
          <cell r="A2282">
            <v>562000</v>
          </cell>
          <cell r="B2282">
            <v>9562000</v>
          </cell>
        </row>
        <row r="2283">
          <cell r="A2283">
            <v>562009</v>
          </cell>
          <cell r="B2283">
            <v>9562000</v>
          </cell>
        </row>
        <row r="2284">
          <cell r="A2284">
            <v>562012</v>
          </cell>
          <cell r="B2284">
            <v>9562000</v>
          </cell>
        </row>
        <row r="2285">
          <cell r="A2285">
            <v>562013</v>
          </cell>
          <cell r="B2285">
            <v>9562000</v>
          </cell>
        </row>
        <row r="2286">
          <cell r="A2286">
            <v>562015</v>
          </cell>
          <cell r="B2286">
            <v>9562000</v>
          </cell>
        </row>
        <row r="2287">
          <cell r="A2287">
            <v>562018</v>
          </cell>
          <cell r="B2287">
            <v>9562000</v>
          </cell>
        </row>
        <row r="2288">
          <cell r="A2288">
            <v>562019</v>
          </cell>
          <cell r="B2288">
            <v>9562000</v>
          </cell>
        </row>
        <row r="2289">
          <cell r="A2289">
            <v>562020</v>
          </cell>
          <cell r="B2289">
            <v>9562000</v>
          </cell>
        </row>
        <row r="2290">
          <cell r="A2290">
            <v>563000</v>
          </cell>
          <cell r="B2290">
            <v>9563000</v>
          </cell>
        </row>
        <row r="2291">
          <cell r="A2291">
            <v>564000</v>
          </cell>
          <cell r="B2291">
            <v>9564000</v>
          </cell>
        </row>
        <row r="2292">
          <cell r="A2292">
            <v>565000</v>
          </cell>
          <cell r="B2292">
            <v>9565000</v>
          </cell>
        </row>
        <row r="2293">
          <cell r="A2293">
            <v>566000</v>
          </cell>
          <cell r="B2293">
            <v>9566000</v>
          </cell>
        </row>
        <row r="2294">
          <cell r="A2294">
            <v>566100</v>
          </cell>
          <cell r="B2294">
            <v>9566000</v>
          </cell>
        </row>
        <row r="2295">
          <cell r="A2295">
            <v>566140</v>
          </cell>
          <cell r="B2295">
            <v>9566000</v>
          </cell>
        </row>
        <row r="2296">
          <cell r="A2296">
            <v>566150</v>
          </cell>
          <cell r="B2296">
            <v>9566000</v>
          </cell>
        </row>
        <row r="2297">
          <cell r="A2297">
            <v>566317</v>
          </cell>
          <cell r="B2297">
            <v>9566000</v>
          </cell>
        </row>
        <row r="2298">
          <cell r="A2298">
            <v>566319</v>
          </cell>
          <cell r="B2298">
            <v>9566000</v>
          </cell>
        </row>
        <row r="2299">
          <cell r="A2299">
            <v>566320</v>
          </cell>
          <cell r="B2299">
            <v>9566000</v>
          </cell>
        </row>
        <row r="2300">
          <cell r="A2300">
            <v>567000</v>
          </cell>
          <cell r="B2300">
            <v>9567000</v>
          </cell>
        </row>
        <row r="2301">
          <cell r="A2301">
            <v>568000</v>
          </cell>
          <cell r="B2301">
            <v>9568000</v>
          </cell>
        </row>
        <row r="2302">
          <cell r="A2302">
            <v>568019</v>
          </cell>
          <cell r="B2302">
            <v>9568000</v>
          </cell>
        </row>
        <row r="2303">
          <cell r="A2303">
            <v>568020</v>
          </cell>
          <cell r="B2303">
            <v>9568000</v>
          </cell>
        </row>
        <row r="2304">
          <cell r="A2304">
            <v>569000</v>
          </cell>
          <cell r="B2304">
            <v>9569000</v>
          </cell>
        </row>
        <row r="2305">
          <cell r="A2305">
            <v>569012</v>
          </cell>
          <cell r="B2305">
            <v>9569000</v>
          </cell>
        </row>
        <row r="2306">
          <cell r="A2306">
            <v>570000</v>
          </cell>
          <cell r="B2306">
            <v>9570000</v>
          </cell>
        </row>
        <row r="2307">
          <cell r="A2307">
            <v>570012</v>
          </cell>
          <cell r="B2307">
            <v>9570000</v>
          </cell>
        </row>
        <row r="2308">
          <cell r="A2308">
            <v>570015</v>
          </cell>
          <cell r="B2308">
            <v>9570000</v>
          </cell>
        </row>
        <row r="2309">
          <cell r="A2309">
            <v>570018</v>
          </cell>
          <cell r="B2309">
            <v>9570000</v>
          </cell>
        </row>
        <row r="2310">
          <cell r="A2310">
            <v>570019</v>
          </cell>
          <cell r="B2310">
            <v>9570000</v>
          </cell>
        </row>
        <row r="2311">
          <cell r="A2311">
            <v>570020</v>
          </cell>
          <cell r="B2311">
            <v>9570000</v>
          </cell>
        </row>
        <row r="2312">
          <cell r="A2312">
            <v>570700</v>
          </cell>
          <cell r="B2312">
            <v>9570000</v>
          </cell>
        </row>
        <row r="2313">
          <cell r="A2313">
            <v>571000</v>
          </cell>
          <cell r="B2313">
            <v>9571000</v>
          </cell>
        </row>
        <row r="2314">
          <cell r="A2314">
            <v>572000</v>
          </cell>
          <cell r="B2314">
            <v>9572000</v>
          </cell>
        </row>
        <row r="2315">
          <cell r="A2315">
            <v>573000</v>
          </cell>
          <cell r="B2315">
            <v>9573000</v>
          </cell>
        </row>
        <row r="2316">
          <cell r="A2316">
            <v>575200</v>
          </cell>
          <cell r="B2316">
            <v>9575200</v>
          </cell>
        </row>
        <row r="2317">
          <cell r="A2317">
            <v>575500</v>
          </cell>
          <cell r="B2317">
            <v>9575500</v>
          </cell>
        </row>
        <row r="2318">
          <cell r="A2318">
            <v>575700</v>
          </cell>
          <cell r="B2318">
            <v>9575700</v>
          </cell>
        </row>
        <row r="2319">
          <cell r="A2319">
            <v>580000</v>
          </cell>
          <cell r="B2319">
            <v>9580000</v>
          </cell>
        </row>
        <row r="2320">
          <cell r="A2320">
            <v>580100</v>
          </cell>
          <cell r="B2320">
            <v>9580000</v>
          </cell>
        </row>
        <row r="2321">
          <cell r="A2321">
            <v>580300</v>
          </cell>
          <cell r="B2321">
            <v>9580000</v>
          </cell>
        </row>
        <row r="2322">
          <cell r="A2322">
            <v>582000</v>
          </cell>
          <cell r="B2322">
            <v>9582000</v>
          </cell>
        </row>
        <row r="2323">
          <cell r="A2323">
            <v>583000</v>
          </cell>
          <cell r="B2323">
            <v>9583000</v>
          </cell>
        </row>
        <row r="2324">
          <cell r="A2324">
            <v>584000</v>
          </cell>
          <cell r="B2324">
            <v>9584000</v>
          </cell>
        </row>
        <row r="2325">
          <cell r="A2325">
            <v>585000</v>
          </cell>
          <cell r="B2325">
            <v>9585000</v>
          </cell>
        </row>
        <row r="2326">
          <cell r="A2326">
            <v>586000</v>
          </cell>
          <cell r="B2326">
            <v>9586000</v>
          </cell>
        </row>
        <row r="2327">
          <cell r="A2327">
            <v>586100</v>
          </cell>
          <cell r="B2327">
            <v>9586000</v>
          </cell>
        </row>
        <row r="2328">
          <cell r="A2328">
            <v>586200</v>
          </cell>
          <cell r="B2328">
            <v>9586000</v>
          </cell>
        </row>
        <row r="2329">
          <cell r="A2329">
            <v>586400</v>
          </cell>
          <cell r="B2329">
            <v>9586000</v>
          </cell>
        </row>
        <row r="2330">
          <cell r="A2330">
            <v>586850</v>
          </cell>
          <cell r="B2330">
            <v>9586000</v>
          </cell>
        </row>
        <row r="2331">
          <cell r="A2331">
            <v>587000</v>
          </cell>
          <cell r="B2331">
            <v>9587000</v>
          </cell>
        </row>
        <row r="2332">
          <cell r="A2332">
            <v>587200</v>
          </cell>
          <cell r="B2332">
            <v>9587000</v>
          </cell>
        </row>
        <row r="2333">
          <cell r="A2333">
            <v>587500</v>
          </cell>
          <cell r="B2333">
            <v>9587000</v>
          </cell>
        </row>
        <row r="2334">
          <cell r="A2334">
            <v>587800</v>
          </cell>
          <cell r="B2334">
            <v>9587000</v>
          </cell>
        </row>
        <row r="2335">
          <cell r="A2335">
            <v>588000</v>
          </cell>
          <cell r="B2335">
            <v>9588000</v>
          </cell>
        </row>
        <row r="2336">
          <cell r="A2336">
            <v>588500</v>
          </cell>
          <cell r="B2336">
            <v>9588000</v>
          </cell>
        </row>
        <row r="2337">
          <cell r="A2337">
            <v>588999</v>
          </cell>
          <cell r="B2337">
            <v>9588000</v>
          </cell>
        </row>
        <row r="2338">
          <cell r="A2338">
            <v>589000</v>
          </cell>
          <cell r="B2338">
            <v>9589000</v>
          </cell>
        </row>
        <row r="2339">
          <cell r="A2339">
            <v>590000</v>
          </cell>
          <cell r="B2339">
            <v>9590000</v>
          </cell>
        </row>
      </sheetData>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WIP"/>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22">
          <cell r="AX22">
            <v>45.56</v>
          </cell>
        </row>
        <row r="23">
          <cell r="AX23">
            <v>45.56</v>
          </cell>
        </row>
        <row r="24">
          <cell r="AX24">
            <v>47.44</v>
          </cell>
        </row>
        <row r="25">
          <cell r="AX25">
            <v>48.19</v>
          </cell>
        </row>
        <row r="26">
          <cell r="AX26">
            <v>48.91</v>
          </cell>
        </row>
        <row r="27">
          <cell r="AX27">
            <v>48.91</v>
          </cell>
        </row>
      </sheetData>
      <sheetData sheetId="2" refreshError="1">
        <row r="22">
          <cell r="AX22">
            <v>44.64</v>
          </cell>
        </row>
        <row r="23">
          <cell r="AX23">
            <v>44.64</v>
          </cell>
        </row>
        <row r="24">
          <cell r="AX24">
            <v>47.2</v>
          </cell>
        </row>
        <row r="25">
          <cell r="AX25">
            <v>47.91</v>
          </cell>
        </row>
        <row r="26">
          <cell r="AX26">
            <v>48.86</v>
          </cell>
        </row>
        <row r="27">
          <cell r="AX27">
            <v>48.86</v>
          </cell>
        </row>
      </sheetData>
      <sheetData sheetId="3" refreshError="1">
        <row r="1">
          <cell r="D1" t="str">
            <v>MTM Calculation of Calpine Renewable QF Contract</v>
          </cell>
          <cell r="AA1" t="str">
            <v>Data linked from other sheet</v>
          </cell>
        </row>
        <row r="2">
          <cell r="E2" t="str">
            <v>Process date</v>
          </cell>
          <cell r="F2">
            <v>38028</v>
          </cell>
        </row>
        <row r="3">
          <cell r="AI3" t="str">
            <v>Calculation of average calandar prices from broker quotes</v>
          </cell>
        </row>
        <row r="4">
          <cell r="M4" t="str">
            <v>Performance Assurance Owed By Seller</v>
          </cell>
          <cell r="Q4" t="str">
            <v>Performance Assurance Owed By SCE</v>
          </cell>
          <cell r="Y4">
            <v>0</v>
          </cell>
          <cell r="AM4" t="str">
            <v>Natsource</v>
          </cell>
          <cell r="AO4" t="str">
            <v>TFS</v>
          </cell>
          <cell r="AP4" t="str">
            <v>Prebon</v>
          </cell>
          <cell r="AS4" t="str">
            <v>Average</v>
          </cell>
        </row>
        <row r="5">
          <cell r="A5" t="str">
            <v>Current Year</v>
          </cell>
          <cell r="B5" t="str">
            <v>Date used in XNPV Calc</v>
          </cell>
          <cell r="C5" t="str">
            <v>Year</v>
          </cell>
          <cell r="D5" t="str">
            <v>Start Date</v>
          </cell>
          <cell r="E5" t="str">
            <v>End date</v>
          </cell>
          <cell r="F5" t="str">
            <v>Proxy for price</v>
          </cell>
          <cell r="G5" t="str">
            <v>CP's  Performance Assurance Threshold Price</v>
          </cell>
          <cell r="H5" t="str">
            <v>SCE's Performance Assurance Threshold Price</v>
          </cell>
          <cell r="I5" t="str">
            <v>Deal Price used to calculate unbilled</v>
          </cell>
          <cell r="J5" t="str">
            <v>Market price</v>
          </cell>
          <cell r="K5" t="str">
            <v>Volume (Realized period)</v>
          </cell>
          <cell r="L5" t="str">
            <v>Volume (Un realized period)</v>
          </cell>
          <cell r="M5" t="str">
            <v>Pi - P0 (Seller)</v>
          </cell>
          <cell r="N5" t="str">
            <v>MTM $</v>
          </cell>
          <cell r="O5" t="str">
            <v>Payable (prior month)</v>
          </cell>
          <cell r="P5" t="str">
            <v>Unbilled (Current month)</v>
          </cell>
          <cell r="Q5" t="str">
            <v>P0 - Pi (SCE)</v>
          </cell>
          <cell r="R5" t="str">
            <v>MTM $</v>
          </cell>
          <cell r="S5" t="str">
            <v>Notional Value (Un realized)</v>
          </cell>
          <cell r="T5" t="str">
            <v>No of days (realized period)</v>
          </cell>
          <cell r="U5" t="str">
            <v>No of days (Unrealized period)</v>
          </cell>
          <cell r="V5" t="str">
            <v>Current Month</v>
          </cell>
          <cell r="W5" t="str">
            <v xml:space="preserve">Prior month energy Paid? (1 - Yes, 0 - No) </v>
          </cell>
          <cell r="X5" t="str">
            <v>Total Notional Value</v>
          </cell>
          <cell r="Y5" t="str">
            <v>Error Check</v>
          </cell>
          <cell r="AB5" t="str">
            <v>Natsource</v>
          </cell>
          <cell r="AD5" t="str">
            <v>TFS</v>
          </cell>
          <cell r="AE5" t="str">
            <v>Prebon</v>
          </cell>
          <cell r="AI5" t="str">
            <v>Onpeak hours</v>
          </cell>
          <cell r="AJ5" t="str">
            <v>Off peak hours</v>
          </cell>
          <cell r="AK5" t="str">
            <v>Days</v>
          </cell>
          <cell r="AL5" t="str">
            <v>Duration</v>
          </cell>
          <cell r="AM5" t="str">
            <v>On peak</v>
          </cell>
          <cell r="AN5" t="str">
            <v>Off Peak</v>
          </cell>
          <cell r="AO5" t="str">
            <v>On Peak</v>
          </cell>
          <cell r="AP5" t="str">
            <v>On peak</v>
          </cell>
          <cell r="AQ5" t="str">
            <v>Off Peak</v>
          </cell>
          <cell r="AR5" t="str">
            <v>Duration</v>
          </cell>
          <cell r="AS5" t="str">
            <v>ON PEAK</v>
          </cell>
          <cell r="AT5" t="str">
            <v>OFF PEAK</v>
          </cell>
          <cell r="AU5" t="str">
            <v>FLAT</v>
          </cell>
        </row>
        <row r="6">
          <cell r="D6" t="str">
            <v>MM/DD/YY</v>
          </cell>
          <cell r="E6" t="str">
            <v>MM/DD/YY</v>
          </cell>
          <cell r="G6" t="str">
            <v>$/MWh</v>
          </cell>
          <cell r="H6" t="str">
            <v>$/MWh</v>
          </cell>
          <cell r="I6" t="str">
            <v>$/MWh</v>
          </cell>
          <cell r="J6" t="str">
            <v>$/MWh</v>
          </cell>
          <cell r="K6" t="str">
            <v>MWh</v>
          </cell>
          <cell r="L6" t="str">
            <v>MWh</v>
          </cell>
          <cell r="M6" t="str">
            <v>$/MWh</v>
          </cell>
          <cell r="N6" t="str">
            <v>$</v>
          </cell>
          <cell r="O6" t="str">
            <v>$</v>
          </cell>
          <cell r="P6" t="str">
            <v>$</v>
          </cell>
          <cell r="Q6" t="str">
            <v>$/MWh</v>
          </cell>
          <cell r="R6" t="str">
            <v>$</v>
          </cell>
          <cell r="S6" t="str">
            <v>$</v>
          </cell>
          <cell r="T6" t="str">
            <v>#</v>
          </cell>
          <cell r="U6" t="str">
            <v>#</v>
          </cell>
          <cell r="AB6" t="str">
            <v>On peak</v>
          </cell>
          <cell r="AC6" t="str">
            <v>Off Peak</v>
          </cell>
          <cell r="AD6" t="str">
            <v>On Peak</v>
          </cell>
          <cell r="AE6" t="str">
            <v>On peak</v>
          </cell>
          <cell r="AF6" t="str">
            <v>Off Peak</v>
          </cell>
          <cell r="AI6">
            <v>4928</v>
          </cell>
          <cell r="AJ6">
            <v>3856</v>
          </cell>
          <cell r="AK6">
            <v>366</v>
          </cell>
          <cell r="AL6" t="str">
            <v>CAL-04</v>
          </cell>
          <cell r="AM6">
            <v>0</v>
          </cell>
          <cell r="AN6">
            <v>0</v>
          </cell>
          <cell r="AO6">
            <v>0</v>
          </cell>
          <cell r="AP6">
            <v>0</v>
          </cell>
          <cell r="AQ6">
            <v>0</v>
          </cell>
          <cell r="AR6" t="str">
            <v>CAL-04</v>
          </cell>
          <cell r="AS6" t="e">
            <v>#DIV/0!</v>
          </cell>
          <cell r="AT6" t="e">
            <v>#DIV/0!</v>
          </cell>
          <cell r="AU6" t="e">
            <v>#DIV/0!</v>
          </cell>
        </row>
        <row r="7">
          <cell r="C7">
            <v>2003</v>
          </cell>
          <cell r="D7">
            <v>37742</v>
          </cell>
          <cell r="E7">
            <v>37772</v>
          </cell>
          <cell r="F7" t="str">
            <v>CAL-05</v>
          </cell>
          <cell r="G7">
            <v>47.75</v>
          </cell>
          <cell r="H7">
            <v>38.5</v>
          </cell>
          <cell r="I7">
            <v>39.410524193548376</v>
          </cell>
          <cell r="J7">
            <v>47.15</v>
          </cell>
          <cell r="K7">
            <v>148800</v>
          </cell>
          <cell r="L7">
            <v>0</v>
          </cell>
          <cell r="M7">
            <v>-0.60000000000000142</v>
          </cell>
          <cell r="N7">
            <v>0</v>
          </cell>
          <cell r="O7" t="str">
            <v/>
          </cell>
          <cell r="P7" t="str">
            <v/>
          </cell>
          <cell r="Q7">
            <v>-8.6499999999999986</v>
          </cell>
          <cell r="R7">
            <v>0</v>
          </cell>
          <cell r="S7">
            <v>0</v>
          </cell>
          <cell r="T7">
            <v>31</v>
          </cell>
          <cell r="U7">
            <v>0</v>
          </cell>
          <cell r="V7" t="str">
            <v/>
          </cell>
          <cell r="W7" t="str">
            <v/>
          </cell>
          <cell r="X7">
            <v>5864285.9999999981</v>
          </cell>
          <cell r="Y7">
            <v>0</v>
          </cell>
          <cell r="AA7" t="str">
            <v>CAL-04</v>
          </cell>
          <cell r="AB7">
            <v>0</v>
          </cell>
          <cell r="AC7">
            <v>0</v>
          </cell>
          <cell r="AD7">
            <v>0</v>
          </cell>
          <cell r="AE7">
            <v>0</v>
          </cell>
          <cell r="AF7">
            <v>0</v>
          </cell>
          <cell r="AI7">
            <v>4912</v>
          </cell>
          <cell r="AJ7">
            <v>3848</v>
          </cell>
          <cell r="AK7">
            <v>365</v>
          </cell>
          <cell r="AL7" t="str">
            <v>CAL-05</v>
          </cell>
          <cell r="AM7">
            <v>54.291530944625407</v>
          </cell>
          <cell r="AN7">
            <v>37.817047817047815</v>
          </cell>
          <cell r="AO7">
            <v>54.75</v>
          </cell>
          <cell r="AP7">
            <v>54.25</v>
          </cell>
          <cell r="AQ7">
            <v>37.875</v>
          </cell>
          <cell r="AR7" t="str">
            <v>CAL-05</v>
          </cell>
          <cell r="AS7">
            <v>54.43</v>
          </cell>
          <cell r="AT7">
            <v>37.85</v>
          </cell>
          <cell r="AU7">
            <v>47.15</v>
          </cell>
        </row>
        <row r="8">
          <cell r="C8">
            <v>2003</v>
          </cell>
          <cell r="D8">
            <v>37773</v>
          </cell>
          <cell r="E8">
            <v>37802</v>
          </cell>
          <cell r="F8" t="str">
            <v>CAL-05</v>
          </cell>
          <cell r="G8">
            <v>47.75</v>
          </cell>
          <cell r="H8">
            <v>38.5</v>
          </cell>
          <cell r="I8">
            <v>64.723500000000001</v>
          </cell>
          <cell r="J8">
            <v>47.15</v>
          </cell>
          <cell r="K8">
            <v>144000</v>
          </cell>
          <cell r="L8">
            <v>0</v>
          </cell>
          <cell r="M8">
            <v>-0.60000000000000142</v>
          </cell>
          <cell r="N8">
            <v>0</v>
          </cell>
          <cell r="O8" t="str">
            <v/>
          </cell>
          <cell r="P8" t="str">
            <v/>
          </cell>
          <cell r="Q8">
            <v>-8.6499999999999986</v>
          </cell>
          <cell r="R8">
            <v>0</v>
          </cell>
          <cell r="S8">
            <v>0</v>
          </cell>
          <cell r="T8">
            <v>30</v>
          </cell>
          <cell r="U8">
            <v>0</v>
          </cell>
          <cell r="V8" t="str">
            <v/>
          </cell>
          <cell r="W8" t="str">
            <v/>
          </cell>
          <cell r="X8">
            <v>9320184</v>
          </cell>
          <cell r="Y8">
            <v>0</v>
          </cell>
          <cell r="AA8" t="str">
            <v>CAL-05</v>
          </cell>
          <cell r="AB8">
            <v>54.291530944625407</v>
          </cell>
          <cell r="AC8">
            <v>37.817047817047815</v>
          </cell>
          <cell r="AD8">
            <v>54.75</v>
          </cell>
          <cell r="AE8">
            <v>54.25</v>
          </cell>
          <cell r="AF8">
            <v>37.875</v>
          </cell>
          <cell r="AI8">
            <v>4896</v>
          </cell>
          <cell r="AJ8">
            <v>3864</v>
          </cell>
          <cell r="AK8">
            <v>365</v>
          </cell>
          <cell r="AL8" t="str">
            <v>CAL-06</v>
          </cell>
          <cell r="AM8">
            <v>54.600000000000009</v>
          </cell>
          <cell r="AN8">
            <v>37.799999999999997</v>
          </cell>
          <cell r="AO8">
            <v>54.75</v>
          </cell>
          <cell r="AP8">
            <v>54.75</v>
          </cell>
          <cell r="AQ8">
            <v>38.375</v>
          </cell>
          <cell r="AR8" t="str">
            <v>CAL-06</v>
          </cell>
          <cell r="AS8">
            <v>54.7</v>
          </cell>
          <cell r="AT8">
            <v>38.090000000000003</v>
          </cell>
          <cell r="AU8">
            <v>47.37</v>
          </cell>
        </row>
        <row r="9">
          <cell r="C9">
            <v>2003</v>
          </cell>
          <cell r="D9">
            <v>37803</v>
          </cell>
          <cell r="E9">
            <v>37833</v>
          </cell>
          <cell r="F9" t="str">
            <v>CAL-05</v>
          </cell>
          <cell r="G9">
            <v>47.75</v>
          </cell>
          <cell r="H9">
            <v>38.5</v>
          </cell>
          <cell r="I9">
            <v>63.828467741935491</v>
          </cell>
          <cell r="J9">
            <v>47.15</v>
          </cell>
          <cell r="K9">
            <v>148800</v>
          </cell>
          <cell r="L9">
            <v>0</v>
          </cell>
          <cell r="M9">
            <v>-0.60000000000000142</v>
          </cell>
          <cell r="N9">
            <v>0</v>
          </cell>
          <cell r="O9" t="str">
            <v/>
          </cell>
          <cell r="P9" t="str">
            <v/>
          </cell>
          <cell r="Q9">
            <v>-8.6499999999999986</v>
          </cell>
          <cell r="R9">
            <v>0</v>
          </cell>
          <cell r="S9">
            <v>0</v>
          </cell>
          <cell r="T9">
            <v>31</v>
          </cell>
          <cell r="U9">
            <v>0</v>
          </cell>
          <cell r="V9" t="str">
            <v/>
          </cell>
          <cell r="W9" t="str">
            <v/>
          </cell>
          <cell r="X9">
            <v>9497676.0000000019</v>
          </cell>
          <cell r="Y9">
            <v>0</v>
          </cell>
          <cell r="AA9" t="str">
            <v>CAL-06</v>
          </cell>
          <cell r="AB9">
            <v>54.600000000000009</v>
          </cell>
          <cell r="AC9">
            <v>37.799999999999997</v>
          </cell>
          <cell r="AD9">
            <v>54.75</v>
          </cell>
          <cell r="AE9">
            <v>54.75</v>
          </cell>
          <cell r="AF9">
            <v>38.375</v>
          </cell>
          <cell r="AI9">
            <v>4912</v>
          </cell>
          <cell r="AJ9">
            <v>3848</v>
          </cell>
          <cell r="AK9">
            <v>365</v>
          </cell>
          <cell r="AL9" t="str">
            <v>CAL-07</v>
          </cell>
          <cell r="AM9">
            <v>55</v>
          </cell>
          <cell r="AN9">
            <v>38.25</v>
          </cell>
          <cell r="AO9">
            <v>55</v>
          </cell>
          <cell r="AP9">
            <v>55</v>
          </cell>
          <cell r="AQ9">
            <v>38.625</v>
          </cell>
          <cell r="AR9" t="str">
            <v>CAL-07</v>
          </cell>
          <cell r="AS9">
            <v>55</v>
          </cell>
          <cell r="AT9">
            <v>38.44</v>
          </cell>
          <cell r="AU9">
            <v>47.73</v>
          </cell>
          <cell r="BC9" t="str">
            <v>Row</v>
          </cell>
          <cell r="BD9">
            <v>16</v>
          </cell>
        </row>
        <row r="10">
          <cell r="C10">
            <v>2003</v>
          </cell>
          <cell r="D10">
            <v>37834</v>
          </cell>
          <cell r="E10">
            <v>37864</v>
          </cell>
          <cell r="F10" t="str">
            <v>CAL-05</v>
          </cell>
          <cell r="G10">
            <v>47.75</v>
          </cell>
          <cell r="H10">
            <v>38.5</v>
          </cell>
          <cell r="I10">
            <v>63.824838709677415</v>
          </cell>
          <cell r="J10">
            <v>47.15</v>
          </cell>
          <cell r="K10">
            <v>148800</v>
          </cell>
          <cell r="L10">
            <v>0</v>
          </cell>
          <cell r="M10">
            <v>-0.60000000000000142</v>
          </cell>
          <cell r="N10">
            <v>0</v>
          </cell>
          <cell r="O10" t="str">
            <v/>
          </cell>
          <cell r="P10" t="str">
            <v/>
          </cell>
          <cell r="Q10">
            <v>-8.6499999999999986</v>
          </cell>
          <cell r="R10">
            <v>0</v>
          </cell>
          <cell r="S10">
            <v>0</v>
          </cell>
          <cell r="T10">
            <v>31</v>
          </cell>
          <cell r="U10">
            <v>0</v>
          </cell>
          <cell r="V10" t="str">
            <v/>
          </cell>
          <cell r="W10" t="str">
            <v/>
          </cell>
          <cell r="X10">
            <v>9497136</v>
          </cell>
          <cell r="Y10">
            <v>0</v>
          </cell>
          <cell r="AA10" t="str">
            <v>CAL-07</v>
          </cell>
          <cell r="AB10">
            <v>55</v>
          </cell>
          <cell r="AC10">
            <v>38.25</v>
          </cell>
          <cell r="AD10">
            <v>55</v>
          </cell>
          <cell r="AE10">
            <v>55</v>
          </cell>
          <cell r="AF10">
            <v>38.625</v>
          </cell>
          <cell r="BC10" t="str">
            <v>Start Date</v>
          </cell>
          <cell r="BD10">
            <v>38018</v>
          </cell>
        </row>
        <row r="11">
          <cell r="C11">
            <v>2003</v>
          </cell>
          <cell r="D11">
            <v>37865</v>
          </cell>
          <cell r="E11">
            <v>37894</v>
          </cell>
          <cell r="F11" t="str">
            <v>CAL-05</v>
          </cell>
          <cell r="G11">
            <v>47.75</v>
          </cell>
          <cell r="H11">
            <v>38.5</v>
          </cell>
          <cell r="I11">
            <v>64.723500000000001</v>
          </cell>
          <cell r="J11">
            <v>47.15</v>
          </cell>
          <cell r="K11">
            <v>144000</v>
          </cell>
          <cell r="L11">
            <v>0</v>
          </cell>
          <cell r="M11">
            <v>-0.60000000000000142</v>
          </cell>
          <cell r="N11">
            <v>0</v>
          </cell>
          <cell r="O11" t="str">
            <v/>
          </cell>
          <cell r="P11" t="str">
            <v/>
          </cell>
          <cell r="Q11">
            <v>-8.6499999999999986</v>
          </cell>
          <cell r="R11">
            <v>0</v>
          </cell>
          <cell r="S11">
            <v>0</v>
          </cell>
          <cell r="T11">
            <v>30</v>
          </cell>
          <cell r="U11">
            <v>0</v>
          </cell>
          <cell r="V11" t="str">
            <v/>
          </cell>
          <cell r="W11" t="str">
            <v/>
          </cell>
          <cell r="X11">
            <v>9320184</v>
          </cell>
          <cell r="Y11">
            <v>0</v>
          </cell>
          <cell r="BD11" t="str">
            <v>End Date</v>
          </cell>
          <cell r="BE11">
            <v>38046</v>
          </cell>
        </row>
        <row r="15">
          <cell r="AS15">
            <v>2003</v>
          </cell>
          <cell r="AT15" t="str">
            <v>CAL-05</v>
          </cell>
          <cell r="AU15">
            <v>47.15</v>
          </cell>
        </row>
        <row r="16">
          <cell r="AS16">
            <v>2004</v>
          </cell>
          <cell r="AT16" t="str">
            <v>CAL-05</v>
          </cell>
          <cell r="AU16">
            <v>47.15</v>
          </cell>
        </row>
        <row r="17">
          <cell r="AS17">
            <v>2005</v>
          </cell>
          <cell r="AT17" t="str">
            <v>CAL-05</v>
          </cell>
          <cell r="AU17">
            <v>47.15</v>
          </cell>
        </row>
        <row r="18">
          <cell r="AS18">
            <v>2006</v>
          </cell>
          <cell r="AT18" t="str">
            <v>CAL-06</v>
          </cell>
          <cell r="AU18">
            <v>47.37</v>
          </cell>
        </row>
        <row r="19">
          <cell r="AS19">
            <v>2007</v>
          </cell>
          <cell r="AT19" t="str">
            <v>CAL-07</v>
          </cell>
          <cell r="AU19">
            <v>47.73</v>
          </cell>
        </row>
        <row r="20">
          <cell r="AS20">
            <v>2008</v>
          </cell>
          <cell r="AT20" t="str">
            <v>CAL-07</v>
          </cell>
          <cell r="AU20">
            <v>47.73</v>
          </cell>
        </row>
      </sheetData>
      <sheetData sheetId="4" refreshError="1"/>
      <sheetData sheetId="5" refreshError="1">
        <row r="27">
          <cell r="B27">
            <v>38028</v>
          </cell>
        </row>
        <row r="28">
          <cell r="B28">
            <v>38028</v>
          </cell>
        </row>
        <row r="29">
          <cell r="B29">
            <v>38028</v>
          </cell>
        </row>
        <row r="30">
          <cell r="B30">
            <v>38028</v>
          </cell>
        </row>
      </sheetData>
      <sheetData sheetId="6" refreshError="1"/>
      <sheetData sheetId="7" refreshError="1"/>
      <sheetData sheetId="8" refreshError="1">
        <row r="562">
          <cell r="R562">
            <v>38108</v>
          </cell>
          <cell r="S562">
            <v>-0.32</v>
          </cell>
          <cell r="T562">
            <v>-0.32</v>
          </cell>
          <cell r="U562">
            <v>-0.32</v>
          </cell>
        </row>
        <row r="563">
          <cell r="R563">
            <v>38139</v>
          </cell>
          <cell r="S563">
            <v>-0.32</v>
          </cell>
          <cell r="T563">
            <v>-0.32</v>
          </cell>
          <cell r="U563">
            <v>-0.32</v>
          </cell>
        </row>
        <row r="564">
          <cell r="R564">
            <v>38169</v>
          </cell>
          <cell r="S564">
            <v>-0.32</v>
          </cell>
          <cell r="T564">
            <v>-0.32</v>
          </cell>
          <cell r="U564">
            <v>-0.32</v>
          </cell>
        </row>
        <row r="565">
          <cell r="R565">
            <v>38200</v>
          </cell>
          <cell r="S565">
            <v>-0.32</v>
          </cell>
          <cell r="T565">
            <v>-0.32</v>
          </cell>
          <cell r="U565">
            <v>-0.32</v>
          </cell>
        </row>
        <row r="566">
          <cell r="R566">
            <v>38231</v>
          </cell>
          <cell r="S566">
            <v>-0.32</v>
          </cell>
          <cell r="T566">
            <v>-0.32</v>
          </cell>
          <cell r="U566">
            <v>-0.32</v>
          </cell>
        </row>
        <row r="567">
          <cell r="R567">
            <v>38261</v>
          </cell>
          <cell r="S567">
            <v>-0.32</v>
          </cell>
          <cell r="T567">
            <v>-0.32</v>
          </cell>
          <cell r="U567">
            <v>-0.32</v>
          </cell>
        </row>
        <row r="568">
          <cell r="R568">
            <v>38292</v>
          </cell>
          <cell r="S568">
            <v>-0.3</v>
          </cell>
          <cell r="T568">
            <v>-0.3</v>
          </cell>
          <cell r="U568">
            <v>-0.3</v>
          </cell>
        </row>
        <row r="569">
          <cell r="R569">
            <v>38322</v>
          </cell>
          <cell r="S569">
            <v>-0.3</v>
          </cell>
          <cell r="T569">
            <v>-0.3</v>
          </cell>
          <cell r="U569">
            <v>-0.3</v>
          </cell>
        </row>
        <row r="570">
          <cell r="R570">
            <v>38353</v>
          </cell>
          <cell r="S570">
            <v>-0.3</v>
          </cell>
          <cell r="T570">
            <v>-0.3</v>
          </cell>
          <cell r="U570">
            <v>-0.3</v>
          </cell>
        </row>
        <row r="571">
          <cell r="R571">
            <v>38384</v>
          </cell>
          <cell r="S571">
            <v>-0.3</v>
          </cell>
          <cell r="T571">
            <v>-0.3</v>
          </cell>
          <cell r="U571">
            <v>-0.3</v>
          </cell>
        </row>
        <row r="572">
          <cell r="R572">
            <v>38412</v>
          </cell>
          <cell r="S572">
            <v>-0.3</v>
          </cell>
          <cell r="T572">
            <v>-0.3</v>
          </cell>
          <cell r="U572">
            <v>-0.3</v>
          </cell>
        </row>
        <row r="574">
          <cell r="R574" t="str">
            <v>HENRY HUB SWAP</v>
          </cell>
        </row>
        <row r="575">
          <cell r="R575" t="str">
            <v>Contract</v>
          </cell>
          <cell r="S575">
            <v>38028</v>
          </cell>
          <cell r="T575">
            <v>38027</v>
          </cell>
          <cell r="U575">
            <v>38026</v>
          </cell>
        </row>
        <row r="576">
          <cell r="R576">
            <v>38047</v>
          </cell>
          <cell r="S576">
            <v>5.26</v>
          </cell>
          <cell r="T576">
            <v>5.4039999999999999</v>
          </cell>
          <cell r="U576">
            <v>5.3490000000000002</v>
          </cell>
        </row>
        <row r="577">
          <cell r="R577">
            <v>38078</v>
          </cell>
          <cell r="S577">
            <v>5.2069999999999999</v>
          </cell>
          <cell r="T577">
            <v>5.3289999999999997</v>
          </cell>
          <cell r="U577">
            <v>5.2889999999999997</v>
          </cell>
        </row>
        <row r="578">
          <cell r="R578">
            <v>38108</v>
          </cell>
          <cell r="S578">
            <v>5.202</v>
          </cell>
          <cell r="T578">
            <v>5.2789999999999999</v>
          </cell>
          <cell r="U578">
            <v>5.2409999999999997</v>
          </cell>
        </row>
        <row r="579">
          <cell r="R579">
            <v>38139</v>
          </cell>
          <cell r="S579">
            <v>5.2140000000000004</v>
          </cell>
          <cell r="T579">
            <v>5.2839999999999998</v>
          </cell>
          <cell r="U579">
            <v>5.2510000000000003</v>
          </cell>
        </row>
        <row r="580">
          <cell r="R580">
            <v>38169</v>
          </cell>
          <cell r="S580">
            <v>5.2370000000000001</v>
          </cell>
          <cell r="T580">
            <v>5.306</v>
          </cell>
          <cell r="U580">
            <v>5.274</v>
          </cell>
        </row>
        <row r="581">
          <cell r="R581">
            <v>38200</v>
          </cell>
          <cell r="S581">
            <v>5.25</v>
          </cell>
          <cell r="T581">
            <v>5.319</v>
          </cell>
          <cell r="U581">
            <v>5.2839999999999998</v>
          </cell>
        </row>
        <row r="582">
          <cell r="R582">
            <v>38231</v>
          </cell>
          <cell r="S582">
            <v>5.2130000000000001</v>
          </cell>
          <cell r="T582">
            <v>5.2789999999999999</v>
          </cell>
          <cell r="U582">
            <v>5.2480000000000002</v>
          </cell>
        </row>
        <row r="583">
          <cell r="R583">
            <v>38261</v>
          </cell>
          <cell r="S583">
            <v>5.2229999999999999</v>
          </cell>
          <cell r="T583">
            <v>5.2889999999999997</v>
          </cell>
          <cell r="U583">
            <v>5.2629999999999999</v>
          </cell>
        </row>
        <row r="584">
          <cell r="R584">
            <v>38292</v>
          </cell>
          <cell r="S584">
            <v>5.383</v>
          </cell>
          <cell r="T584">
            <v>5.4489999999999998</v>
          </cell>
          <cell r="U584">
            <v>5.4279999999999999</v>
          </cell>
        </row>
        <row r="585">
          <cell r="R585">
            <v>38322</v>
          </cell>
          <cell r="S585">
            <v>5.5609999999999999</v>
          </cell>
          <cell r="T585">
            <v>5.6189999999999998</v>
          </cell>
          <cell r="U585">
            <v>5.6050000000000004</v>
          </cell>
        </row>
        <row r="586">
          <cell r="R586">
            <v>38353</v>
          </cell>
          <cell r="S586">
            <v>5.6909999999999998</v>
          </cell>
          <cell r="T586">
            <v>5.7489999999999997</v>
          </cell>
          <cell r="U586">
            <v>5.7370000000000001</v>
          </cell>
        </row>
        <row r="587">
          <cell r="R587">
            <v>38384</v>
          </cell>
          <cell r="S587">
            <v>5.6459999999999999</v>
          </cell>
          <cell r="T587">
            <v>5.7009999999999996</v>
          </cell>
          <cell r="U587">
            <v>5.694</v>
          </cell>
        </row>
        <row r="588">
          <cell r="R588">
            <v>38412</v>
          </cell>
          <cell r="S588">
            <v>5.4859999999999998</v>
          </cell>
          <cell r="T588">
            <v>5.5410000000000004</v>
          </cell>
          <cell r="U588">
            <v>5.5339999999999998</v>
          </cell>
        </row>
        <row r="589">
          <cell r="R589">
            <v>38443</v>
          </cell>
          <cell r="S589">
            <v>4.9909999999999997</v>
          </cell>
          <cell r="T589">
            <v>5.0359999999999996</v>
          </cell>
          <cell r="U589">
            <v>5.0289999999999999</v>
          </cell>
        </row>
        <row r="590">
          <cell r="R590">
            <v>38473</v>
          </cell>
          <cell r="S590">
            <v>4.891</v>
          </cell>
          <cell r="T590">
            <v>4.9359999999999999</v>
          </cell>
          <cell r="U590">
            <v>4.9290000000000003</v>
          </cell>
        </row>
        <row r="591">
          <cell r="R591">
            <v>38504</v>
          </cell>
          <cell r="S591">
            <v>4.9160000000000004</v>
          </cell>
          <cell r="T591">
            <v>4.9610000000000003</v>
          </cell>
          <cell r="U591">
            <v>4.9539999999999997</v>
          </cell>
        </row>
        <row r="592">
          <cell r="R592">
            <v>38534</v>
          </cell>
          <cell r="S592">
            <v>4.9509999999999996</v>
          </cell>
          <cell r="T592">
            <v>4.9960000000000004</v>
          </cell>
          <cell r="U592">
            <v>4.9889999999999999</v>
          </cell>
        </row>
        <row r="593">
          <cell r="R593">
            <v>38565</v>
          </cell>
          <cell r="S593">
            <v>4.9610000000000003</v>
          </cell>
          <cell r="T593">
            <v>5.0060000000000002</v>
          </cell>
          <cell r="U593">
            <v>4.9989999999999997</v>
          </cell>
        </row>
        <row r="594">
          <cell r="R594">
            <v>38596</v>
          </cell>
          <cell r="S594">
            <v>4.931</v>
          </cell>
          <cell r="T594">
            <v>4.976</v>
          </cell>
          <cell r="U594">
            <v>4.9690000000000003</v>
          </cell>
        </row>
        <row r="595">
          <cell r="R595">
            <v>38626</v>
          </cell>
          <cell r="S595">
            <v>4.9560000000000004</v>
          </cell>
          <cell r="T595">
            <v>5.0010000000000003</v>
          </cell>
          <cell r="U595">
            <v>4.9939999999999998</v>
          </cell>
        </row>
        <row r="596">
          <cell r="R596">
            <v>38657</v>
          </cell>
          <cell r="S596">
            <v>5.1289999999999996</v>
          </cell>
          <cell r="T596">
            <v>5.1740000000000004</v>
          </cell>
          <cell r="U596">
            <v>5.1669999999999998</v>
          </cell>
        </row>
        <row r="597">
          <cell r="R597">
            <v>38687</v>
          </cell>
          <cell r="S597">
            <v>5.2939999999999996</v>
          </cell>
          <cell r="T597">
            <v>5.3390000000000004</v>
          </cell>
          <cell r="U597">
            <v>5.3339999999999996</v>
          </cell>
        </row>
        <row r="598">
          <cell r="R598">
            <v>38718</v>
          </cell>
          <cell r="S598">
            <v>5.399</v>
          </cell>
          <cell r="T598">
            <v>5.444</v>
          </cell>
          <cell r="U598">
            <v>5.4290000000000003</v>
          </cell>
        </row>
        <row r="599">
          <cell r="R599">
            <v>38749</v>
          </cell>
          <cell r="S599">
            <v>5.3540000000000001</v>
          </cell>
          <cell r="T599">
            <v>5.399</v>
          </cell>
          <cell r="U599">
            <v>5.3840000000000003</v>
          </cell>
        </row>
        <row r="600">
          <cell r="R600">
            <v>38777</v>
          </cell>
          <cell r="S600">
            <v>5.1740000000000004</v>
          </cell>
          <cell r="T600">
            <v>5.2190000000000003</v>
          </cell>
          <cell r="U600">
            <v>5.2039999999999997</v>
          </cell>
        </row>
      </sheetData>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MWD "/>
      <sheetName val="WME WIP"/>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sheetData sheetId="2" refreshError="1"/>
      <sheetData sheetId="3" refreshError="1">
        <row r="81">
          <cell r="K81">
            <v>0</v>
          </cell>
          <cell r="L81">
            <v>38096</v>
          </cell>
        </row>
      </sheetData>
      <sheetData sheetId="4" refreshError="1"/>
      <sheetData sheetId="5" refreshError="1"/>
      <sheetData sheetId="6" refreshError="1">
        <row r="61">
          <cell r="B61">
            <v>38096.616450231479</v>
          </cell>
        </row>
        <row r="62">
          <cell r="B62">
            <v>38096.616452893519</v>
          </cell>
        </row>
        <row r="63">
          <cell r="B63">
            <v>38096.616455439813</v>
          </cell>
        </row>
        <row r="64">
          <cell r="B64">
            <v>38096.616462847225</v>
          </cell>
        </row>
        <row r="65">
          <cell r="B65">
            <v>38096.61647523148</v>
          </cell>
        </row>
        <row r="66">
          <cell r="B66">
            <v>38096.619622453705</v>
          </cell>
        </row>
        <row r="67">
          <cell r="B67">
            <v>38096.623438194445</v>
          </cell>
        </row>
      </sheetData>
      <sheetData sheetId="7" refreshError="1">
        <row r="29">
          <cell r="B29">
            <v>38096.624556365743</v>
          </cell>
        </row>
        <row r="30">
          <cell r="B30">
            <v>38096.625037962964</v>
          </cell>
        </row>
        <row r="31">
          <cell r="B31">
            <v>38096.626157986109</v>
          </cell>
        </row>
        <row r="32">
          <cell r="B32">
            <v>38096.62604988426</v>
          </cell>
        </row>
      </sheetData>
      <sheetData sheetId="8" refreshError="1">
        <row r="34">
          <cell r="B34">
            <v>38096.624556249997</v>
          </cell>
        </row>
        <row r="35">
          <cell r="B35">
            <v>38096.624759027778</v>
          </cell>
        </row>
        <row r="36">
          <cell r="B36">
            <v>38096.624991319448</v>
          </cell>
        </row>
        <row r="37">
          <cell r="B37">
            <v>38096.624961574074</v>
          </cell>
        </row>
      </sheetData>
      <sheetData sheetId="9" refreshError="1">
        <row r="26">
          <cell r="B26">
            <v>38096.62384641204</v>
          </cell>
        </row>
        <row r="27">
          <cell r="B27">
            <v>38096.623849768519</v>
          </cell>
        </row>
        <row r="28">
          <cell r="B28">
            <v>38096.624117013889</v>
          </cell>
        </row>
      </sheetData>
      <sheetData sheetId="10" refreshError="1">
        <row r="28">
          <cell r="B28">
            <v>38096.632372685184</v>
          </cell>
        </row>
        <row r="29">
          <cell r="B29">
            <v>38096.632477430554</v>
          </cell>
        </row>
        <row r="30">
          <cell r="B30">
            <v>38096.632549074071</v>
          </cell>
        </row>
        <row r="31">
          <cell r="B31">
            <v>38096.633481828707</v>
          </cell>
        </row>
        <row r="32">
          <cell r="B32">
            <v>38096.633492939814</v>
          </cell>
        </row>
        <row r="33">
          <cell r="B33">
            <v>38096.633970370371</v>
          </cell>
        </row>
        <row r="34">
          <cell r="B34">
            <v>38096.634969907405</v>
          </cell>
        </row>
      </sheetData>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earinghouse_Fuel_Suppliers.xl"/>
      <sheetName val="DATA"/>
      <sheetName val="SETTINGS"/>
      <sheetName val="Sheet3"/>
      <sheetName val="Gas_Premium"/>
      <sheetName val="Change Control"/>
      <sheetName val="CP Error Check"/>
      <sheetName val="FTR_Amort"/>
      <sheetName val="Summary Risk"/>
      <sheetName val="Summary - NEW"/>
      <sheetName val="Options"/>
      <sheetName val="Trades"/>
      <sheetName val="Power Trades"/>
      <sheetName val="New Option Premiums"/>
      <sheetName val="BrokerFeesOct07"/>
      <sheetName val="Fees"/>
      <sheetName val="FTR MTM"/>
      <sheetName val="Power Premium"/>
      <sheetName val="Expired Power Options"/>
      <sheetName val="FDW -New Option Premiums"/>
      <sheetName val="Nov07"/>
      <sheetName val="FSOPT Summary"/>
      <sheetName val="GAS MTM - FSOPT"/>
      <sheetName val="Gas Physical MTM"/>
      <sheetName val="Delta"/>
      <sheetName val="QF MTM - Detail"/>
      <sheetName val="QF Power FMV"/>
      <sheetName val="RFO CAP MTM"/>
      <sheetName val="Forward_Physical_Power"/>
      <sheetName val="PowerSwapsMTM"/>
      <sheetName val="Transitional Tolling"/>
    </sheetNames>
    <sheetDataSet>
      <sheetData sheetId="0" refreshError="1">
        <row r="4">
          <cell r="B4" t="str">
            <v>7 Scullers Cove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And Prices"/>
      <sheetName val="Power Prices"/>
      <sheetName val="Gas Prices"/>
      <sheetName val="Interest rates"/>
      <sheetName val="Main Menu"/>
      <sheetName val="Error check"/>
      <sheetName val="Monthly MTM 1"/>
      <sheetName val="Monthly MTM 2"/>
      <sheetName val="Summary Data Check"/>
      <sheetName val="Summary"/>
      <sheetName val="Range Name"/>
      <sheetName val="Power Fin"/>
      <sheetName val="Power"/>
      <sheetName val="CRR"/>
      <sheetName val="FTR"/>
      <sheetName val="Gas Physical"/>
      <sheetName val="Gas Fin Options"/>
      <sheetName val="Gas Fin Non Options"/>
      <sheetName val=" RFO"/>
      <sheetName val="Change Control"/>
    </sheetNames>
    <sheetDataSet>
      <sheetData sheetId="0">
        <row r="4">
          <cell r="C4">
            <v>39538</v>
          </cell>
        </row>
      </sheetData>
      <sheetData sheetId="1" refreshError="1"/>
      <sheetData sheetId="2" refreshError="1"/>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WS"/>
      <sheetName val="WS SUBS"/>
      <sheetName val="Regulatory Assets"/>
      <sheetName val="Accum Def Inc Tax Rec"/>
    </sheetNames>
    <sheetDataSet>
      <sheetData sheetId="0"/>
      <sheetData sheetId="1"/>
      <sheetData sheetId="2"/>
      <sheetData sheetId="3"/>
      <sheetData sheetId="4"/>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Rev Log"/>
      <sheetName val="Distributed Input"/>
      <sheetName val="Facility Technical Data"/>
      <sheetName val="WasteClassAndVolume"/>
      <sheetName val="Eng &amp; Site Mod Summary"/>
      <sheetName val="Baseline Survey"/>
      <sheetName val="Eng and Plan"/>
      <sheetName val="Site Modifications and Prep"/>
      <sheetName val="System Decon"/>
      <sheetName val="Rx Removal Preps"/>
      <sheetName val="Fuel Pool Closure"/>
      <sheetName val="SAFSTOR Site Mods and Prep"/>
      <sheetName val="SAFSTOR Roof Replacement"/>
      <sheetName val="U1 SAFSTOR Eng and Plan"/>
      <sheetName val="MARSSIM "/>
      <sheetName val="MESA Characterization"/>
      <sheetName val="Soil Remediation"/>
      <sheetName val="Demo &amp; Greenfield"/>
      <sheetName val="Underground Storage Tanks"/>
      <sheetName val="Cathodic Protection"/>
      <sheetName val="Scaffolding"/>
      <sheetName val="U1 Baseline Survey - Not Used"/>
      <sheetName val="U1 MARSSIM - Not Used"/>
      <sheetName val="Yard Area Drains &amp; Piping"/>
      <sheetName val="Sheet1"/>
    </sheetNames>
    <sheetDataSet>
      <sheetData sheetId="0"/>
      <sheetData sheetId="1"/>
      <sheetData sheetId="2"/>
      <sheetData sheetId="3">
        <row r="11">
          <cell r="C11">
            <v>12</v>
          </cell>
        </row>
        <row r="12">
          <cell r="C12">
            <v>12</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Renewable"/>
      <sheetName val="MWD "/>
      <sheetName val="WME"/>
      <sheetName val="Calpine Renewable Cntrct  MTM"/>
      <sheetName val="Calpine Chart"/>
      <sheetName val="Check"/>
      <sheetName val="PowerPrices"/>
      <sheetName val="BasisPrices"/>
      <sheetName val="FuturePrices"/>
      <sheetName val="InterestRates"/>
      <sheetName val="Volatility"/>
      <sheetName val="PriceShape"/>
      <sheetName val="BrokerQuote"/>
    </sheetNames>
    <sheetDataSet>
      <sheetData sheetId="0" refreshError="1"/>
      <sheetData sheetId="1" refreshError="1">
        <row r="1">
          <cell r="I1">
            <v>38168.626615624999</v>
          </cell>
        </row>
      </sheetData>
      <sheetData sheetId="2" refreshError="1"/>
      <sheetData sheetId="3" refreshError="1"/>
      <sheetData sheetId="4" refreshError="1"/>
      <sheetData sheetId="5" refreshError="1"/>
      <sheetData sheetId="6" refreshError="1">
        <row r="3">
          <cell r="B3">
            <v>38168</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3" Type="http://schemas.openxmlformats.org/officeDocument/2006/relationships/comments" Target="../comments21.xml"/><Relationship Id="rId2" Type="http://schemas.openxmlformats.org/officeDocument/2006/relationships/vmlDrawing" Target="../drawings/vmlDrawing21.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24.xml"/><Relationship Id="rId2" Type="http://schemas.openxmlformats.org/officeDocument/2006/relationships/vmlDrawing" Target="../drawings/vmlDrawing24.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25.xml"/><Relationship Id="rId2" Type="http://schemas.openxmlformats.org/officeDocument/2006/relationships/vmlDrawing" Target="../drawings/vmlDrawing25.v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62"/>
  <sheetViews>
    <sheetView showGridLines="0" tabSelected="1" zoomScaleNormal="100" workbookViewId="0"/>
  </sheetViews>
  <sheetFormatPr defaultRowHeight="12.75" x14ac:dyDescent="0.2"/>
  <cols>
    <col min="1" max="1" width="5.28515625" style="71" customWidth="1"/>
    <col min="2" max="2" width="111.28515625" style="72" customWidth="1"/>
    <col min="3" max="3" width="5.42578125" style="71" customWidth="1"/>
    <col min="4" max="4" width="19.7109375" style="73" customWidth="1"/>
    <col min="5" max="5" width="20.42578125" style="74" bestFit="1" customWidth="1"/>
    <col min="6" max="6" width="13.5703125" style="74" customWidth="1"/>
    <col min="7" max="7" width="10.42578125" style="71" bestFit="1" customWidth="1"/>
    <col min="8" max="16384" width="9.140625" style="71"/>
  </cols>
  <sheetData>
    <row r="1" spans="1:7" ht="18" customHeight="1" x14ac:dyDescent="0.2"/>
    <row r="2" spans="1:7" ht="18" customHeight="1" x14ac:dyDescent="0.2">
      <c r="A2" s="714" t="s">
        <v>292</v>
      </c>
      <c r="B2" s="715"/>
    </row>
    <row r="3" spans="1:7" ht="18" customHeight="1" x14ac:dyDescent="0.2">
      <c r="A3" s="715" t="s">
        <v>31</v>
      </c>
      <c r="B3" s="715"/>
      <c r="E3" s="75" t="s">
        <v>311</v>
      </c>
      <c r="F3" s="76" t="s">
        <v>310</v>
      </c>
    </row>
    <row r="4" spans="1:7" ht="15.75" customHeight="1" x14ac:dyDescent="0.2">
      <c r="A4" s="77"/>
      <c r="B4" s="78"/>
      <c r="E4" s="75" t="s">
        <v>279</v>
      </c>
      <c r="F4" s="75" t="s">
        <v>282</v>
      </c>
    </row>
    <row r="5" spans="1:7" ht="20.25" customHeight="1" x14ac:dyDescent="0.2">
      <c r="A5" s="712" t="s">
        <v>305</v>
      </c>
      <c r="B5" s="713"/>
    </row>
    <row r="6" spans="1:7" ht="50.25" customHeight="1" x14ac:dyDescent="0.2">
      <c r="A6" s="276" t="s">
        <v>30</v>
      </c>
      <c r="B6" s="491" t="s">
        <v>1072</v>
      </c>
      <c r="C6" s="273"/>
      <c r="D6" s="275" t="s">
        <v>281</v>
      </c>
      <c r="E6" s="80">
        <v>-197382.06873822212</v>
      </c>
      <c r="F6" s="80">
        <f>(E6/E16)*F16</f>
        <v>-221059.67735873748</v>
      </c>
      <c r="G6" s="273"/>
    </row>
    <row r="7" spans="1:7" ht="15.75" x14ac:dyDescent="0.2">
      <c r="A7" s="276"/>
      <c r="B7" s="491"/>
      <c r="C7" s="273"/>
      <c r="D7" s="275"/>
      <c r="E7" s="80"/>
      <c r="F7" s="80"/>
      <c r="G7" s="273"/>
    </row>
    <row r="8" spans="1:7" ht="69" customHeight="1" x14ac:dyDescent="0.2">
      <c r="A8" s="79" t="s">
        <v>294</v>
      </c>
      <c r="B8" s="491" t="s">
        <v>1076</v>
      </c>
      <c r="C8" s="273"/>
      <c r="D8" s="275" t="s">
        <v>293</v>
      </c>
      <c r="E8" s="80">
        <v>-100204.33665788174</v>
      </c>
      <c r="F8" s="80">
        <f>(E8/E16)*F16</f>
        <v>-112224.67407065019</v>
      </c>
    </row>
    <row r="9" spans="1:7" ht="15.75" x14ac:dyDescent="0.2">
      <c r="A9" s="276"/>
      <c r="B9" s="491"/>
      <c r="C9" s="273"/>
      <c r="D9" s="275"/>
      <c r="E9" s="80"/>
      <c r="F9" s="80"/>
    </row>
    <row r="10" spans="1:7" ht="64.5" customHeight="1" x14ac:dyDescent="0.2">
      <c r="A10" s="79" t="s">
        <v>306</v>
      </c>
      <c r="B10" s="491" t="s">
        <v>997</v>
      </c>
      <c r="C10" s="273"/>
      <c r="D10" s="275" t="s">
        <v>307</v>
      </c>
      <c r="E10" s="80">
        <v>-17792.677863955498</v>
      </c>
      <c r="F10" s="80">
        <f>(E10/E16)*F16</f>
        <v>-19927.056460080046</v>
      </c>
      <c r="G10" s="273"/>
    </row>
    <row r="11" spans="1:7" ht="15.75" x14ac:dyDescent="0.2">
      <c r="A11" s="276"/>
      <c r="B11" s="146"/>
      <c r="C11" s="273"/>
      <c r="D11" s="275"/>
      <c r="E11" s="80"/>
      <c r="F11" s="80"/>
    </row>
    <row r="12" spans="1:7" ht="51.75" customHeight="1" x14ac:dyDescent="0.2">
      <c r="A12" s="79" t="s">
        <v>973</v>
      </c>
      <c r="B12" s="491" t="s">
        <v>998</v>
      </c>
      <c r="C12" s="273"/>
      <c r="D12" s="275" t="s">
        <v>974</v>
      </c>
      <c r="E12" s="80">
        <v>-5345.7095816135406</v>
      </c>
      <c r="F12" s="80">
        <f>(E12/E16)*F16</f>
        <v>-5986.9715771003375</v>
      </c>
    </row>
    <row r="13" spans="1:7" ht="15.75" x14ac:dyDescent="0.2">
      <c r="A13" s="79"/>
      <c r="B13" s="491"/>
      <c r="C13" s="273"/>
      <c r="D13" s="275"/>
      <c r="E13" s="80"/>
      <c r="F13" s="80"/>
    </row>
    <row r="14" spans="1:7" ht="51" customHeight="1" x14ac:dyDescent="0.2">
      <c r="A14" s="79" t="s">
        <v>975</v>
      </c>
      <c r="B14" s="491" t="s">
        <v>999</v>
      </c>
      <c r="C14" s="273"/>
      <c r="D14" s="275" t="s">
        <v>308</v>
      </c>
      <c r="E14" s="80">
        <v>2276.4710974693298</v>
      </c>
      <c r="F14" s="80">
        <f>(E14/E16)*F16</f>
        <v>2549.5525988760287</v>
      </c>
    </row>
    <row r="15" spans="1:7" ht="15.75" x14ac:dyDescent="0.2">
      <c r="A15" s="79"/>
      <c r="B15" s="491"/>
      <c r="C15" s="273"/>
      <c r="D15" s="275"/>
      <c r="E15" s="80"/>
      <c r="F15" s="80"/>
    </row>
    <row r="16" spans="1:7" ht="15.75" x14ac:dyDescent="0.2">
      <c r="A16" s="708" t="s">
        <v>992</v>
      </c>
      <c r="B16" s="711"/>
      <c r="C16" s="277"/>
      <c r="D16" s="278" t="s">
        <v>978</v>
      </c>
      <c r="E16" s="279">
        <f>SUM(E5:E15)</f>
        <v>-318448.32174420357</v>
      </c>
      <c r="F16" s="279">
        <f>'WP-Total Adj with Int'!G60</f>
        <v>-356648.82686769206</v>
      </c>
      <c r="G16" s="273"/>
    </row>
    <row r="17" spans="1:9" ht="15.75" customHeight="1" x14ac:dyDescent="0.2">
      <c r="A17" s="150"/>
      <c r="B17" s="151"/>
      <c r="C17" s="81"/>
      <c r="D17" s="145"/>
      <c r="E17" s="80"/>
      <c r="F17" s="80"/>
    </row>
    <row r="18" spans="1:9" ht="20.25" customHeight="1" x14ac:dyDescent="0.2">
      <c r="A18" s="712" t="s">
        <v>280</v>
      </c>
      <c r="B18" s="713"/>
    </row>
    <row r="19" spans="1:9" ht="55.5" customHeight="1" x14ac:dyDescent="0.2">
      <c r="A19" s="79" t="s">
        <v>30</v>
      </c>
      <c r="B19" s="491" t="s">
        <v>1073</v>
      </c>
      <c r="C19" s="273"/>
      <c r="D19" s="275" t="s">
        <v>309</v>
      </c>
      <c r="E19" s="80">
        <v>-239149.49303984642</v>
      </c>
      <c r="F19" s="80">
        <f>(E19/E$29)*F$29</f>
        <v>-259309.91370731095</v>
      </c>
    </row>
    <row r="20" spans="1:9" ht="15.75" x14ac:dyDescent="0.2">
      <c r="A20" s="79"/>
      <c r="B20" s="491"/>
      <c r="E20" s="80"/>
      <c r="F20" s="80"/>
    </row>
    <row r="21" spans="1:9" ht="71.25" customHeight="1" x14ac:dyDescent="0.2">
      <c r="A21" s="79" t="s">
        <v>294</v>
      </c>
      <c r="B21" s="491" t="s">
        <v>1106</v>
      </c>
      <c r="C21" s="273"/>
      <c r="D21" s="275" t="s">
        <v>976</v>
      </c>
      <c r="E21" s="80">
        <v>405382.16308796406</v>
      </c>
      <c r="F21" s="80">
        <f t="shared" ref="F21:F27" si="0">(E21/E$29)*F$29</f>
        <v>439556.08014317753</v>
      </c>
    </row>
    <row r="22" spans="1:9" ht="15.75" x14ac:dyDescent="0.2">
      <c r="A22" s="79"/>
      <c r="B22" s="491"/>
      <c r="E22" s="80"/>
      <c r="F22" s="80"/>
    </row>
    <row r="23" spans="1:9" ht="71.25" customHeight="1" x14ac:dyDescent="0.2">
      <c r="A23" s="79" t="s">
        <v>306</v>
      </c>
      <c r="B23" s="491" t="s">
        <v>1000</v>
      </c>
      <c r="C23" s="273"/>
      <c r="D23" s="275" t="s">
        <v>313</v>
      </c>
      <c r="E23" s="80">
        <v>-15608.224071145058</v>
      </c>
      <c r="F23" s="80">
        <f t="shared" si="0"/>
        <v>-16924.00508805861</v>
      </c>
    </row>
    <row r="24" spans="1:9" ht="15.75" x14ac:dyDescent="0.2">
      <c r="A24" s="276"/>
      <c r="B24" s="491"/>
      <c r="C24" s="273"/>
      <c r="D24" s="275"/>
      <c r="E24" s="80"/>
      <c r="F24" s="80"/>
    </row>
    <row r="25" spans="1:9" ht="56.25" customHeight="1" x14ac:dyDescent="0.2">
      <c r="A25" s="79" t="s">
        <v>973</v>
      </c>
      <c r="B25" s="491" t="s">
        <v>1001</v>
      </c>
      <c r="C25" s="273"/>
      <c r="D25" s="275" t="s">
        <v>314</v>
      </c>
      <c r="E25" s="80">
        <v>-29121.003397703171</v>
      </c>
      <c r="F25" s="80">
        <f t="shared" si="0"/>
        <v>-31575.918402095587</v>
      </c>
    </row>
    <row r="26" spans="1:9" ht="15.75" x14ac:dyDescent="0.2">
      <c r="A26" s="79"/>
      <c r="B26" s="491"/>
      <c r="C26" s="273"/>
      <c r="D26" s="275"/>
      <c r="E26" s="80"/>
      <c r="F26" s="80"/>
    </row>
    <row r="27" spans="1:9" ht="68.25" customHeight="1" x14ac:dyDescent="0.2">
      <c r="A27" s="79" t="s">
        <v>975</v>
      </c>
      <c r="B27" s="491" t="s">
        <v>1002</v>
      </c>
      <c r="C27" s="273"/>
      <c r="D27" s="275" t="s">
        <v>315</v>
      </c>
      <c r="E27" s="80">
        <v>47304.189270377159</v>
      </c>
      <c r="F27" s="80">
        <f t="shared" si="0"/>
        <v>51291.955846429504</v>
      </c>
    </row>
    <row r="28" spans="1:9" ht="12.75" customHeight="1" x14ac:dyDescent="0.2">
      <c r="A28" s="77"/>
      <c r="B28" s="33"/>
      <c r="E28" s="80"/>
      <c r="F28" s="80"/>
    </row>
    <row r="29" spans="1:9" ht="15.75" customHeight="1" x14ac:dyDescent="0.2">
      <c r="A29" s="708" t="s">
        <v>993</v>
      </c>
      <c r="B29" s="711"/>
      <c r="C29" s="277"/>
      <c r="D29" s="702" t="s">
        <v>977</v>
      </c>
      <c r="E29" s="279">
        <f>SUM(E19:E28)</f>
        <v>168807.63184964657</v>
      </c>
      <c r="F29" s="279">
        <f>'WP-Total Adj with Int'!K60</f>
        <v>183038.19879214189</v>
      </c>
      <c r="G29" s="273"/>
      <c r="H29" s="273"/>
      <c r="I29" s="273"/>
    </row>
    <row r="30" spans="1:9" ht="12.75" customHeight="1" x14ac:dyDescent="0.2">
      <c r="A30" s="77"/>
      <c r="B30" s="33"/>
      <c r="E30" s="80"/>
      <c r="F30" s="80"/>
    </row>
    <row r="31" spans="1:9" ht="20.25" customHeight="1" x14ac:dyDescent="0.2">
      <c r="A31" s="712" t="s">
        <v>291</v>
      </c>
      <c r="B31" s="713"/>
      <c r="E31" s="80"/>
      <c r="F31" s="80"/>
    </row>
    <row r="32" spans="1:9" ht="47.25" x14ac:dyDescent="0.2">
      <c r="A32" s="79" t="s">
        <v>30</v>
      </c>
      <c r="B32" s="491" t="s">
        <v>1071</v>
      </c>
      <c r="C32" s="273"/>
      <c r="D32" s="275" t="s">
        <v>979</v>
      </c>
      <c r="E32" s="80">
        <v>-282291.74853408302</v>
      </c>
      <c r="F32" s="80">
        <f>(E32/E$42)*F$42</f>
        <v>-289429.02614599984</v>
      </c>
    </row>
    <row r="33" spans="1:7" ht="15.75" x14ac:dyDescent="0.2">
      <c r="A33" s="79"/>
      <c r="B33" s="491"/>
      <c r="E33" s="80"/>
      <c r="F33" s="80"/>
    </row>
    <row r="34" spans="1:7" ht="73.5" customHeight="1" x14ac:dyDescent="0.2">
      <c r="A34" s="79" t="s">
        <v>294</v>
      </c>
      <c r="B34" s="491" t="s">
        <v>1104</v>
      </c>
      <c r="C34" s="273"/>
      <c r="D34" s="275" t="s">
        <v>980</v>
      </c>
      <c r="E34" s="80">
        <v>401720.03961157799</v>
      </c>
      <c r="F34" s="80">
        <f>(E34/E$42)*F$42</f>
        <v>411876.86303935124</v>
      </c>
    </row>
    <row r="35" spans="1:7" ht="15.75" x14ac:dyDescent="0.2">
      <c r="A35" s="79"/>
      <c r="B35" s="491"/>
      <c r="E35" s="80"/>
      <c r="F35" s="80"/>
      <c r="G35" s="274"/>
    </row>
    <row r="36" spans="1:7" ht="73.5" customHeight="1" x14ac:dyDescent="0.2">
      <c r="A36" s="79" t="s">
        <v>306</v>
      </c>
      <c r="B36" s="491" t="s">
        <v>1003</v>
      </c>
      <c r="C36" s="273"/>
      <c r="D36" s="275" t="s">
        <v>981</v>
      </c>
      <c r="E36" s="80">
        <v>-4833.6683250665665</v>
      </c>
      <c r="F36" s="80">
        <f>(E36/E$42)*F$42</f>
        <v>-4955.8795937241903</v>
      </c>
    </row>
    <row r="37" spans="1:7" ht="15.75" x14ac:dyDescent="0.2">
      <c r="A37" s="276"/>
      <c r="B37" s="491"/>
      <c r="C37" s="273"/>
      <c r="D37" s="275"/>
      <c r="E37" s="80"/>
      <c r="F37" s="80"/>
    </row>
    <row r="38" spans="1:7" ht="63.75" customHeight="1" x14ac:dyDescent="0.2">
      <c r="A38" s="79" t="s">
        <v>973</v>
      </c>
      <c r="B38" s="491" t="s">
        <v>1004</v>
      </c>
      <c r="C38" s="273"/>
      <c r="D38" s="275" t="s">
        <v>982</v>
      </c>
      <c r="E38" s="80">
        <v>-9905.263112783432</v>
      </c>
      <c r="F38" s="80">
        <f>(E38/E$42)*F$42</f>
        <v>-10155.701225204843</v>
      </c>
    </row>
    <row r="39" spans="1:7" ht="15.75" x14ac:dyDescent="0.2">
      <c r="A39" s="79"/>
      <c r="B39" s="491"/>
      <c r="C39" s="273"/>
      <c r="D39" s="275"/>
      <c r="E39" s="80"/>
      <c r="F39" s="80"/>
    </row>
    <row r="40" spans="1:7" ht="63" x14ac:dyDescent="0.2">
      <c r="A40" s="79" t="s">
        <v>975</v>
      </c>
      <c r="B40" s="491" t="s">
        <v>1005</v>
      </c>
      <c r="C40" s="703"/>
      <c r="D40" s="275" t="s">
        <v>983</v>
      </c>
      <c r="E40" s="80">
        <v>139819.72657608986</v>
      </c>
      <c r="F40" s="80">
        <f>(E40/E$42)*F$42</f>
        <v>143354.83594212</v>
      </c>
    </row>
    <row r="41" spans="1:7" ht="15.75" customHeight="1" x14ac:dyDescent="0.2">
      <c r="A41" s="79"/>
      <c r="B41" s="491"/>
      <c r="C41" s="280"/>
      <c r="D41" s="281"/>
      <c r="E41" s="279"/>
      <c r="F41" s="279"/>
    </row>
    <row r="42" spans="1:7" ht="15.75" customHeight="1" x14ac:dyDescent="0.2">
      <c r="A42" s="708" t="s">
        <v>994</v>
      </c>
      <c r="B42" s="711"/>
      <c r="C42" s="277"/>
      <c r="D42" s="702" t="s">
        <v>984</v>
      </c>
      <c r="E42" s="279">
        <f>SUM(E31:E40)</f>
        <v>244509.08621573483</v>
      </c>
      <c r="F42" s="279">
        <f>'WP-Total Adj with Int'!O60</f>
        <v>250691.09201654239</v>
      </c>
    </row>
    <row r="43" spans="1:7" ht="15.75" customHeight="1" x14ac:dyDescent="0.2">
      <c r="A43" s="488"/>
      <c r="B43" s="489"/>
      <c r="C43" s="280"/>
      <c r="D43" s="281"/>
      <c r="E43" s="279"/>
      <c r="F43" s="279"/>
    </row>
    <row r="44" spans="1:7" ht="20.25" customHeight="1" x14ac:dyDescent="0.2">
      <c r="A44" s="712" t="s">
        <v>312</v>
      </c>
      <c r="B44" s="713"/>
      <c r="E44" s="80"/>
      <c r="F44" s="80"/>
    </row>
    <row r="45" spans="1:7" ht="56.25" customHeight="1" x14ac:dyDescent="0.2">
      <c r="A45" s="276" t="s">
        <v>30</v>
      </c>
      <c r="B45" s="491" t="s">
        <v>1074</v>
      </c>
      <c r="C45" s="273"/>
      <c r="D45" s="275" t="s">
        <v>985</v>
      </c>
      <c r="E45" s="80">
        <v>-267977.54364812374</v>
      </c>
      <c r="F45" s="701">
        <f>(E45/E$55)*F$55</f>
        <v>-270340.72591364657</v>
      </c>
      <c r="G45" s="273"/>
    </row>
    <row r="46" spans="1:7" ht="15.75" x14ac:dyDescent="0.2">
      <c r="A46" s="276"/>
      <c r="B46" s="491"/>
      <c r="C46" s="273"/>
      <c r="D46" s="275"/>
      <c r="E46" s="80"/>
      <c r="F46" s="701"/>
      <c r="G46" s="273"/>
    </row>
    <row r="47" spans="1:7" ht="71.25" customHeight="1" x14ac:dyDescent="0.2">
      <c r="A47" s="79" t="s">
        <v>294</v>
      </c>
      <c r="B47" s="491" t="s">
        <v>1105</v>
      </c>
      <c r="C47" s="273"/>
      <c r="D47" s="275" t="s">
        <v>986</v>
      </c>
      <c r="E47" s="80">
        <v>-18850.37458896637</v>
      </c>
      <c r="F47" s="701">
        <f t="shared" ref="F47:F51" si="1">(E47/E$55)*F$55</f>
        <v>-19016.608185709836</v>
      </c>
    </row>
    <row r="48" spans="1:7" ht="15.75" x14ac:dyDescent="0.2">
      <c r="A48" s="276"/>
      <c r="B48" s="491"/>
      <c r="C48" s="273"/>
      <c r="D48" s="275"/>
      <c r="E48" s="80"/>
      <c r="F48" s="701"/>
    </row>
    <row r="49" spans="1:8" ht="72.75" customHeight="1" x14ac:dyDescent="0.2">
      <c r="A49" s="79" t="s">
        <v>306</v>
      </c>
      <c r="B49" s="491" t="s">
        <v>1006</v>
      </c>
      <c r="C49" s="273"/>
      <c r="D49" s="275" t="s">
        <v>987</v>
      </c>
      <c r="E49" s="80">
        <v>-2676.7302635908127</v>
      </c>
      <c r="F49" s="701">
        <f t="shared" si="1"/>
        <v>-2700.3352321355355</v>
      </c>
    </row>
    <row r="50" spans="1:8" ht="15.75" x14ac:dyDescent="0.2">
      <c r="A50" s="276"/>
      <c r="B50" s="491"/>
      <c r="C50" s="273"/>
      <c r="D50" s="275"/>
      <c r="E50" s="80"/>
      <c r="F50" s="701"/>
    </row>
    <row r="51" spans="1:8" ht="55.5" customHeight="1" x14ac:dyDescent="0.2">
      <c r="A51" s="79" t="s">
        <v>973</v>
      </c>
      <c r="B51" s="491" t="s">
        <v>1007</v>
      </c>
      <c r="C51" s="273"/>
      <c r="D51" s="275" t="s">
        <v>988</v>
      </c>
      <c r="E51" s="80">
        <v>-4912.9059723615646</v>
      </c>
      <c r="F51" s="701">
        <f t="shared" si="1"/>
        <v>-4956.2308424533321</v>
      </c>
      <c r="G51" s="273"/>
      <c r="H51" s="273"/>
    </row>
    <row r="52" spans="1:8" ht="15.75" x14ac:dyDescent="0.2">
      <c r="A52" s="79"/>
      <c r="B52" s="491"/>
      <c r="C52" s="273"/>
      <c r="D52" s="275"/>
      <c r="E52" s="80"/>
      <c r="F52" s="701"/>
    </row>
    <row r="53" spans="1:8" ht="66.75" customHeight="1" x14ac:dyDescent="0.2">
      <c r="A53" s="79" t="s">
        <v>975</v>
      </c>
      <c r="B53" s="491" t="s">
        <v>1008</v>
      </c>
      <c r="C53" s="273"/>
      <c r="D53" s="275" t="s">
        <v>989</v>
      </c>
      <c r="E53" s="80">
        <v>140886.86753857136</v>
      </c>
      <c r="F53" s="701">
        <f>(E53/E$55)*F$55</f>
        <v>142129.29010234182</v>
      </c>
    </row>
    <row r="54" spans="1:8" ht="15.75" x14ac:dyDescent="0.2">
      <c r="A54" s="276"/>
      <c r="B54" s="491"/>
      <c r="C54" s="273"/>
      <c r="D54" s="275"/>
      <c r="E54" s="80"/>
      <c r="F54" s="80"/>
      <c r="G54" s="273"/>
    </row>
    <row r="55" spans="1:8" ht="15.75" customHeight="1" x14ac:dyDescent="0.2">
      <c r="A55" s="708" t="s">
        <v>995</v>
      </c>
      <c r="B55" s="708"/>
      <c r="C55" s="703"/>
      <c r="D55" s="702" t="s">
        <v>990</v>
      </c>
      <c r="E55" s="279">
        <f>SUM(E45:E54)</f>
        <v>-153530.68693447113</v>
      </c>
      <c r="F55" s="279">
        <f>'WP-Total Adj with Int'!S60</f>
        <v>-154884.61007160344</v>
      </c>
      <c r="G55" s="273"/>
    </row>
    <row r="56" spans="1:8" ht="16.5" thickBot="1" x14ac:dyDescent="0.25">
      <c r="A56" s="490"/>
      <c r="B56" s="491"/>
      <c r="C56" s="273"/>
      <c r="D56" s="275"/>
      <c r="F56" s="80"/>
      <c r="G56" s="273"/>
    </row>
    <row r="57" spans="1:8" ht="16.5" customHeight="1" thickBot="1" x14ac:dyDescent="0.25">
      <c r="A57" s="709" t="s">
        <v>996</v>
      </c>
      <c r="B57" s="710"/>
      <c r="C57" s="704"/>
      <c r="D57" s="705" t="s">
        <v>991</v>
      </c>
      <c r="E57" s="282">
        <f>E16+E29+E42+E55</f>
        <v>-58662.290613293299</v>
      </c>
      <c r="F57" s="283">
        <f>F16+F29+F42+F55</f>
        <v>-77804.146130611218</v>
      </c>
      <c r="G57" s="273"/>
    </row>
    <row r="58" spans="1:8" ht="15.75" x14ac:dyDescent="0.2">
      <c r="A58" s="490"/>
      <c r="B58" s="491"/>
      <c r="C58" s="273"/>
      <c r="D58" s="275"/>
      <c r="E58" s="80"/>
      <c r="F58" s="80"/>
      <c r="G58" s="273"/>
    </row>
    <row r="59" spans="1:8" ht="18" customHeight="1" x14ac:dyDescent="0.2">
      <c r="A59" s="77"/>
      <c r="B59" s="489"/>
      <c r="E59" s="80"/>
      <c r="F59" s="80"/>
    </row>
    <row r="60" spans="1:8" ht="21" x14ac:dyDescent="0.2">
      <c r="A60" s="71" t="s">
        <v>316</v>
      </c>
      <c r="B60" s="34"/>
      <c r="C60" s="34"/>
      <c r="D60" s="144"/>
      <c r="E60" s="80"/>
      <c r="F60" s="80"/>
    </row>
    <row r="61" spans="1:8" ht="15.75" x14ac:dyDescent="0.2">
      <c r="A61" s="77"/>
      <c r="B61" s="33"/>
      <c r="E61" s="80"/>
      <c r="F61" s="80"/>
    </row>
    <row r="62" spans="1:8" x14ac:dyDescent="0.2">
      <c r="E62" s="80"/>
      <c r="F62" s="80"/>
    </row>
  </sheetData>
  <mergeCells count="11">
    <mergeCell ref="A55:B55"/>
    <mergeCell ref="A57:B57"/>
    <mergeCell ref="A29:B29"/>
    <mergeCell ref="A18:B18"/>
    <mergeCell ref="A2:B2"/>
    <mergeCell ref="A3:B3"/>
    <mergeCell ref="A31:B31"/>
    <mergeCell ref="A5:B5"/>
    <mergeCell ref="A16:B16"/>
    <mergeCell ref="A44:B44"/>
    <mergeCell ref="A42:B42"/>
  </mergeCells>
  <printOptions horizontalCentered="1"/>
  <pageMargins left="0.7" right="0.7" top="0.75" bottom="0.75" header="0.3" footer="0.3"/>
  <pageSetup scale="71" fitToHeight="0" orientation="landscape" verticalDpi="1200" r:id="rId1"/>
  <headerFooter>
    <oddHeader>&amp;R&amp;8TO12 Draft Annual Update
Attachment 4
WP-Schedule 3-One Time Adj True Up Adj
Page &amp;P of &amp;N</oddHeader>
    <oddFooter>&amp;R&amp;A</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dimension ref="A1:K138"/>
  <sheetViews>
    <sheetView topLeftCell="A118" zoomScale="110" zoomScaleNormal="110" workbookViewId="0">
      <selection activeCell="I61" sqref="I61"/>
    </sheetView>
  </sheetViews>
  <sheetFormatPr defaultRowHeight="12.75" x14ac:dyDescent="0.2"/>
  <cols>
    <col min="1" max="2" width="4.7109375" style="64" customWidth="1"/>
    <col min="3" max="3" width="40.7109375" style="64" customWidth="1"/>
    <col min="4" max="4" width="20.7109375" style="64" customWidth="1"/>
    <col min="5" max="5" width="28.7109375" style="64" customWidth="1"/>
    <col min="6" max="6" width="2.7109375" style="64" customWidth="1"/>
    <col min="7" max="7" width="16.7109375" style="64" customWidth="1"/>
    <col min="8" max="16384" width="9.140625" style="64"/>
  </cols>
  <sheetData>
    <row r="1" spans="1:9" x14ac:dyDescent="0.2">
      <c r="A1" s="109" t="s">
        <v>578</v>
      </c>
      <c r="B1" s="109"/>
    </row>
    <row r="2" spans="1:9" x14ac:dyDescent="0.2">
      <c r="A2" s="109"/>
      <c r="B2" s="109"/>
      <c r="E2" s="90" t="s">
        <v>164</v>
      </c>
    </row>
    <row r="3" spans="1:9" x14ac:dyDescent="0.2">
      <c r="G3" s="149"/>
    </row>
    <row r="4" spans="1:9" x14ac:dyDescent="0.2">
      <c r="A4" s="93"/>
      <c r="B4" s="109" t="s">
        <v>577</v>
      </c>
      <c r="G4" s="149"/>
    </row>
    <row r="5" spans="1:9" x14ac:dyDescent="0.2">
      <c r="A5" s="93"/>
      <c r="C5" s="109"/>
      <c r="D5" s="93"/>
      <c r="E5" s="93" t="s">
        <v>41</v>
      </c>
      <c r="G5" s="139" t="s">
        <v>564</v>
      </c>
    </row>
    <row r="6" spans="1:9" x14ac:dyDescent="0.2">
      <c r="A6" s="122" t="s">
        <v>296</v>
      </c>
      <c r="C6" s="109"/>
      <c r="D6" s="95" t="s">
        <v>45</v>
      </c>
      <c r="E6" s="95" t="s">
        <v>46</v>
      </c>
      <c r="G6" s="95" t="s">
        <v>563</v>
      </c>
    </row>
    <row r="7" spans="1:9" x14ac:dyDescent="0.2">
      <c r="A7" s="93">
        <v>1</v>
      </c>
      <c r="C7" s="434" t="s">
        <v>576</v>
      </c>
      <c r="D7" s="106"/>
      <c r="E7" s="120" t="s">
        <v>1070</v>
      </c>
      <c r="G7" s="135">
        <v>33196491.55973215</v>
      </c>
      <c r="I7" s="99"/>
    </row>
    <row r="8" spans="1:9" x14ac:dyDescent="0.2">
      <c r="A8" s="93">
        <f t="shared" ref="A8:A39" si="0">A7+1</f>
        <v>2</v>
      </c>
      <c r="C8" s="434" t="s">
        <v>575</v>
      </c>
      <c r="D8" s="106"/>
      <c r="E8" s="120" t="s">
        <v>574</v>
      </c>
      <c r="G8" s="436">
        <v>1105580075</v>
      </c>
    </row>
    <row r="9" spans="1:9" x14ac:dyDescent="0.2">
      <c r="A9" s="93">
        <f t="shared" si="0"/>
        <v>3</v>
      </c>
      <c r="C9" s="435" t="s">
        <v>573</v>
      </c>
      <c r="D9" s="106"/>
      <c r="E9" s="120" t="s">
        <v>572</v>
      </c>
      <c r="G9" s="436">
        <v>272353922</v>
      </c>
    </row>
    <row r="10" spans="1:9" x14ac:dyDescent="0.2">
      <c r="A10" s="93">
        <f t="shared" si="0"/>
        <v>4</v>
      </c>
      <c r="C10" s="434" t="s">
        <v>571</v>
      </c>
      <c r="D10" s="106"/>
      <c r="E10" s="120" t="str">
        <f>"Line "&amp;A8&amp;" - Line "&amp;A9&amp;""</f>
        <v>Line 2 - Line 3</v>
      </c>
      <c r="G10" s="98">
        <f>G8-G9</f>
        <v>833226153</v>
      </c>
    </row>
    <row r="11" spans="1:9" x14ac:dyDescent="0.2">
      <c r="A11" s="93">
        <f t="shared" si="0"/>
        <v>5</v>
      </c>
      <c r="C11" s="434" t="s">
        <v>570</v>
      </c>
      <c r="D11" s="106"/>
      <c r="E11" s="120" t="str">
        <f>"20-AandG, Note 2"</f>
        <v>20-AandG, Note 2</v>
      </c>
      <c r="G11" s="97">
        <v>96082577.600000009</v>
      </c>
      <c r="I11" s="99"/>
    </row>
    <row r="12" spans="1:9" x14ac:dyDescent="0.2">
      <c r="A12" s="93">
        <f t="shared" si="0"/>
        <v>6</v>
      </c>
      <c r="C12" s="435" t="s">
        <v>569</v>
      </c>
      <c r="D12" s="106"/>
      <c r="E12" s="120" t="str">
        <f>"20-AandG, Note 2"</f>
        <v>20-AandG, Note 2</v>
      </c>
      <c r="G12" s="118">
        <v>34834007.420800306</v>
      </c>
    </row>
    <row r="13" spans="1:9" x14ac:dyDescent="0.2">
      <c r="A13" s="93">
        <f t="shared" si="0"/>
        <v>7</v>
      </c>
      <c r="C13" s="434" t="s">
        <v>568</v>
      </c>
      <c r="D13" s="106"/>
      <c r="E13" s="120" t="str">
        <f>"Line "&amp;A11&amp;" - Line "&amp;A12&amp;""</f>
        <v>Line 5 - Line 6</v>
      </c>
      <c r="G13" s="98">
        <f>G11-G12</f>
        <v>61248570.179199703</v>
      </c>
    </row>
    <row r="14" spans="1:9" x14ac:dyDescent="0.2">
      <c r="A14" s="93">
        <f t="shared" si="0"/>
        <v>8</v>
      </c>
      <c r="C14" s="434" t="s">
        <v>567</v>
      </c>
      <c r="D14" s="106"/>
      <c r="E14" s="120" t="str">
        <f>"Line "&amp;A10&amp;" + Line "&amp;A13&amp;""</f>
        <v>Line 4 + Line 7</v>
      </c>
      <c r="G14" s="98">
        <f>G10+G13</f>
        <v>894474723.1791997</v>
      </c>
    </row>
    <row r="15" spans="1:9" x14ac:dyDescent="0.2">
      <c r="A15" s="93">
        <f t="shared" si="0"/>
        <v>9</v>
      </c>
      <c r="C15" s="106" t="s">
        <v>566</v>
      </c>
      <c r="D15" s="106"/>
      <c r="E15" s="120" t="str">
        <f>"Line "&amp;A7&amp;" / Line "&amp;A14&amp;""</f>
        <v>Line 1 / Line 8</v>
      </c>
      <c r="G15" s="419">
        <f>G7/G14</f>
        <v>3.7112833598855699E-2</v>
      </c>
    </row>
    <row r="16" spans="1:9" x14ac:dyDescent="0.2">
      <c r="A16" s="93">
        <f t="shared" si="0"/>
        <v>10</v>
      </c>
      <c r="C16" s="106"/>
      <c r="D16" s="106"/>
      <c r="E16" s="106"/>
    </row>
    <row r="17" spans="1:11" x14ac:dyDescent="0.2">
      <c r="A17" s="93">
        <f t="shared" si="0"/>
        <v>11</v>
      </c>
      <c r="B17" s="109" t="s">
        <v>565</v>
      </c>
      <c r="C17" s="106"/>
      <c r="D17" s="106"/>
      <c r="E17" s="106"/>
      <c r="G17" s="149"/>
    </row>
    <row r="18" spans="1:11" x14ac:dyDescent="0.2">
      <c r="A18" s="93">
        <f t="shared" si="0"/>
        <v>12</v>
      </c>
      <c r="C18" s="106"/>
      <c r="D18" s="111"/>
      <c r="E18" s="111" t="s">
        <v>41</v>
      </c>
      <c r="G18" s="139" t="s">
        <v>564</v>
      </c>
    </row>
    <row r="19" spans="1:11" x14ac:dyDescent="0.2">
      <c r="A19" s="93">
        <f t="shared" si="0"/>
        <v>13</v>
      </c>
      <c r="C19" s="106"/>
      <c r="D19" s="63" t="s">
        <v>45</v>
      </c>
      <c r="E19" s="63" t="s">
        <v>46</v>
      </c>
      <c r="G19" s="95" t="s">
        <v>563</v>
      </c>
    </row>
    <row r="20" spans="1:11" x14ac:dyDescent="0.2">
      <c r="A20" s="93">
        <f t="shared" si="0"/>
        <v>14</v>
      </c>
      <c r="C20" s="106" t="s">
        <v>562</v>
      </c>
      <c r="D20" s="106"/>
      <c r="E20" s="120" t="s">
        <v>1056</v>
      </c>
      <c r="G20" s="135">
        <v>4040076848.3843288</v>
      </c>
    </row>
    <row r="21" spans="1:11" x14ac:dyDescent="0.2">
      <c r="A21" s="93">
        <f t="shared" si="0"/>
        <v>15</v>
      </c>
      <c r="C21" s="106" t="s">
        <v>561</v>
      </c>
      <c r="D21" s="106"/>
      <c r="E21" s="120" t="s">
        <v>1057</v>
      </c>
      <c r="G21" s="97">
        <v>6848749.5105547179</v>
      </c>
    </row>
    <row r="22" spans="1:11" x14ac:dyDescent="0.2">
      <c r="A22" s="93">
        <f t="shared" si="0"/>
        <v>16</v>
      </c>
      <c r="C22" s="106" t="s">
        <v>560</v>
      </c>
      <c r="D22" s="106"/>
      <c r="E22" s="120" t="s">
        <v>1011</v>
      </c>
      <c r="G22" s="97">
        <v>1688953361</v>
      </c>
      <c r="H22" s="149"/>
    </row>
    <row r="23" spans="1:11" x14ac:dyDescent="0.2">
      <c r="A23" s="93">
        <f t="shared" si="0"/>
        <v>17</v>
      </c>
      <c r="C23" s="106" t="s">
        <v>559</v>
      </c>
      <c r="D23" s="106"/>
      <c r="E23" s="106" t="str">
        <f>"Line "&amp;A22&amp;" * Line "&amp;A15&amp;""</f>
        <v>Line 16 * Line 9</v>
      </c>
      <c r="G23" s="135">
        <f>G22*G15</f>
        <v>62681845.043021061</v>
      </c>
    </row>
    <row r="24" spans="1:11" x14ac:dyDescent="0.2">
      <c r="A24" s="93">
        <f t="shared" si="0"/>
        <v>18</v>
      </c>
      <c r="C24" s="106" t="s">
        <v>558</v>
      </c>
      <c r="D24" s="106"/>
      <c r="E24" s="120" t="s">
        <v>1012</v>
      </c>
      <c r="G24" s="97">
        <v>2405863603</v>
      </c>
    </row>
    <row r="25" spans="1:11" x14ac:dyDescent="0.2">
      <c r="A25" s="93">
        <f t="shared" si="0"/>
        <v>19</v>
      </c>
      <c r="C25" s="106" t="s">
        <v>557</v>
      </c>
      <c r="D25" s="106"/>
      <c r="E25" s="106" t="str">
        <f>"Line "&amp;A24&amp;" * Line "&amp;A15&amp;""</f>
        <v>Line 18 * Line 9</v>
      </c>
      <c r="G25" s="135">
        <f>G24*G15</f>
        <v>89288415.559682429</v>
      </c>
    </row>
    <row r="26" spans="1:11" x14ac:dyDescent="0.2">
      <c r="A26" s="93">
        <f t="shared" si="0"/>
        <v>20</v>
      </c>
      <c r="C26" s="120" t="s">
        <v>556</v>
      </c>
      <c r="D26" s="106"/>
      <c r="E26" s="106" t="s">
        <v>555</v>
      </c>
      <c r="G26" s="373">
        <v>38274808694</v>
      </c>
    </row>
    <row r="27" spans="1:11" x14ac:dyDescent="0.2">
      <c r="A27" s="93">
        <f t="shared" si="0"/>
        <v>21</v>
      </c>
      <c r="C27" s="106"/>
      <c r="D27" s="106"/>
      <c r="E27" s="106"/>
      <c r="G27" s="149"/>
    </row>
    <row r="28" spans="1:11" x14ac:dyDescent="0.2">
      <c r="A28" s="93">
        <f t="shared" si="0"/>
        <v>22</v>
      </c>
      <c r="C28" s="106" t="s">
        <v>554</v>
      </c>
      <c r="D28" s="106"/>
      <c r="E28" s="120" t="str">
        <f>"(L"&amp;A20&amp;" + L"&amp;A21&amp;" + L"&amp;A23&amp;" + L"&amp;A25&amp;") / L"&amp;A26&amp;""</f>
        <v>(L14 + L15 + L17 + L19) / L20</v>
      </c>
      <c r="G28" s="419">
        <f>(G20+G21+G23+G25)/G26</f>
        <v>0.10970390190757009</v>
      </c>
    </row>
    <row r="29" spans="1:11" x14ac:dyDescent="0.2">
      <c r="A29" s="93">
        <f t="shared" si="0"/>
        <v>23</v>
      </c>
      <c r="C29" s="106"/>
      <c r="D29" s="106"/>
      <c r="E29" s="120"/>
      <c r="G29" s="140"/>
    </row>
    <row r="30" spans="1:11" x14ac:dyDescent="0.2">
      <c r="A30" s="111">
        <f t="shared" si="0"/>
        <v>24</v>
      </c>
      <c r="B30" s="119" t="s">
        <v>553</v>
      </c>
      <c r="C30" s="106"/>
      <c r="D30" s="106"/>
      <c r="E30" s="106"/>
      <c r="F30" s="106"/>
      <c r="G30" s="106"/>
      <c r="H30" s="106"/>
      <c r="I30" s="106"/>
      <c r="J30" s="106"/>
      <c r="K30" s="106"/>
    </row>
    <row r="31" spans="1:11" x14ac:dyDescent="0.2">
      <c r="A31" s="111">
        <f t="shared" si="0"/>
        <v>25</v>
      </c>
      <c r="B31" s="120"/>
      <c r="C31" s="106"/>
      <c r="D31" s="106"/>
      <c r="E31" s="106"/>
      <c r="F31" s="106"/>
      <c r="G31" s="106"/>
      <c r="H31" s="106"/>
      <c r="I31" s="106"/>
      <c r="J31" s="106"/>
      <c r="K31" s="106"/>
    </row>
    <row r="32" spans="1:11" x14ac:dyDescent="0.2">
      <c r="A32" s="111">
        <f t="shared" si="0"/>
        <v>26</v>
      </c>
      <c r="B32" s="106" t="s">
        <v>552</v>
      </c>
      <c r="C32" s="106"/>
      <c r="D32" s="63" t="s">
        <v>455</v>
      </c>
      <c r="E32" s="63" t="s">
        <v>45</v>
      </c>
      <c r="F32" s="106"/>
      <c r="G32" s="133" t="s">
        <v>454</v>
      </c>
      <c r="H32" s="106"/>
      <c r="I32" s="106"/>
      <c r="J32" s="106"/>
      <c r="K32" s="106"/>
    </row>
    <row r="33" spans="1:11" x14ac:dyDescent="0.2">
      <c r="A33" s="111">
        <f t="shared" si="0"/>
        <v>27</v>
      </c>
      <c r="B33" s="106"/>
      <c r="C33" s="120" t="s">
        <v>551</v>
      </c>
      <c r="D33" s="427">
        <v>9573</v>
      </c>
      <c r="E33" s="63"/>
      <c r="F33" s="106"/>
      <c r="G33" s="426" t="s">
        <v>550</v>
      </c>
      <c r="H33" s="106"/>
      <c r="I33" s="106"/>
      <c r="J33" s="138"/>
      <c r="K33" s="106"/>
    </row>
    <row r="34" spans="1:11" x14ac:dyDescent="0.2">
      <c r="A34" s="111">
        <f t="shared" si="0"/>
        <v>28</v>
      </c>
      <c r="B34" s="106"/>
      <c r="C34" s="106" t="s">
        <v>549</v>
      </c>
      <c r="D34" s="427">
        <v>7360</v>
      </c>
      <c r="E34" s="63"/>
      <c r="F34" s="106"/>
      <c r="G34" s="426" t="s">
        <v>548</v>
      </c>
      <c r="H34" s="106"/>
      <c r="I34" s="106"/>
      <c r="J34" s="106"/>
      <c r="K34" s="106"/>
    </row>
    <row r="35" spans="1:11" x14ac:dyDescent="0.2">
      <c r="A35" s="111">
        <f t="shared" si="0"/>
        <v>29</v>
      </c>
      <c r="B35" s="106"/>
      <c r="C35" s="106" t="s">
        <v>547</v>
      </c>
      <c r="D35" s="425">
        <f>SUM(D33:D34)</f>
        <v>16933</v>
      </c>
      <c r="E35" s="120" t="str">
        <f>" = L"&amp;A33&amp;" + L"&amp;A34&amp;""</f>
        <v xml:space="preserve"> = L27 + L28</v>
      </c>
      <c r="F35" s="106"/>
      <c r="G35" s="426" t="s">
        <v>546</v>
      </c>
      <c r="H35" s="106"/>
      <c r="I35" s="106"/>
      <c r="J35" s="106"/>
      <c r="K35" s="106"/>
    </row>
    <row r="36" spans="1:11" x14ac:dyDescent="0.2">
      <c r="A36" s="111">
        <f t="shared" si="0"/>
        <v>30</v>
      </c>
      <c r="B36" s="106"/>
      <c r="C36" s="120" t="s">
        <v>545</v>
      </c>
      <c r="D36" s="423">
        <f>D33/D35</f>
        <v>0.56534577452312051</v>
      </c>
      <c r="E36" s="120" t="str">
        <f>" = L"&amp;A33&amp;" / L"&amp;A35&amp;""</f>
        <v xml:space="preserve"> = L27 / L29</v>
      </c>
      <c r="F36" s="106"/>
      <c r="G36" s="132"/>
      <c r="H36" s="106"/>
      <c r="I36" s="106"/>
      <c r="J36" s="106"/>
      <c r="K36" s="106"/>
    </row>
    <row r="37" spans="1:11" x14ac:dyDescent="0.2">
      <c r="A37" s="111">
        <f t="shared" si="0"/>
        <v>31</v>
      </c>
      <c r="B37" s="106"/>
      <c r="C37" s="106"/>
      <c r="D37" s="106"/>
      <c r="E37" s="106"/>
      <c r="F37" s="106"/>
      <c r="G37" s="132"/>
      <c r="H37" s="106"/>
      <c r="I37" s="106"/>
      <c r="J37" s="106"/>
      <c r="K37" s="106"/>
    </row>
    <row r="38" spans="1:11" x14ac:dyDescent="0.2">
      <c r="A38" s="111">
        <f t="shared" si="0"/>
        <v>32</v>
      </c>
      <c r="B38" s="120" t="s">
        <v>544</v>
      </c>
      <c r="C38" s="106"/>
      <c r="D38" s="63" t="s">
        <v>455</v>
      </c>
      <c r="E38" s="63" t="s">
        <v>45</v>
      </c>
      <c r="F38" s="106"/>
      <c r="G38" s="133" t="s">
        <v>454</v>
      </c>
      <c r="H38" s="106"/>
      <c r="I38" s="106"/>
      <c r="J38" s="106"/>
      <c r="K38" s="106"/>
    </row>
    <row r="39" spans="1:11" x14ac:dyDescent="0.2">
      <c r="A39" s="111">
        <f t="shared" si="0"/>
        <v>33</v>
      </c>
      <c r="B39" s="106"/>
      <c r="C39" s="120" t="s">
        <v>543</v>
      </c>
      <c r="D39" s="427">
        <v>238</v>
      </c>
      <c r="E39" s="63"/>
      <c r="F39" s="106"/>
      <c r="G39" s="426" t="s">
        <v>542</v>
      </c>
      <c r="H39" s="106"/>
      <c r="I39" s="106"/>
      <c r="J39" s="106"/>
      <c r="K39" s="106"/>
    </row>
    <row r="40" spans="1:11" x14ac:dyDescent="0.2">
      <c r="A40" s="111">
        <f t="shared" ref="A40:A71" si="1">A39+1</f>
        <v>34</v>
      </c>
      <c r="B40" s="106"/>
      <c r="C40" s="120" t="s">
        <v>541</v>
      </c>
      <c r="D40" s="427">
        <v>970</v>
      </c>
      <c r="E40" s="63"/>
      <c r="F40" s="106"/>
      <c r="G40" s="106"/>
      <c r="H40" s="106"/>
      <c r="I40" s="106"/>
      <c r="J40" s="106"/>
      <c r="K40" s="106"/>
    </row>
    <row r="41" spans="1:11" x14ac:dyDescent="0.2">
      <c r="A41" s="111">
        <f t="shared" si="1"/>
        <v>35</v>
      </c>
      <c r="B41" s="106"/>
      <c r="C41" s="120" t="s">
        <v>540</v>
      </c>
      <c r="D41" s="425">
        <f>SUM(D39:D40)</f>
        <v>1208</v>
      </c>
      <c r="E41" s="120" t="str">
        <f>" = L"&amp;A39&amp;" + L"&amp;A40&amp;""</f>
        <v xml:space="preserve"> = L33 + L34</v>
      </c>
      <c r="F41" s="106"/>
      <c r="G41" s="106"/>
      <c r="H41" s="106"/>
      <c r="I41" s="106"/>
      <c r="J41" s="106"/>
      <c r="K41" s="106"/>
    </row>
    <row r="42" spans="1:11" x14ac:dyDescent="0.2">
      <c r="A42" s="111">
        <f t="shared" si="1"/>
        <v>36</v>
      </c>
      <c r="B42" s="106"/>
      <c r="C42" s="120" t="s">
        <v>539</v>
      </c>
      <c r="D42" s="423">
        <f>D39/D41</f>
        <v>0.19701986754966888</v>
      </c>
      <c r="E42" s="120" t="str">
        <f>" = L"&amp;A39&amp;" / L"&amp;A41&amp;""</f>
        <v xml:space="preserve"> = L33 / L35</v>
      </c>
      <c r="F42" s="106"/>
      <c r="G42" s="106"/>
      <c r="H42" s="106"/>
      <c r="I42" s="106"/>
      <c r="J42" s="106"/>
      <c r="K42" s="106"/>
    </row>
    <row r="43" spans="1:11" x14ac:dyDescent="0.2">
      <c r="A43" s="111">
        <f t="shared" si="1"/>
        <v>37</v>
      </c>
      <c r="B43" s="106"/>
      <c r="C43" s="106"/>
      <c r="D43" s="106"/>
      <c r="E43" s="106"/>
      <c r="F43" s="106"/>
      <c r="G43" s="106"/>
      <c r="H43" s="106"/>
      <c r="I43" s="106"/>
      <c r="J43" s="106"/>
      <c r="K43" s="106"/>
    </row>
    <row r="44" spans="1:11" x14ac:dyDescent="0.2">
      <c r="A44" s="111">
        <f t="shared" si="1"/>
        <v>38</v>
      </c>
      <c r="B44" s="120" t="s">
        <v>538</v>
      </c>
      <c r="C44" s="106"/>
      <c r="D44" s="63" t="s">
        <v>455</v>
      </c>
      <c r="E44" s="63" t="s">
        <v>45</v>
      </c>
      <c r="F44" s="106"/>
      <c r="G44" s="133" t="s">
        <v>454</v>
      </c>
      <c r="H44" s="106"/>
      <c r="I44" s="106"/>
      <c r="J44" s="106"/>
      <c r="K44" s="106"/>
    </row>
    <row r="45" spans="1:11" x14ac:dyDescent="0.2">
      <c r="A45" s="111">
        <f t="shared" si="1"/>
        <v>39</v>
      </c>
      <c r="B45" s="106"/>
      <c r="C45" s="120" t="s">
        <v>537</v>
      </c>
      <c r="D45" s="427">
        <v>650</v>
      </c>
      <c r="E45" s="63"/>
      <c r="F45" s="106"/>
      <c r="G45" s="426" t="s">
        <v>536</v>
      </c>
      <c r="H45" s="106"/>
      <c r="I45" s="106"/>
      <c r="J45" s="106"/>
      <c r="K45" s="106"/>
    </row>
    <row r="46" spans="1:11" x14ac:dyDescent="0.2">
      <c r="A46" s="111">
        <f t="shared" si="1"/>
        <v>40</v>
      </c>
      <c r="B46" s="106"/>
      <c r="C46" s="120" t="s">
        <v>535</v>
      </c>
      <c r="D46" s="427">
        <v>2530</v>
      </c>
      <c r="E46" s="63"/>
      <c r="F46" s="106"/>
      <c r="G46" s="106"/>
      <c r="H46" s="106"/>
      <c r="I46" s="106"/>
      <c r="J46" s="106"/>
      <c r="K46" s="106"/>
    </row>
    <row r="47" spans="1:11" x14ac:dyDescent="0.2">
      <c r="A47" s="111">
        <f t="shared" si="1"/>
        <v>41</v>
      </c>
      <c r="B47" s="106"/>
      <c r="C47" s="120" t="s">
        <v>534</v>
      </c>
      <c r="D47" s="425">
        <f>SUM(D45:D46)</f>
        <v>3180</v>
      </c>
      <c r="E47" s="120" t="str">
        <f>" = L"&amp;A45&amp;" + L"&amp;A46&amp;""</f>
        <v xml:space="preserve"> = L39 + L40</v>
      </c>
      <c r="F47" s="106"/>
      <c r="G47" s="106"/>
      <c r="H47" s="106"/>
      <c r="I47" s="106"/>
      <c r="J47" s="106"/>
      <c r="K47" s="106"/>
    </row>
    <row r="48" spans="1:11" x14ac:dyDescent="0.2">
      <c r="A48" s="111">
        <f t="shared" si="1"/>
        <v>42</v>
      </c>
      <c r="B48" s="106"/>
      <c r="C48" s="120" t="s">
        <v>533</v>
      </c>
      <c r="D48" s="423">
        <f>D45/D47</f>
        <v>0.20440251572327045</v>
      </c>
      <c r="E48" s="120" t="str">
        <f>" = L"&amp;A45&amp;" / L"&amp;A47&amp;""</f>
        <v xml:space="preserve"> = L39 / L41</v>
      </c>
      <c r="F48" s="106"/>
      <c r="G48" s="106"/>
      <c r="H48" s="106"/>
      <c r="I48" s="106"/>
      <c r="J48" s="106"/>
      <c r="K48" s="106"/>
    </row>
    <row r="49" spans="1:11" x14ac:dyDescent="0.2">
      <c r="A49" s="111">
        <f t="shared" si="1"/>
        <v>43</v>
      </c>
      <c r="B49" s="106"/>
      <c r="C49" s="106"/>
      <c r="D49" s="106"/>
      <c r="E49" s="106"/>
      <c r="F49" s="106"/>
      <c r="G49" s="106"/>
      <c r="H49" s="106"/>
      <c r="I49" s="106"/>
      <c r="J49" s="106"/>
      <c r="K49" s="106"/>
    </row>
    <row r="50" spans="1:11" ht="13.5" thickBot="1" x14ac:dyDescent="0.25">
      <c r="A50" s="111">
        <f t="shared" si="1"/>
        <v>44</v>
      </c>
      <c r="B50" s="120" t="s">
        <v>532</v>
      </c>
      <c r="C50" s="106"/>
      <c r="D50" s="433" t="s">
        <v>455</v>
      </c>
      <c r="E50" s="63" t="s">
        <v>45</v>
      </c>
      <c r="F50" s="106"/>
      <c r="G50" s="133" t="s">
        <v>454</v>
      </c>
      <c r="H50" s="106"/>
      <c r="I50" s="106"/>
      <c r="J50" s="106"/>
      <c r="K50" s="106"/>
    </row>
    <row r="51" spans="1:11" ht="13.5" thickBot="1" x14ac:dyDescent="0.25">
      <c r="A51" s="111">
        <f t="shared" si="1"/>
        <v>45</v>
      </c>
      <c r="B51" s="106"/>
      <c r="C51" s="432" t="s">
        <v>531</v>
      </c>
      <c r="D51" s="430">
        <v>5776.8630000000003</v>
      </c>
      <c r="E51" s="63"/>
      <c r="F51" s="106"/>
      <c r="G51" s="426" t="s">
        <v>530</v>
      </c>
      <c r="H51" s="106"/>
      <c r="I51" s="106"/>
      <c r="J51" s="106"/>
      <c r="K51" s="106"/>
    </row>
    <row r="52" spans="1:11" ht="13.5" thickBot="1" x14ac:dyDescent="0.25">
      <c r="A52" s="111">
        <f t="shared" si="1"/>
        <v>46</v>
      </c>
      <c r="B52" s="106"/>
      <c r="C52" s="432" t="s">
        <v>529</v>
      </c>
      <c r="D52" s="430">
        <v>6029.1369999999997</v>
      </c>
      <c r="E52" s="63"/>
      <c r="F52" s="106"/>
      <c r="G52" s="426" t="s">
        <v>528</v>
      </c>
      <c r="H52" s="106"/>
      <c r="I52" s="106"/>
      <c r="J52" s="106"/>
      <c r="K52" s="106"/>
    </row>
    <row r="53" spans="1:11" x14ac:dyDescent="0.2">
      <c r="A53" s="111">
        <f t="shared" si="1"/>
        <v>47</v>
      </c>
      <c r="B53" s="106"/>
      <c r="C53" s="120" t="s">
        <v>527</v>
      </c>
      <c r="D53" s="425">
        <f>SUM(D51:D52)</f>
        <v>11806</v>
      </c>
      <c r="E53" s="120" t="str">
        <f>" = L"&amp;A51&amp;" + L"&amp;A52&amp;""</f>
        <v xml:space="preserve"> = L45 + L46</v>
      </c>
      <c r="F53" s="106"/>
      <c r="G53" s="426" t="s">
        <v>526</v>
      </c>
      <c r="H53" s="106"/>
      <c r="I53" s="106"/>
      <c r="J53" s="106"/>
      <c r="K53" s="106"/>
    </row>
    <row r="54" spans="1:11" x14ac:dyDescent="0.2">
      <c r="A54" s="111">
        <f t="shared" si="1"/>
        <v>48</v>
      </c>
      <c r="B54" s="106"/>
      <c r="C54" s="120" t="s">
        <v>525</v>
      </c>
      <c r="D54" s="428">
        <f>D51/D53</f>
        <v>0.48931585634423175</v>
      </c>
      <c r="E54" s="120" t="str">
        <f>" = L"&amp;A51&amp;" / L"&amp;A53&amp;""</f>
        <v xml:space="preserve"> = L45 / L47</v>
      </c>
      <c r="F54" s="106"/>
      <c r="G54" s="426" t="s">
        <v>524</v>
      </c>
      <c r="H54" s="106"/>
      <c r="I54" s="106"/>
      <c r="J54" s="106"/>
      <c r="K54" s="106"/>
    </row>
    <row r="55" spans="1:11" x14ac:dyDescent="0.2">
      <c r="A55" s="111">
        <f t="shared" si="1"/>
        <v>49</v>
      </c>
      <c r="B55" s="63"/>
      <c r="C55" s="63"/>
      <c r="D55" s="106"/>
      <c r="E55" s="63"/>
      <c r="F55" s="106"/>
      <c r="G55" s="63"/>
      <c r="H55" s="106"/>
      <c r="I55" s="106"/>
      <c r="J55" s="106"/>
      <c r="K55" s="106"/>
    </row>
    <row r="56" spans="1:11" x14ac:dyDescent="0.2">
      <c r="A56" s="111">
        <f t="shared" si="1"/>
        <v>50</v>
      </c>
      <c r="B56" s="120" t="s">
        <v>523</v>
      </c>
      <c r="C56" s="106"/>
      <c r="D56" s="63" t="s">
        <v>455</v>
      </c>
      <c r="E56" s="63" t="s">
        <v>45</v>
      </c>
      <c r="F56" s="106"/>
      <c r="G56" s="133" t="s">
        <v>454</v>
      </c>
      <c r="H56" s="106"/>
      <c r="I56" s="106"/>
      <c r="J56" s="106"/>
      <c r="K56" s="106"/>
    </row>
    <row r="57" spans="1:11" x14ac:dyDescent="0.2">
      <c r="A57" s="111">
        <f t="shared" si="1"/>
        <v>51</v>
      </c>
      <c r="B57" s="424"/>
      <c r="C57" s="120" t="s">
        <v>522</v>
      </c>
      <c r="D57" s="427">
        <v>6</v>
      </c>
      <c r="E57" s="63"/>
      <c r="F57" s="106"/>
      <c r="G57" s="426" t="s">
        <v>521</v>
      </c>
      <c r="H57" s="106"/>
      <c r="I57" s="106"/>
      <c r="J57" s="106"/>
      <c r="K57" s="106"/>
    </row>
    <row r="58" spans="1:11" x14ac:dyDescent="0.2">
      <c r="A58" s="111">
        <f t="shared" si="1"/>
        <v>52</v>
      </c>
      <c r="B58" s="424"/>
      <c r="C58" s="120" t="s">
        <v>520</v>
      </c>
      <c r="D58" s="427">
        <v>344</v>
      </c>
      <c r="E58" s="63"/>
      <c r="F58" s="106"/>
      <c r="G58" s="426" t="s">
        <v>519</v>
      </c>
      <c r="H58" s="106"/>
      <c r="I58" s="106"/>
      <c r="J58" s="106"/>
      <c r="K58" s="106"/>
    </row>
    <row r="59" spans="1:11" x14ac:dyDescent="0.2">
      <c r="A59" s="111">
        <f t="shared" si="1"/>
        <v>53</v>
      </c>
      <c r="B59" s="424"/>
      <c r="C59" s="120" t="s">
        <v>518</v>
      </c>
      <c r="D59" s="425">
        <f>SUM(D57:D58)</f>
        <v>350</v>
      </c>
      <c r="E59" s="120" t="str">
        <f>" = L"&amp;A57&amp;" + L"&amp;A58&amp;""</f>
        <v xml:space="preserve"> = L51 + L52</v>
      </c>
      <c r="F59" s="106"/>
      <c r="G59" s="106"/>
      <c r="H59" s="106"/>
      <c r="I59" s="106"/>
      <c r="J59" s="106"/>
      <c r="K59" s="106"/>
    </row>
    <row r="60" spans="1:11" x14ac:dyDescent="0.2">
      <c r="A60" s="111">
        <f t="shared" si="1"/>
        <v>54</v>
      </c>
      <c r="B60" s="424"/>
      <c r="C60" s="120" t="s">
        <v>517</v>
      </c>
      <c r="D60" s="423">
        <f>D57/D59</f>
        <v>1.7142857142857144E-2</v>
      </c>
      <c r="E60" s="120" t="str">
        <f>" = L"&amp;A57&amp;" / L"&amp;A59&amp;""</f>
        <v xml:space="preserve"> = L51 / L53</v>
      </c>
      <c r="F60" s="106"/>
      <c r="G60" s="106"/>
      <c r="H60" s="106"/>
      <c r="I60" s="106"/>
      <c r="J60" s="106"/>
      <c r="K60" s="106"/>
    </row>
    <row r="61" spans="1:11" x14ac:dyDescent="0.2">
      <c r="A61" s="111">
        <f t="shared" si="1"/>
        <v>55</v>
      </c>
      <c r="B61" s="424"/>
      <c r="C61" s="100"/>
      <c r="D61" s="106"/>
      <c r="E61" s="63"/>
      <c r="F61" s="106"/>
      <c r="G61" s="97"/>
      <c r="H61" s="106"/>
      <c r="I61" s="106"/>
      <c r="J61" s="106"/>
      <c r="K61" s="106"/>
    </row>
    <row r="62" spans="1:11" x14ac:dyDescent="0.2">
      <c r="A62" s="111">
        <f t="shared" si="1"/>
        <v>56</v>
      </c>
      <c r="B62" s="120" t="s">
        <v>516</v>
      </c>
      <c r="C62" s="106"/>
      <c r="D62" s="63" t="s">
        <v>455</v>
      </c>
      <c r="E62" s="63" t="s">
        <v>45</v>
      </c>
      <c r="F62" s="106"/>
      <c r="G62" s="133" t="s">
        <v>454</v>
      </c>
      <c r="H62" s="106"/>
      <c r="I62" s="106"/>
      <c r="J62" s="106"/>
      <c r="K62" s="106"/>
    </row>
    <row r="63" spans="1:11" x14ac:dyDescent="0.2">
      <c r="A63" s="111">
        <f t="shared" si="1"/>
        <v>57</v>
      </c>
      <c r="B63" s="424"/>
      <c r="C63" s="120" t="s">
        <v>515</v>
      </c>
      <c r="D63" s="427">
        <v>5401032</v>
      </c>
      <c r="E63" s="63"/>
      <c r="F63" s="106"/>
      <c r="G63" s="426" t="s">
        <v>514</v>
      </c>
      <c r="H63" s="106"/>
      <c r="I63" s="106"/>
      <c r="J63" s="106"/>
      <c r="K63" s="106"/>
    </row>
    <row r="64" spans="1:11" x14ac:dyDescent="0.2">
      <c r="A64" s="111">
        <f t="shared" si="1"/>
        <v>58</v>
      </c>
      <c r="B64" s="424"/>
      <c r="C64" s="120" t="s">
        <v>513</v>
      </c>
      <c r="D64" s="427">
        <v>2565686</v>
      </c>
      <c r="E64" s="63"/>
      <c r="F64" s="106"/>
      <c r="G64" s="426"/>
      <c r="H64" s="106"/>
      <c r="I64" s="106"/>
      <c r="J64" s="106"/>
      <c r="K64" s="106"/>
    </row>
    <row r="65" spans="1:11" x14ac:dyDescent="0.2">
      <c r="A65" s="111">
        <f t="shared" si="1"/>
        <v>59</v>
      </c>
      <c r="B65" s="424"/>
      <c r="C65" s="120" t="s">
        <v>512</v>
      </c>
      <c r="D65" s="425">
        <f>SUM(D63:D64)</f>
        <v>7966718</v>
      </c>
      <c r="E65" s="120" t="str">
        <f>" = L"&amp;A63&amp;" + L"&amp;A64&amp;""</f>
        <v xml:space="preserve"> = L57 + L58</v>
      </c>
      <c r="F65" s="106"/>
      <c r="G65" s="106"/>
      <c r="H65" s="106"/>
      <c r="I65" s="106"/>
      <c r="J65" s="106"/>
      <c r="K65" s="106"/>
    </row>
    <row r="66" spans="1:11" x14ac:dyDescent="0.2">
      <c r="A66" s="111">
        <f t="shared" si="1"/>
        <v>60</v>
      </c>
      <c r="B66" s="424"/>
      <c r="C66" s="120" t="s">
        <v>511</v>
      </c>
      <c r="D66" s="423">
        <f>D63/D65</f>
        <v>0.67794943915424144</v>
      </c>
      <c r="E66" s="120" t="str">
        <f>" = L"&amp;A63&amp;" / L"&amp;A65&amp;""</f>
        <v xml:space="preserve"> = L57 / L59</v>
      </c>
      <c r="F66" s="106"/>
      <c r="G66" s="106"/>
      <c r="H66" s="106"/>
      <c r="I66" s="106"/>
      <c r="J66" s="106"/>
      <c r="K66" s="106"/>
    </row>
    <row r="67" spans="1:11" x14ac:dyDescent="0.2">
      <c r="A67" s="111">
        <f t="shared" si="1"/>
        <v>61</v>
      </c>
      <c r="B67" s="431"/>
      <c r="C67" s="63"/>
      <c r="D67" s="106"/>
      <c r="E67" s="423"/>
      <c r="F67" s="106"/>
      <c r="G67" s="106"/>
      <c r="H67" s="106"/>
      <c r="I67" s="106"/>
      <c r="J67" s="106"/>
      <c r="K67" s="106"/>
    </row>
    <row r="68" spans="1:11" x14ac:dyDescent="0.2">
      <c r="A68" s="111">
        <f t="shared" si="1"/>
        <v>62</v>
      </c>
      <c r="B68" s="120" t="s">
        <v>510</v>
      </c>
      <c r="C68" s="106"/>
      <c r="D68" s="63" t="s">
        <v>455</v>
      </c>
      <c r="E68" s="63" t="s">
        <v>45</v>
      </c>
      <c r="F68" s="106"/>
      <c r="G68" s="133" t="s">
        <v>454</v>
      </c>
      <c r="H68" s="106"/>
      <c r="I68" s="106"/>
      <c r="J68" s="106"/>
      <c r="K68" s="106"/>
    </row>
    <row r="69" spans="1:11" x14ac:dyDescent="0.2">
      <c r="A69" s="111">
        <f t="shared" si="1"/>
        <v>63</v>
      </c>
      <c r="B69" s="424"/>
      <c r="C69" s="120" t="s">
        <v>509</v>
      </c>
      <c r="D69" s="427">
        <v>377.3</v>
      </c>
      <c r="E69" s="63"/>
      <c r="F69" s="106"/>
      <c r="G69" s="426" t="s">
        <v>508</v>
      </c>
      <c r="H69" s="106"/>
      <c r="I69" s="106"/>
      <c r="J69" s="106"/>
      <c r="K69" s="106"/>
    </row>
    <row r="70" spans="1:11" x14ac:dyDescent="0.2">
      <c r="A70" s="111">
        <f t="shared" si="1"/>
        <v>64</v>
      </c>
      <c r="B70" s="424"/>
      <c r="C70" s="120" t="s">
        <v>507</v>
      </c>
      <c r="D70" s="427">
        <v>38.300000000000011</v>
      </c>
      <c r="E70" s="63"/>
      <c r="F70" s="106"/>
      <c r="G70" s="426"/>
      <c r="H70" s="106"/>
      <c r="I70" s="106"/>
      <c r="J70" s="106"/>
      <c r="K70" s="106"/>
    </row>
    <row r="71" spans="1:11" x14ac:dyDescent="0.2">
      <c r="A71" s="111">
        <f t="shared" si="1"/>
        <v>65</v>
      </c>
      <c r="B71" s="424"/>
      <c r="C71" s="120" t="s">
        <v>506</v>
      </c>
      <c r="D71" s="425">
        <f>SUM(D69:D70)</f>
        <v>415.6</v>
      </c>
      <c r="E71" s="120" t="str">
        <f>" = L"&amp;A69&amp;" + L"&amp;A70&amp;""</f>
        <v xml:space="preserve"> = L63 + L64</v>
      </c>
      <c r="F71" s="106"/>
      <c r="G71" s="106"/>
      <c r="H71" s="106"/>
      <c r="I71" s="106"/>
      <c r="J71" s="106"/>
      <c r="K71" s="106"/>
    </row>
    <row r="72" spans="1:11" x14ac:dyDescent="0.2">
      <c r="A72" s="111">
        <f t="shared" ref="A72:A103" si="2">A71+1</f>
        <v>66</v>
      </c>
      <c r="B72" s="424"/>
      <c r="C72" s="120" t="s">
        <v>505</v>
      </c>
      <c r="D72" s="423">
        <f>D69/D71</f>
        <v>0.90784408084696822</v>
      </c>
      <c r="E72" s="120" t="str">
        <f>" = L"&amp;A69&amp;" / L"&amp;A71&amp;""</f>
        <v xml:space="preserve"> = L63 / L65</v>
      </c>
      <c r="F72" s="106"/>
      <c r="G72" s="106"/>
      <c r="H72" s="106"/>
      <c r="I72" s="106"/>
      <c r="J72" s="106"/>
      <c r="K72" s="106"/>
    </row>
    <row r="73" spans="1:11" x14ac:dyDescent="0.2">
      <c r="A73" s="111">
        <f t="shared" si="2"/>
        <v>67</v>
      </c>
      <c r="B73" s="119"/>
      <c r="C73" s="106"/>
      <c r="D73" s="106"/>
      <c r="E73" s="106"/>
      <c r="F73" s="106"/>
      <c r="G73" s="106"/>
      <c r="H73" s="106"/>
      <c r="I73" s="106"/>
      <c r="J73" s="106"/>
      <c r="K73" s="106"/>
    </row>
    <row r="74" spans="1:11" x14ac:dyDescent="0.2">
      <c r="A74" s="111">
        <f t="shared" si="2"/>
        <v>68</v>
      </c>
      <c r="B74" s="120" t="s">
        <v>504</v>
      </c>
      <c r="C74" s="106"/>
      <c r="D74" s="63" t="s">
        <v>455</v>
      </c>
      <c r="E74" s="63" t="s">
        <v>45</v>
      </c>
      <c r="F74" s="106"/>
      <c r="G74" s="133" t="s">
        <v>454</v>
      </c>
      <c r="H74" s="106"/>
      <c r="I74" s="106"/>
      <c r="J74" s="106"/>
      <c r="K74" s="106"/>
    </row>
    <row r="75" spans="1:11" x14ac:dyDescent="0.2">
      <c r="A75" s="111">
        <f t="shared" si="2"/>
        <v>69</v>
      </c>
      <c r="B75" s="424"/>
      <c r="C75" s="120" t="s">
        <v>503</v>
      </c>
      <c r="D75" s="427">
        <v>106</v>
      </c>
      <c r="E75" s="63"/>
      <c r="F75" s="106"/>
      <c r="G75" s="426" t="s">
        <v>502</v>
      </c>
      <c r="H75" s="106"/>
      <c r="I75" s="106"/>
      <c r="J75" s="106"/>
      <c r="K75" s="106"/>
    </row>
    <row r="76" spans="1:11" x14ac:dyDescent="0.2">
      <c r="A76" s="111">
        <f t="shared" si="2"/>
        <v>70</v>
      </c>
      <c r="B76" s="424"/>
      <c r="C76" s="120" t="s">
        <v>501</v>
      </c>
      <c r="D76" s="427">
        <v>365</v>
      </c>
      <c r="E76" s="63"/>
      <c r="F76" s="106"/>
      <c r="G76" s="426"/>
      <c r="H76" s="106"/>
      <c r="I76" s="106"/>
      <c r="J76" s="106"/>
      <c r="K76" s="106"/>
    </row>
    <row r="77" spans="1:11" x14ac:dyDescent="0.2">
      <c r="A77" s="111">
        <f t="shared" si="2"/>
        <v>71</v>
      </c>
      <c r="B77" s="424"/>
      <c r="C77" s="120" t="s">
        <v>500</v>
      </c>
      <c r="D77" s="425">
        <f>SUM(D75:D76)</f>
        <v>471</v>
      </c>
      <c r="E77" s="120" t="str">
        <f>" = L"&amp;A75&amp;" + L"&amp;A76&amp;""</f>
        <v xml:space="preserve"> = L69 + L70</v>
      </c>
      <c r="F77" s="106"/>
      <c r="G77" s="106"/>
      <c r="H77" s="106"/>
      <c r="I77" s="106"/>
      <c r="J77" s="106"/>
      <c r="K77" s="106"/>
    </row>
    <row r="78" spans="1:11" x14ac:dyDescent="0.2">
      <c r="A78" s="111">
        <f t="shared" si="2"/>
        <v>72</v>
      </c>
      <c r="B78" s="424"/>
      <c r="C78" s="120" t="s">
        <v>499</v>
      </c>
      <c r="D78" s="423">
        <f>D75/D77</f>
        <v>0.22505307855626328</v>
      </c>
      <c r="E78" s="120" t="str">
        <f>" = L"&amp;A75&amp;" / L"&amp;A77&amp;""</f>
        <v xml:space="preserve"> = L69 / L71</v>
      </c>
      <c r="F78" s="106"/>
      <c r="G78" s="106"/>
      <c r="H78" s="106"/>
      <c r="I78" s="106"/>
      <c r="J78" s="106"/>
      <c r="K78" s="106"/>
    </row>
    <row r="79" spans="1:11" x14ac:dyDescent="0.2">
      <c r="A79" s="111">
        <f t="shared" si="2"/>
        <v>73</v>
      </c>
      <c r="B79" s="106"/>
      <c r="C79" s="106"/>
      <c r="D79" s="106"/>
      <c r="E79" s="106"/>
      <c r="F79" s="106"/>
      <c r="G79" s="106"/>
      <c r="H79" s="106"/>
      <c r="I79" s="106"/>
      <c r="J79" s="106"/>
      <c r="K79" s="106"/>
    </row>
    <row r="80" spans="1:11" x14ac:dyDescent="0.2">
      <c r="A80" s="111">
        <f t="shared" si="2"/>
        <v>74</v>
      </c>
      <c r="B80" s="120" t="s">
        <v>498</v>
      </c>
      <c r="C80" s="106"/>
      <c r="D80" s="63" t="s">
        <v>455</v>
      </c>
      <c r="E80" s="63" t="s">
        <v>45</v>
      </c>
      <c r="F80" s="106"/>
      <c r="G80" s="133" t="s">
        <v>454</v>
      </c>
      <c r="H80" s="106"/>
      <c r="I80" s="106"/>
      <c r="J80" s="106"/>
      <c r="K80" s="106"/>
    </row>
    <row r="81" spans="1:11" x14ac:dyDescent="0.2">
      <c r="A81" s="111">
        <f t="shared" si="2"/>
        <v>75</v>
      </c>
      <c r="B81" s="424"/>
      <c r="C81" s="120" t="s">
        <v>497</v>
      </c>
      <c r="D81" s="427">
        <v>861</v>
      </c>
      <c r="E81" s="63"/>
      <c r="F81" s="106"/>
      <c r="G81" s="426" t="s">
        <v>496</v>
      </c>
      <c r="H81" s="106"/>
      <c r="I81" s="106"/>
      <c r="J81" s="106"/>
      <c r="K81" s="106"/>
    </row>
    <row r="82" spans="1:11" x14ac:dyDescent="0.2">
      <c r="A82" s="111">
        <f t="shared" si="2"/>
        <v>76</v>
      </c>
      <c r="B82" s="424"/>
      <c r="C82" s="120" t="s">
        <v>495</v>
      </c>
      <c r="D82" s="427">
        <v>1973</v>
      </c>
      <c r="E82" s="63"/>
      <c r="F82" s="106"/>
      <c r="G82" s="426"/>
      <c r="H82" s="106"/>
      <c r="I82" s="106"/>
      <c r="J82" s="106"/>
      <c r="K82" s="106"/>
    </row>
    <row r="83" spans="1:11" x14ac:dyDescent="0.2">
      <c r="A83" s="111">
        <f t="shared" si="2"/>
        <v>77</v>
      </c>
      <c r="B83" s="424"/>
      <c r="C83" s="120" t="s">
        <v>494</v>
      </c>
      <c r="D83" s="425">
        <f>SUM(D81:D82)</f>
        <v>2834</v>
      </c>
      <c r="E83" s="120" t="str">
        <f>" = L"&amp;A81&amp;" + L"&amp;A82&amp;""</f>
        <v xml:space="preserve"> = L75 + L76</v>
      </c>
      <c r="F83" s="106"/>
      <c r="G83" s="106"/>
      <c r="H83" s="106"/>
      <c r="I83" s="106"/>
      <c r="J83" s="106"/>
      <c r="K83" s="106"/>
    </row>
    <row r="84" spans="1:11" x14ac:dyDescent="0.2">
      <c r="A84" s="111">
        <f t="shared" si="2"/>
        <v>78</v>
      </c>
      <c r="B84" s="424"/>
      <c r="C84" s="120" t="s">
        <v>493</v>
      </c>
      <c r="D84" s="423">
        <f>D81/D83</f>
        <v>0.30381086803105151</v>
      </c>
      <c r="E84" s="120" t="str">
        <f>" = L"&amp;A81&amp;" / L"&amp;A83&amp;""</f>
        <v xml:space="preserve"> = L75 / L77</v>
      </c>
      <c r="F84" s="106"/>
      <c r="G84" s="106"/>
      <c r="H84" s="106"/>
      <c r="I84" s="106"/>
      <c r="J84" s="106"/>
      <c r="K84" s="106"/>
    </row>
    <row r="85" spans="1:11" x14ac:dyDescent="0.2">
      <c r="A85" s="111">
        <f t="shared" si="2"/>
        <v>79</v>
      </c>
      <c r="B85" s="106"/>
      <c r="C85" s="108"/>
      <c r="D85" s="106"/>
      <c r="E85" s="106"/>
      <c r="F85" s="106"/>
      <c r="G85" s="106"/>
      <c r="H85" s="106"/>
      <c r="I85" s="106"/>
      <c r="J85" s="106"/>
      <c r="K85" s="106"/>
    </row>
    <row r="86" spans="1:11" x14ac:dyDescent="0.2">
      <c r="A86" s="111">
        <f t="shared" si="2"/>
        <v>80</v>
      </c>
      <c r="B86" s="120" t="s">
        <v>492</v>
      </c>
      <c r="C86" s="106"/>
      <c r="D86" s="63" t="s">
        <v>455</v>
      </c>
      <c r="E86" s="63" t="s">
        <v>45</v>
      </c>
      <c r="F86" s="106"/>
      <c r="G86" s="133" t="s">
        <v>454</v>
      </c>
      <c r="H86" s="106"/>
      <c r="I86" s="106"/>
      <c r="J86" s="106"/>
      <c r="K86" s="106"/>
    </row>
    <row r="87" spans="1:11" ht="13.5" thickBot="1" x14ac:dyDescent="0.25">
      <c r="A87" s="111">
        <f t="shared" si="2"/>
        <v>81</v>
      </c>
      <c r="B87" s="424"/>
      <c r="C87" s="120" t="s">
        <v>491</v>
      </c>
      <c r="D87" s="427">
        <v>76</v>
      </c>
      <c r="E87" s="63"/>
      <c r="F87" s="106"/>
      <c r="G87" s="426" t="s">
        <v>490</v>
      </c>
      <c r="H87" s="106"/>
      <c r="I87" s="106"/>
      <c r="J87" s="106"/>
      <c r="K87" s="106"/>
    </row>
    <row r="88" spans="1:11" ht="13.5" thickBot="1" x14ac:dyDescent="0.25">
      <c r="A88" s="111">
        <f t="shared" si="2"/>
        <v>82</v>
      </c>
      <c r="B88" s="424"/>
      <c r="C88" s="120" t="s">
        <v>489</v>
      </c>
      <c r="D88" s="430">
        <v>23</v>
      </c>
      <c r="E88" s="63"/>
      <c r="F88" s="106"/>
      <c r="G88" s="426"/>
      <c r="H88" s="106"/>
      <c r="I88" s="106"/>
      <c r="J88" s="106"/>
      <c r="K88" s="106"/>
    </row>
    <row r="89" spans="1:11" x14ac:dyDescent="0.2">
      <c r="A89" s="111">
        <f t="shared" si="2"/>
        <v>83</v>
      </c>
      <c r="B89" s="424"/>
      <c r="C89" s="120" t="s">
        <v>488</v>
      </c>
      <c r="D89" s="429">
        <f>SUM(D87:D88)</f>
        <v>99</v>
      </c>
      <c r="E89" s="120" t="str">
        <f>" = L"&amp;A87&amp;" + L"&amp;A88&amp;""</f>
        <v xml:space="preserve"> = L81 + L82</v>
      </c>
      <c r="F89" s="106"/>
      <c r="G89" s="106"/>
      <c r="H89" s="106"/>
      <c r="I89" s="106"/>
      <c r="J89" s="106"/>
      <c r="K89" s="106"/>
    </row>
    <row r="90" spans="1:11" x14ac:dyDescent="0.2">
      <c r="A90" s="111">
        <f t="shared" si="2"/>
        <v>84</v>
      </c>
      <c r="B90" s="424"/>
      <c r="C90" s="120" t="s">
        <v>487</v>
      </c>
      <c r="D90" s="428">
        <f>D87/D89</f>
        <v>0.76767676767676762</v>
      </c>
      <c r="E90" s="120" t="str">
        <f>" = L"&amp;A87&amp;" / L"&amp;A89&amp;""</f>
        <v xml:space="preserve"> = L81 / L83</v>
      </c>
      <c r="F90" s="106"/>
      <c r="G90" s="106"/>
      <c r="H90" s="106"/>
      <c r="I90" s="106"/>
      <c r="J90" s="106"/>
      <c r="K90" s="106"/>
    </row>
    <row r="91" spans="1:11" x14ac:dyDescent="0.2">
      <c r="A91" s="111">
        <f t="shared" si="2"/>
        <v>85</v>
      </c>
      <c r="B91" s="106"/>
      <c r="C91" s="106"/>
      <c r="D91" s="106"/>
      <c r="E91" s="106"/>
      <c r="F91" s="106"/>
      <c r="G91" s="106"/>
      <c r="H91" s="106"/>
      <c r="I91" s="106"/>
      <c r="J91" s="106"/>
      <c r="K91" s="106"/>
    </row>
    <row r="92" spans="1:11" x14ac:dyDescent="0.2">
      <c r="A92" s="111">
        <f t="shared" si="2"/>
        <v>86</v>
      </c>
      <c r="B92" s="120" t="s">
        <v>486</v>
      </c>
      <c r="C92" s="106"/>
      <c r="D92" s="63" t="s">
        <v>455</v>
      </c>
      <c r="E92" s="63" t="s">
        <v>45</v>
      </c>
      <c r="F92" s="106"/>
      <c r="G92" s="133" t="s">
        <v>454</v>
      </c>
      <c r="H92" s="106"/>
      <c r="I92" s="106"/>
      <c r="J92" s="106"/>
      <c r="K92" s="106"/>
    </row>
    <row r="93" spans="1:11" x14ac:dyDescent="0.2">
      <c r="A93" s="111">
        <f t="shared" si="2"/>
        <v>87</v>
      </c>
      <c r="B93" s="424"/>
      <c r="C93" s="120" t="s">
        <v>485</v>
      </c>
      <c r="D93" s="427">
        <v>1395283.22</v>
      </c>
      <c r="E93" s="63"/>
      <c r="F93" s="106"/>
      <c r="G93" s="106" t="s">
        <v>484</v>
      </c>
      <c r="H93" s="106"/>
      <c r="I93" s="106"/>
      <c r="J93" s="106"/>
      <c r="K93" s="106"/>
    </row>
    <row r="94" spans="1:11" x14ac:dyDescent="0.2">
      <c r="A94" s="111">
        <f t="shared" si="2"/>
        <v>88</v>
      </c>
      <c r="B94" s="424"/>
      <c r="C94" s="120" t="s">
        <v>483</v>
      </c>
      <c r="D94" s="427">
        <v>3027609.91</v>
      </c>
      <c r="E94" s="63"/>
      <c r="F94" s="106"/>
      <c r="G94" s="426"/>
      <c r="H94" s="106"/>
      <c r="I94" s="106"/>
      <c r="J94" s="106"/>
      <c r="K94" s="106"/>
    </row>
    <row r="95" spans="1:11" x14ac:dyDescent="0.2">
      <c r="A95" s="111">
        <f t="shared" si="2"/>
        <v>89</v>
      </c>
      <c r="B95" s="424"/>
      <c r="C95" s="120" t="s">
        <v>482</v>
      </c>
      <c r="D95" s="425">
        <f>SUM(D93:D94)</f>
        <v>4422893.13</v>
      </c>
      <c r="E95" s="120" t="str">
        <f>" = L"&amp;A93&amp;" + L"&amp;A94&amp;""</f>
        <v xml:space="preserve"> = L87 + L88</v>
      </c>
      <c r="F95" s="106"/>
      <c r="G95" s="106"/>
      <c r="H95" s="106"/>
      <c r="I95" s="106"/>
      <c r="J95" s="106"/>
      <c r="K95" s="106"/>
    </row>
    <row r="96" spans="1:11" x14ac:dyDescent="0.2">
      <c r="A96" s="111">
        <f t="shared" si="2"/>
        <v>90</v>
      </c>
      <c r="B96" s="424"/>
      <c r="C96" s="120" t="s">
        <v>481</v>
      </c>
      <c r="D96" s="423">
        <f>D93/D95</f>
        <v>0.315468445424545</v>
      </c>
      <c r="E96" s="120" t="str">
        <f>" = L"&amp;A93&amp;" / L"&amp;A95&amp;""</f>
        <v xml:space="preserve"> = L87 / L89</v>
      </c>
      <c r="F96" s="106"/>
      <c r="G96" s="106"/>
      <c r="H96" s="106"/>
      <c r="I96" s="106"/>
      <c r="J96" s="106"/>
      <c r="K96" s="106"/>
    </row>
    <row r="97" spans="1:11" x14ac:dyDescent="0.2">
      <c r="A97" s="111">
        <f t="shared" si="2"/>
        <v>91</v>
      </c>
      <c r="B97" s="106"/>
      <c r="C97" s="106"/>
      <c r="D97" s="106"/>
      <c r="E97" s="106"/>
      <c r="F97" s="106"/>
      <c r="G97" s="106"/>
      <c r="H97" s="106"/>
      <c r="I97" s="106"/>
      <c r="J97" s="106"/>
      <c r="K97" s="106"/>
    </row>
    <row r="98" spans="1:11" x14ac:dyDescent="0.2">
      <c r="A98" s="111">
        <f t="shared" si="2"/>
        <v>92</v>
      </c>
      <c r="B98" s="120" t="s">
        <v>480</v>
      </c>
      <c r="C98" s="106"/>
      <c r="D98" s="63" t="s">
        <v>455</v>
      </c>
      <c r="E98" s="63" t="s">
        <v>45</v>
      </c>
      <c r="F98" s="106"/>
      <c r="G98" s="133" t="s">
        <v>454</v>
      </c>
      <c r="H98" s="106"/>
      <c r="I98" s="106"/>
      <c r="J98" s="106"/>
      <c r="K98" s="106"/>
    </row>
    <row r="99" spans="1:11" x14ac:dyDescent="0.2">
      <c r="A99" s="111">
        <f t="shared" si="2"/>
        <v>93</v>
      </c>
      <c r="B99" s="424"/>
      <c r="C99" s="120" t="s">
        <v>479</v>
      </c>
      <c r="D99" s="427">
        <v>1394548</v>
      </c>
      <c r="E99" s="63"/>
      <c r="F99" s="106"/>
      <c r="G99" s="426" t="s">
        <v>478</v>
      </c>
      <c r="H99" s="106"/>
      <c r="I99" s="106"/>
      <c r="J99" s="106"/>
      <c r="K99" s="106"/>
    </row>
    <row r="100" spans="1:11" x14ac:dyDescent="0.2">
      <c r="A100" s="111">
        <f t="shared" si="2"/>
        <v>94</v>
      </c>
      <c r="B100" s="424"/>
      <c r="C100" s="120" t="s">
        <v>477</v>
      </c>
      <c r="D100" s="427">
        <v>5102054.08</v>
      </c>
      <c r="E100" s="63"/>
      <c r="F100" s="106"/>
      <c r="G100" s="426"/>
      <c r="H100" s="106"/>
      <c r="I100" s="106"/>
      <c r="J100" s="106"/>
      <c r="K100" s="106"/>
    </row>
    <row r="101" spans="1:11" x14ac:dyDescent="0.2">
      <c r="A101" s="111">
        <f t="shared" si="2"/>
        <v>95</v>
      </c>
      <c r="B101" s="424"/>
      <c r="C101" s="120" t="s">
        <v>476</v>
      </c>
      <c r="D101" s="425">
        <f>SUM(D99:D100)</f>
        <v>6496602.0800000001</v>
      </c>
      <c r="E101" s="120" t="str">
        <f>" = L"&amp;A99&amp;" + L"&amp;A100&amp;""</f>
        <v xml:space="preserve"> = L93 + L94</v>
      </c>
      <c r="F101" s="106"/>
      <c r="G101" s="106"/>
      <c r="H101" s="106"/>
      <c r="I101" s="106"/>
      <c r="J101" s="106"/>
      <c r="K101" s="106"/>
    </row>
    <row r="102" spans="1:11" x14ac:dyDescent="0.2">
      <c r="A102" s="111">
        <f t="shared" si="2"/>
        <v>96</v>
      </c>
      <c r="B102" s="424"/>
      <c r="C102" s="120" t="s">
        <v>475</v>
      </c>
      <c r="D102" s="423">
        <f>D99/D101</f>
        <v>0.21465806014087907</v>
      </c>
      <c r="E102" s="120" t="str">
        <f>" = L"&amp;A99&amp;" / L"&amp;A101&amp;""</f>
        <v xml:space="preserve"> = L93 / L95</v>
      </c>
      <c r="F102" s="106"/>
      <c r="G102" s="106"/>
      <c r="H102" s="106"/>
      <c r="I102" s="106"/>
      <c r="J102" s="106"/>
      <c r="K102" s="106"/>
    </row>
    <row r="103" spans="1:11" x14ac:dyDescent="0.2">
      <c r="A103" s="111">
        <f t="shared" si="2"/>
        <v>97</v>
      </c>
      <c r="B103" s="106"/>
      <c r="C103" s="106"/>
      <c r="D103" s="106"/>
      <c r="E103" s="106"/>
      <c r="F103" s="106"/>
      <c r="G103" s="106"/>
      <c r="H103" s="106"/>
      <c r="I103" s="106"/>
      <c r="J103" s="106"/>
      <c r="K103" s="106"/>
    </row>
    <row r="104" spans="1:11" x14ac:dyDescent="0.2">
      <c r="A104" s="111">
        <f t="shared" ref="A104:A126" si="3">A103+1</f>
        <v>98</v>
      </c>
      <c r="B104" s="120" t="s">
        <v>474</v>
      </c>
      <c r="C104" s="106"/>
      <c r="D104" s="63" t="s">
        <v>455</v>
      </c>
      <c r="E104" s="63" t="s">
        <v>45</v>
      </c>
      <c r="F104" s="106"/>
      <c r="G104" s="133" t="s">
        <v>454</v>
      </c>
      <c r="H104" s="106"/>
      <c r="I104" s="106"/>
      <c r="J104" s="106"/>
      <c r="K104" s="106"/>
    </row>
    <row r="105" spans="1:11" x14ac:dyDescent="0.2">
      <c r="A105" s="111">
        <f t="shared" si="3"/>
        <v>99</v>
      </c>
      <c r="B105" s="424"/>
      <c r="C105" s="120" t="s">
        <v>473</v>
      </c>
      <c r="D105" s="427">
        <v>1450427.8798573853</v>
      </c>
      <c r="E105" s="63"/>
      <c r="F105" s="106"/>
      <c r="G105" s="426" t="s">
        <v>472</v>
      </c>
      <c r="H105" s="106"/>
      <c r="I105" s="106"/>
      <c r="J105" s="106"/>
      <c r="K105" s="106"/>
    </row>
    <row r="106" spans="1:11" x14ac:dyDescent="0.2">
      <c r="A106" s="111">
        <f t="shared" si="3"/>
        <v>100</v>
      </c>
      <c r="B106" s="424"/>
      <c r="C106" s="120" t="s">
        <v>471</v>
      </c>
      <c r="D106" s="427">
        <v>1698425.2001426138</v>
      </c>
      <c r="E106" s="63"/>
      <c r="F106" s="106"/>
      <c r="G106" s="426"/>
      <c r="H106" s="106"/>
      <c r="I106" s="106"/>
      <c r="J106" s="106"/>
      <c r="K106" s="106"/>
    </row>
    <row r="107" spans="1:11" x14ac:dyDescent="0.2">
      <c r="A107" s="111">
        <f t="shared" si="3"/>
        <v>101</v>
      </c>
      <c r="B107" s="424"/>
      <c r="C107" s="120" t="s">
        <v>470</v>
      </c>
      <c r="D107" s="425">
        <f>SUM(D105:D106)</f>
        <v>3148853.0799999991</v>
      </c>
      <c r="E107" s="120" t="str">
        <f>" = L"&amp;A105&amp;" + L"&amp;A106&amp;""</f>
        <v xml:space="preserve"> = L99 + L100</v>
      </c>
      <c r="F107" s="106"/>
      <c r="G107" s="106"/>
      <c r="H107" s="106"/>
      <c r="I107" s="106"/>
      <c r="J107" s="106"/>
      <c r="K107" s="106"/>
    </row>
    <row r="108" spans="1:11" x14ac:dyDescent="0.2">
      <c r="A108" s="111">
        <f t="shared" si="3"/>
        <v>102</v>
      </c>
      <c r="B108" s="424"/>
      <c r="C108" s="120" t="s">
        <v>469</v>
      </c>
      <c r="D108" s="423">
        <f>D105/D107</f>
        <v>0.46062100803299011</v>
      </c>
      <c r="E108" s="120" t="str">
        <f>" = L"&amp;A105&amp;" / L"&amp;A107&amp;""</f>
        <v xml:space="preserve"> = L99 / L101</v>
      </c>
      <c r="F108" s="106"/>
      <c r="G108" s="106"/>
      <c r="H108" s="106"/>
      <c r="I108" s="106"/>
      <c r="J108" s="106"/>
      <c r="K108" s="106"/>
    </row>
    <row r="109" spans="1:11" x14ac:dyDescent="0.2">
      <c r="A109" s="111">
        <f t="shared" si="3"/>
        <v>103</v>
      </c>
      <c r="B109" s="106"/>
      <c r="C109" s="106"/>
      <c r="D109" s="106"/>
      <c r="E109" s="106"/>
      <c r="F109" s="106"/>
      <c r="G109" s="106"/>
      <c r="H109" s="106"/>
      <c r="I109" s="106"/>
      <c r="J109" s="106"/>
      <c r="K109" s="106"/>
    </row>
    <row r="110" spans="1:11" x14ac:dyDescent="0.2">
      <c r="A110" s="111">
        <f t="shared" si="3"/>
        <v>104</v>
      </c>
      <c r="B110" s="120" t="s">
        <v>468</v>
      </c>
      <c r="C110" s="106"/>
      <c r="D110" s="63" t="s">
        <v>455</v>
      </c>
      <c r="E110" s="63" t="s">
        <v>45</v>
      </c>
      <c r="F110" s="106"/>
      <c r="G110" s="133" t="s">
        <v>454</v>
      </c>
      <c r="H110" s="106"/>
      <c r="I110" s="106"/>
      <c r="J110" s="106"/>
      <c r="K110" s="106"/>
    </row>
    <row r="111" spans="1:11" x14ac:dyDescent="0.2">
      <c r="A111" s="111">
        <f t="shared" si="3"/>
        <v>105</v>
      </c>
      <c r="B111" s="424"/>
      <c r="C111" s="120" t="s">
        <v>467</v>
      </c>
      <c r="D111" s="427">
        <v>8</v>
      </c>
      <c r="E111" s="63"/>
      <c r="F111" s="106"/>
      <c r="G111" s="426" t="s">
        <v>466</v>
      </c>
      <c r="H111" s="106"/>
      <c r="I111" s="106"/>
      <c r="J111" s="106"/>
      <c r="K111" s="106"/>
    </row>
    <row r="112" spans="1:11" x14ac:dyDescent="0.2">
      <c r="A112" s="111">
        <f t="shared" si="3"/>
        <v>106</v>
      </c>
      <c r="B112" s="424"/>
      <c r="C112" s="120" t="s">
        <v>465</v>
      </c>
      <c r="D112" s="427">
        <v>2454</v>
      </c>
      <c r="E112" s="63"/>
      <c r="F112" s="106"/>
      <c r="G112" s="426"/>
      <c r="H112" s="106"/>
      <c r="I112" s="106"/>
      <c r="J112" s="106"/>
      <c r="K112" s="106"/>
    </row>
    <row r="113" spans="1:11" x14ac:dyDescent="0.2">
      <c r="A113" s="111">
        <f t="shared" si="3"/>
        <v>107</v>
      </c>
      <c r="B113" s="424"/>
      <c r="C113" s="120" t="s">
        <v>464</v>
      </c>
      <c r="D113" s="425">
        <f>SUM(D111:D112)</f>
        <v>2462</v>
      </c>
      <c r="E113" s="120" t="str">
        <f>" = L"&amp;A111&amp;" + L"&amp;A112&amp;""</f>
        <v xml:space="preserve"> = L105 + L106</v>
      </c>
      <c r="F113" s="106"/>
      <c r="G113" s="106"/>
      <c r="H113" s="106"/>
      <c r="I113" s="106"/>
      <c r="J113" s="106"/>
      <c r="K113" s="106"/>
    </row>
    <row r="114" spans="1:11" x14ac:dyDescent="0.2">
      <c r="A114" s="111">
        <f t="shared" si="3"/>
        <v>108</v>
      </c>
      <c r="B114" s="424"/>
      <c r="C114" s="120" t="s">
        <v>463</v>
      </c>
      <c r="D114" s="423">
        <f>D111/D113</f>
        <v>3.249390739236393E-3</v>
      </c>
      <c r="E114" s="120" t="str">
        <f>" = L"&amp;A111&amp;" / L"&amp;A113&amp;""</f>
        <v xml:space="preserve"> = L105 / L107</v>
      </c>
      <c r="F114" s="106"/>
      <c r="G114" s="106"/>
      <c r="H114" s="106"/>
      <c r="I114" s="106"/>
      <c r="J114" s="106"/>
      <c r="K114" s="106"/>
    </row>
    <row r="115" spans="1:11" x14ac:dyDescent="0.2">
      <c r="A115" s="111">
        <f t="shared" si="3"/>
        <v>109</v>
      </c>
      <c r="B115" s="106"/>
      <c r="C115" s="106"/>
      <c r="D115" s="106"/>
      <c r="E115" s="106"/>
      <c r="F115" s="106"/>
      <c r="G115" s="106"/>
      <c r="H115" s="106"/>
      <c r="I115" s="106"/>
      <c r="J115" s="106"/>
      <c r="K115" s="106"/>
    </row>
    <row r="116" spans="1:11" x14ac:dyDescent="0.2">
      <c r="A116" s="111">
        <f t="shared" si="3"/>
        <v>110</v>
      </c>
      <c r="B116" s="120" t="s">
        <v>462</v>
      </c>
      <c r="C116" s="106"/>
      <c r="D116" s="63" t="s">
        <v>455</v>
      </c>
      <c r="E116" s="63" t="s">
        <v>45</v>
      </c>
      <c r="F116" s="106"/>
      <c r="G116" s="133" t="s">
        <v>454</v>
      </c>
      <c r="H116" s="106"/>
      <c r="I116" s="106"/>
      <c r="J116" s="106"/>
      <c r="K116" s="106"/>
    </row>
    <row r="117" spans="1:11" x14ac:dyDescent="0.2">
      <c r="A117" s="111">
        <f t="shared" si="3"/>
        <v>111</v>
      </c>
      <c r="B117" s="424"/>
      <c r="C117" s="120" t="s">
        <v>461</v>
      </c>
      <c r="D117" s="427">
        <v>163</v>
      </c>
      <c r="E117" s="63"/>
      <c r="F117" s="106"/>
      <c r="G117" s="426" t="s">
        <v>460</v>
      </c>
      <c r="H117" s="106"/>
      <c r="I117" s="106"/>
      <c r="J117" s="106"/>
      <c r="K117" s="106"/>
    </row>
    <row r="118" spans="1:11" x14ac:dyDescent="0.2">
      <c r="A118" s="111">
        <f t="shared" si="3"/>
        <v>112</v>
      </c>
      <c r="B118" s="424"/>
      <c r="C118" s="120" t="s">
        <v>459</v>
      </c>
      <c r="D118" s="427">
        <v>8725</v>
      </c>
      <c r="E118" s="63"/>
      <c r="F118" s="106"/>
      <c r="G118" s="426"/>
      <c r="H118" s="106"/>
      <c r="I118" s="106"/>
      <c r="J118" s="106"/>
      <c r="K118" s="106"/>
    </row>
    <row r="119" spans="1:11" x14ac:dyDescent="0.2">
      <c r="A119" s="111">
        <f t="shared" si="3"/>
        <v>113</v>
      </c>
      <c r="B119" s="424"/>
      <c r="C119" s="120" t="s">
        <v>458</v>
      </c>
      <c r="D119" s="425">
        <f>SUM(D117:D118)</f>
        <v>8888</v>
      </c>
      <c r="E119" s="120" t="str">
        <f>" = L"&amp;A117&amp;" + L"&amp;A118&amp;""</f>
        <v xml:space="preserve"> = L111 + L112</v>
      </c>
      <c r="F119" s="106"/>
      <c r="G119" s="106"/>
      <c r="H119" s="106"/>
      <c r="I119" s="106"/>
      <c r="J119" s="106"/>
      <c r="K119" s="106"/>
    </row>
    <row r="120" spans="1:11" x14ac:dyDescent="0.2">
      <c r="A120" s="111">
        <f t="shared" si="3"/>
        <v>114</v>
      </c>
      <c r="B120" s="424"/>
      <c r="C120" s="120" t="s">
        <v>457</v>
      </c>
      <c r="D120" s="423">
        <f>D117/D119</f>
        <v>1.8339333933393338E-2</v>
      </c>
      <c r="E120" s="120" t="str">
        <f>" = L"&amp;A117&amp;" / L"&amp;A119&amp;""</f>
        <v xml:space="preserve"> = L111 / L113</v>
      </c>
      <c r="F120" s="106"/>
      <c r="G120" s="106"/>
      <c r="H120" s="106"/>
      <c r="I120" s="106"/>
      <c r="J120" s="106"/>
      <c r="K120" s="106"/>
    </row>
    <row r="121" spans="1:11" x14ac:dyDescent="0.2">
      <c r="A121" s="111">
        <f t="shared" si="3"/>
        <v>115</v>
      </c>
      <c r="B121" s="106"/>
      <c r="C121" s="106"/>
      <c r="D121" s="106"/>
      <c r="E121" s="106"/>
      <c r="F121" s="106"/>
      <c r="G121" s="106"/>
      <c r="H121" s="106"/>
      <c r="I121" s="106"/>
      <c r="J121" s="106"/>
      <c r="K121" s="106"/>
    </row>
    <row r="122" spans="1:11" x14ac:dyDescent="0.2">
      <c r="A122" s="111">
        <f t="shared" si="3"/>
        <v>116</v>
      </c>
      <c r="B122" s="120" t="s">
        <v>456</v>
      </c>
      <c r="C122" s="106"/>
      <c r="D122" s="63" t="s">
        <v>455</v>
      </c>
      <c r="E122" s="63" t="s">
        <v>45</v>
      </c>
      <c r="F122" s="106"/>
      <c r="G122" s="133" t="s">
        <v>454</v>
      </c>
      <c r="H122" s="106"/>
      <c r="I122" s="106"/>
      <c r="J122" s="106"/>
      <c r="K122" s="106"/>
    </row>
    <row r="123" spans="1:11" x14ac:dyDescent="0.2">
      <c r="A123" s="111">
        <f t="shared" si="3"/>
        <v>117</v>
      </c>
      <c r="B123" s="424"/>
      <c r="C123" s="120" t="s">
        <v>453</v>
      </c>
      <c r="D123" s="427">
        <v>186</v>
      </c>
      <c r="E123" s="63"/>
      <c r="F123" s="106"/>
      <c r="G123" s="426" t="s">
        <v>452</v>
      </c>
      <c r="H123" s="106"/>
      <c r="I123" s="106"/>
      <c r="J123" s="106"/>
      <c r="K123" s="106"/>
    </row>
    <row r="124" spans="1:11" x14ac:dyDescent="0.2">
      <c r="A124" s="111">
        <f t="shared" si="3"/>
        <v>118</v>
      </c>
      <c r="B124" s="424"/>
      <c r="C124" s="120" t="s">
        <v>451</v>
      </c>
      <c r="D124" s="427">
        <v>2406</v>
      </c>
      <c r="E124" s="63"/>
      <c r="F124" s="106"/>
      <c r="G124" s="426"/>
      <c r="H124" s="106"/>
      <c r="I124" s="106"/>
      <c r="J124" s="106"/>
      <c r="K124" s="106"/>
    </row>
    <row r="125" spans="1:11" x14ac:dyDescent="0.2">
      <c r="A125" s="111">
        <f t="shared" si="3"/>
        <v>119</v>
      </c>
      <c r="B125" s="424"/>
      <c r="C125" s="120" t="s">
        <v>450</v>
      </c>
      <c r="D125" s="425">
        <f>SUM(D123:D124)</f>
        <v>2592</v>
      </c>
      <c r="E125" s="120" t="str">
        <f>" = L"&amp;A123&amp;" + L"&amp;A124&amp;""</f>
        <v xml:space="preserve"> = L117 + L118</v>
      </c>
      <c r="F125" s="106"/>
      <c r="G125" s="106"/>
      <c r="H125" s="106"/>
      <c r="I125" s="106"/>
      <c r="J125" s="106"/>
      <c r="K125" s="106"/>
    </row>
    <row r="126" spans="1:11" x14ac:dyDescent="0.2">
      <c r="A126" s="111">
        <f t="shared" si="3"/>
        <v>120</v>
      </c>
      <c r="B126" s="424"/>
      <c r="C126" s="120" t="s">
        <v>449</v>
      </c>
      <c r="D126" s="423">
        <f>D123/D125</f>
        <v>7.1759259259259259E-2</v>
      </c>
      <c r="E126" s="120" t="str">
        <f>" = L"&amp;A123&amp;" / L"&amp;A125&amp;""</f>
        <v xml:space="preserve"> = L117 / L119</v>
      </c>
      <c r="F126" s="106"/>
      <c r="G126" s="106"/>
      <c r="H126" s="106"/>
      <c r="I126" s="106"/>
      <c r="J126" s="106"/>
      <c r="K126" s="106"/>
    </row>
    <row r="127" spans="1:11" x14ac:dyDescent="0.2">
      <c r="A127" s="93"/>
      <c r="E127" s="106"/>
      <c r="F127" s="106"/>
      <c r="G127" s="106"/>
      <c r="H127" s="106"/>
      <c r="I127" s="106"/>
      <c r="J127" s="106"/>
      <c r="K127" s="106"/>
    </row>
    <row r="128" spans="1:11" x14ac:dyDescent="0.2">
      <c r="A128" s="93"/>
      <c r="E128" s="106"/>
      <c r="F128" s="106"/>
      <c r="G128" s="106"/>
      <c r="H128" s="106"/>
      <c r="I128" s="106"/>
      <c r="J128" s="106"/>
      <c r="K128" s="106"/>
    </row>
    <row r="129" spans="1:11" x14ac:dyDescent="0.2">
      <c r="A129" s="93"/>
      <c r="E129" s="106"/>
      <c r="F129" s="106"/>
      <c r="G129" s="106"/>
      <c r="H129" s="106"/>
      <c r="I129" s="106"/>
      <c r="J129" s="106"/>
      <c r="K129" s="106"/>
    </row>
    <row r="130" spans="1:11" x14ac:dyDescent="0.2">
      <c r="A130" s="93"/>
    </row>
    <row r="131" spans="1:11" x14ac:dyDescent="0.2">
      <c r="A131" s="93"/>
    </row>
    <row r="132" spans="1:11" x14ac:dyDescent="0.2">
      <c r="A132" s="93"/>
    </row>
    <row r="133" spans="1:11" x14ac:dyDescent="0.2">
      <c r="A133" s="93"/>
    </row>
    <row r="134" spans="1:11" x14ac:dyDescent="0.2">
      <c r="A134" s="93"/>
    </row>
    <row r="135" spans="1:11" x14ac:dyDescent="0.2">
      <c r="A135" s="93"/>
    </row>
    <row r="136" spans="1:11" x14ac:dyDescent="0.2">
      <c r="A136" s="93"/>
    </row>
    <row r="137" spans="1:11" x14ac:dyDescent="0.2">
      <c r="A137" s="93"/>
    </row>
    <row r="138" spans="1:11" x14ac:dyDescent="0.2">
      <c r="A138" s="93"/>
    </row>
  </sheetData>
  <pageMargins left="0.75" right="0.75" top="1" bottom="1" header="0.5" footer="0.5"/>
  <pageSetup scale="69" orientation="landscape" cellComments="asDisplayed" r:id="rId1"/>
  <headerFooter alignWithMargins="0">
    <oddHeader>&amp;CSchedule 27
Allocation Factors
(Revised 2012 True Up TRR)&amp;RTO12 Draft Annual Update
Attachment 4
WP-Schedule 3-One Time Adj True Up Adj
Page &amp;P of &amp;N</oddHeader>
    <oddFooter>&amp;R&amp;A</oddFooter>
  </headerFooter>
  <rowBreaks count="2" manualBreakCount="2">
    <brk id="49" max="16383" man="1"/>
    <brk id="103" max="10"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H16"/>
  <sheetViews>
    <sheetView zoomScaleNormal="100" workbookViewId="0">
      <selection activeCell="E8" sqref="E8:G8"/>
    </sheetView>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158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44" t="s">
        <v>34</v>
      </c>
      <c r="E5" s="728" t="s">
        <v>35</v>
      </c>
      <c r="F5" s="728"/>
      <c r="G5" s="728"/>
      <c r="H5" s="45"/>
    </row>
    <row r="6" spans="1:8" ht="47.25" customHeight="1" x14ac:dyDescent="0.25">
      <c r="A6" s="738" t="s">
        <v>290</v>
      </c>
      <c r="B6" s="739"/>
      <c r="C6" s="740"/>
      <c r="D6" s="46">
        <f>'WP-2013 Sch4-TUTRR'!J71</f>
        <v>780700463.00367677</v>
      </c>
      <c r="E6" s="741" t="s">
        <v>1098</v>
      </c>
      <c r="F6" s="742"/>
      <c r="G6" s="743"/>
    </row>
    <row r="7" spans="1:8" ht="50.25" customHeight="1" x14ac:dyDescent="0.25">
      <c r="A7" s="747" t="s">
        <v>580</v>
      </c>
      <c r="B7" s="748"/>
      <c r="C7" s="749"/>
      <c r="D7" s="422">
        <f>'WP-2013 Sch4-TUTRR'!J70</f>
        <v>780869270.63552642</v>
      </c>
      <c r="E7" s="732" t="s">
        <v>1101</v>
      </c>
      <c r="F7" s="746"/>
      <c r="G7" s="746"/>
    </row>
    <row r="8" spans="1:8" x14ac:dyDescent="0.25">
      <c r="A8" s="723" t="s">
        <v>36</v>
      </c>
      <c r="B8" s="723"/>
      <c r="C8" s="724"/>
      <c r="D8" s="47">
        <f>D7-D6</f>
        <v>168807.63184964657</v>
      </c>
      <c r="E8" s="744"/>
      <c r="F8" s="744"/>
      <c r="G8" s="745"/>
    </row>
    <row r="11" spans="1:8" x14ac:dyDescent="0.25">
      <c r="A11" s="88" t="s">
        <v>285</v>
      </c>
    </row>
    <row r="12" spans="1:8" ht="15" customHeight="1" x14ac:dyDescent="0.25">
      <c r="A12" s="721" t="s">
        <v>1085</v>
      </c>
      <c r="B12" s="722"/>
      <c r="C12" s="722"/>
      <c r="D12" s="722"/>
      <c r="E12" s="722"/>
      <c r="F12" s="722"/>
      <c r="G12" s="722"/>
      <c r="H12" s="722"/>
    </row>
    <row r="13" spans="1:8" ht="15" customHeight="1" x14ac:dyDescent="0.25">
      <c r="A13" s="706" t="s">
        <v>1080</v>
      </c>
      <c r="B13" s="304"/>
      <c r="C13" s="304"/>
      <c r="D13" s="304"/>
      <c r="E13" s="304"/>
      <c r="F13" s="304"/>
      <c r="G13" s="304"/>
      <c r="H13" s="304"/>
    </row>
    <row r="14" spans="1:8" ht="15" customHeight="1" x14ac:dyDescent="0.25">
      <c r="A14" s="721" t="s">
        <v>1081</v>
      </c>
      <c r="B14" s="722"/>
      <c r="C14" s="722"/>
      <c r="D14" s="722"/>
      <c r="E14" s="722"/>
      <c r="F14" s="722"/>
      <c r="G14" s="722"/>
      <c r="H14" s="722"/>
    </row>
    <row r="15" spans="1:8" x14ac:dyDescent="0.25">
      <c r="A15" s="706" t="s">
        <v>1082</v>
      </c>
      <c r="B15" s="304"/>
      <c r="C15" s="304"/>
      <c r="D15" s="304"/>
      <c r="E15" s="304"/>
      <c r="F15" s="304"/>
      <c r="G15" s="304"/>
      <c r="H15" s="304"/>
    </row>
    <row r="16" spans="1:8" ht="15" customHeight="1" x14ac:dyDescent="0.25">
      <c r="A16" s="721" t="s">
        <v>1083</v>
      </c>
      <c r="B16" s="722"/>
      <c r="C16" s="722"/>
      <c r="D16" s="722"/>
      <c r="E16" s="722"/>
      <c r="F16" s="722"/>
      <c r="G16" s="722"/>
      <c r="H16" s="722"/>
    </row>
  </sheetData>
  <mergeCells count="12">
    <mergeCell ref="A16:H16"/>
    <mergeCell ref="A14:H14"/>
    <mergeCell ref="A3:G4"/>
    <mergeCell ref="A5:C5"/>
    <mergeCell ref="E5:G5"/>
    <mergeCell ref="A6:C6"/>
    <mergeCell ref="E6:G6"/>
    <mergeCell ref="A8:C8"/>
    <mergeCell ref="E8:G8"/>
    <mergeCell ref="A12:H12"/>
    <mergeCell ref="E7:G7"/>
    <mergeCell ref="A7:C7"/>
  </mergeCells>
  <printOptions horizontalCentered="1"/>
  <pageMargins left="0.7" right="0.7" top="0.75" bottom="0.75" header="0.3" footer="0.3"/>
  <pageSetup orientation="portrait" r:id="rId1"/>
  <headerFooter>
    <oddHeader>&amp;RTO12 Draft Annual Update
Attachment 4
WP-Schedule 3-One Time Adj True Up Adj
Page &amp;P of &amp;N</oddHeader>
    <oddFooter>&amp;R&amp;A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L172"/>
  <sheetViews>
    <sheetView zoomScale="120" zoomScaleNormal="120" zoomScaleSheetLayoutView="90" workbookViewId="0">
      <selection activeCell="F32" sqref="F32"/>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3.42578125" bestFit="1" customWidth="1"/>
  </cols>
  <sheetData>
    <row r="1" spans="1:10" x14ac:dyDescent="0.2">
      <c r="A1" s="162" t="s">
        <v>38</v>
      </c>
      <c r="J1" s="163"/>
    </row>
    <row r="2" spans="1:10" x14ac:dyDescent="0.2">
      <c r="H2" s="163"/>
      <c r="J2" s="163"/>
    </row>
    <row r="3" spans="1:10" x14ac:dyDescent="0.2">
      <c r="B3" s="164" t="s">
        <v>39</v>
      </c>
      <c r="J3" s="163"/>
    </row>
    <row r="4" spans="1:10" x14ac:dyDescent="0.2">
      <c r="B4" s="165"/>
      <c r="F4" s="166" t="s">
        <v>40</v>
      </c>
      <c r="G4" s="166"/>
      <c r="H4" s="166" t="s">
        <v>41</v>
      </c>
      <c r="J4" s="163"/>
    </row>
    <row r="5" spans="1:10" x14ac:dyDescent="0.2">
      <c r="A5" s="167" t="s">
        <v>42</v>
      </c>
      <c r="B5" s="168"/>
      <c r="C5" s="169" t="s">
        <v>43</v>
      </c>
      <c r="F5" s="170" t="s">
        <v>44</v>
      </c>
      <c r="G5" s="170" t="s">
        <v>45</v>
      </c>
      <c r="H5" s="170" t="s">
        <v>46</v>
      </c>
      <c r="J5" s="207" t="s">
        <v>34</v>
      </c>
    </row>
    <row r="6" spans="1:10" x14ac:dyDescent="0.2">
      <c r="A6" s="171">
        <v>1</v>
      </c>
      <c r="B6" s="163"/>
      <c r="C6" s="172" t="s">
        <v>47</v>
      </c>
      <c r="D6" s="163"/>
      <c r="E6" s="163"/>
      <c r="F6" s="163" t="s">
        <v>48</v>
      </c>
      <c r="G6" s="163"/>
      <c r="H6" s="172" t="s">
        <v>1009</v>
      </c>
      <c r="I6" s="163"/>
      <c r="J6" s="179">
        <v>4903133418.8953705</v>
      </c>
    </row>
    <row r="7" spans="1:10" x14ac:dyDescent="0.2">
      <c r="A7" s="171">
        <f>A6+1</f>
        <v>2</v>
      </c>
      <c r="B7" s="163"/>
      <c r="C7" s="172" t="s">
        <v>49</v>
      </c>
      <c r="D7" s="163"/>
      <c r="E7" s="163"/>
      <c r="F7" s="163" t="s">
        <v>50</v>
      </c>
      <c r="G7" s="163"/>
      <c r="H7" s="172" t="s">
        <v>1010</v>
      </c>
      <c r="I7" s="163"/>
      <c r="J7" s="179">
        <v>179789556.64026114</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12191149.957444718</v>
      </c>
    </row>
    <row r="13" spans="1:10" x14ac:dyDescent="0.2">
      <c r="A13" s="171">
        <f>A12+1</f>
        <v>6</v>
      </c>
      <c r="B13" s="163"/>
      <c r="C13" s="177" t="s">
        <v>55</v>
      </c>
      <c r="D13" s="163"/>
      <c r="E13" s="163"/>
      <c r="F13" s="163" t="s">
        <v>48</v>
      </c>
      <c r="G13" s="163"/>
      <c r="H13" s="172" t="s">
        <v>1016</v>
      </c>
      <c r="I13" s="163"/>
      <c r="J13" s="179">
        <v>2643432.4497607686</v>
      </c>
    </row>
    <row r="14" spans="1:10" x14ac:dyDescent="0.2">
      <c r="A14" s="171">
        <f>A13+1</f>
        <v>7</v>
      </c>
      <c r="B14" s="163"/>
      <c r="C14" s="176" t="s">
        <v>56</v>
      </c>
      <c r="D14" s="163"/>
      <c r="E14" s="163"/>
      <c r="F14" s="174" t="s">
        <v>57</v>
      </c>
      <c r="G14" s="163"/>
      <c r="H14" s="163" t="s">
        <v>1017</v>
      </c>
      <c r="I14" s="163"/>
      <c r="J14" s="178">
        <v>7140725.4915009663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21975307.898706451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-1071602324.9413774</v>
      </c>
    </row>
    <row r="19" spans="1:10" x14ac:dyDescent="0.2">
      <c r="A19" s="171">
        <f>A18+1</f>
        <v>10</v>
      </c>
      <c r="B19" s="163"/>
      <c r="C19" s="176" t="s">
        <v>62</v>
      </c>
      <c r="D19" s="163"/>
      <c r="E19" s="163"/>
      <c r="F19" s="163" t="s">
        <v>50</v>
      </c>
      <c r="G19" s="163" t="s">
        <v>61</v>
      </c>
      <c r="H19" s="172" t="s">
        <v>1035</v>
      </c>
      <c r="I19" s="163"/>
      <c r="J19" s="173">
        <v>-581109.91</v>
      </c>
    </row>
    <row r="20" spans="1:10" x14ac:dyDescent="0.2">
      <c r="A20" s="171">
        <f>A19+1</f>
        <v>11</v>
      </c>
      <c r="B20" s="163"/>
      <c r="C20" s="176" t="s">
        <v>63</v>
      </c>
      <c r="D20" s="48"/>
      <c r="E20" s="163"/>
      <c r="F20" s="163" t="s">
        <v>50</v>
      </c>
      <c r="G20" s="163" t="s">
        <v>61</v>
      </c>
      <c r="H20" s="172" t="s">
        <v>1036</v>
      </c>
      <c r="I20" s="163"/>
      <c r="J20" s="178">
        <v>-68668721.615698114</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-1140852156.4670756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-820190103.05389631</v>
      </c>
    </row>
    <row r="24" spans="1:10" x14ac:dyDescent="0.2">
      <c r="A24" s="171">
        <f>A23+1</f>
        <v>14</v>
      </c>
      <c r="B24" s="163"/>
      <c r="C24" s="172" t="s">
        <v>66</v>
      </c>
      <c r="D24" s="163"/>
      <c r="E24" s="163"/>
      <c r="F24" s="163" t="s">
        <v>48</v>
      </c>
      <c r="G24" s="163"/>
      <c r="H24" s="172" t="s">
        <v>1038</v>
      </c>
      <c r="I24" s="163"/>
      <c r="J24" s="179">
        <v>1340118516.4197419</v>
      </c>
    </row>
    <row r="25" spans="1:10" x14ac:dyDescent="0.2">
      <c r="A25" s="171">
        <f>A24+1</f>
        <v>15</v>
      </c>
      <c r="B25" s="163"/>
      <c r="C25" s="182" t="s">
        <v>67</v>
      </c>
      <c r="D25" s="163"/>
      <c r="E25" s="163"/>
      <c r="F25" s="163" t="s">
        <v>50</v>
      </c>
      <c r="G25" s="163" t="s">
        <v>61</v>
      </c>
      <c r="H25" s="172" t="s">
        <v>1040</v>
      </c>
      <c r="I25" s="163"/>
      <c r="J25" s="173">
        <v>-26630218.84</v>
      </c>
    </row>
    <row r="26" spans="1:10" x14ac:dyDescent="0.2">
      <c r="A26" s="171" t="s">
        <v>68</v>
      </c>
      <c r="B26" s="163"/>
      <c r="C26" s="172" t="s">
        <v>69</v>
      </c>
      <c r="D26" s="163"/>
      <c r="E26" s="163"/>
      <c r="F26" s="163"/>
      <c r="G26" s="163"/>
      <c r="H26" s="174" t="s">
        <v>1041</v>
      </c>
      <c r="I26" s="163"/>
      <c r="J26" s="179">
        <v>-6576677.7802061997</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4460709798.7129021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7.4545873534263826E-2</v>
      </c>
    </row>
    <row r="34" spans="1:10" x14ac:dyDescent="0.2">
      <c r="A34" s="166">
        <f>A33+1</f>
        <v>19</v>
      </c>
      <c r="C34" s="174" t="s">
        <v>75</v>
      </c>
      <c r="D34" s="174"/>
      <c r="E34" s="174"/>
      <c r="F34" s="174"/>
      <c r="G34" s="174"/>
      <c r="H34" t="str">
        <f>"Line "&amp;A29&amp;" * Line "&amp;A33&amp;""</f>
        <v>Line 17 * Line 18</v>
      </c>
      <c r="J34" s="186">
        <f>J29*J33</f>
        <v>332527508.52790344</v>
      </c>
    </row>
    <row r="35" spans="1:10" x14ac:dyDescent="0.2">
      <c r="A35" s="166"/>
      <c r="B35" s="168"/>
      <c r="J35" s="163"/>
    </row>
    <row r="36" spans="1:10" x14ac:dyDescent="0.2">
      <c r="A36" s="166"/>
      <c r="B36" s="162" t="s">
        <v>76</v>
      </c>
      <c r="J36" s="163"/>
    </row>
    <row r="37" spans="1:10" x14ac:dyDescent="0.2">
      <c r="A37" s="171"/>
      <c r="B37" s="177"/>
      <c r="C37" s="163"/>
      <c r="D37" s="163"/>
      <c r="E37" s="163">
        <v>16475769.585114043</v>
      </c>
      <c r="F37" s="163"/>
      <c r="G37" s="163"/>
      <c r="H37" s="163"/>
      <c r="I37" s="163"/>
      <c r="J37" s="163"/>
    </row>
    <row r="38" spans="1:10" x14ac:dyDescent="0.2">
      <c r="A38" s="171">
        <f>A34+1</f>
        <v>20</v>
      </c>
      <c r="B38" s="163"/>
      <c r="C38" s="174" t="s">
        <v>77</v>
      </c>
      <c r="D38" s="163"/>
      <c r="E38" s="163">
        <v>837749.97488595883</v>
      </c>
      <c r="F38" s="163"/>
      <c r="G38" s="163"/>
      <c r="H38" s="163"/>
      <c r="I38" s="163"/>
      <c r="J38" s="179">
        <f>(((J29*J42) + J45) *(J43/(1-J43)))+(J44/(1-J43))</f>
        <v>160823377.70013058</v>
      </c>
    </row>
    <row r="39" spans="1:10" x14ac:dyDescent="0.2">
      <c r="A39" s="171"/>
      <c r="B39" s="163"/>
      <c r="C39" s="163"/>
      <c r="D39" s="163"/>
      <c r="E39" s="163">
        <v>-6451726</v>
      </c>
      <c r="F39" s="163"/>
      <c r="G39" s="163"/>
      <c r="H39" s="163"/>
      <c r="I39" s="163"/>
      <c r="J39" s="174"/>
    </row>
    <row r="40" spans="1:10" x14ac:dyDescent="0.2">
      <c r="A40" s="171"/>
      <c r="B40" s="163"/>
      <c r="C40" s="163"/>
      <c r="D40" s="163" t="s">
        <v>78</v>
      </c>
      <c r="E40" s="163">
        <v>8601353.9800000023</v>
      </c>
      <c r="F40" s="163"/>
      <c r="G40" s="163"/>
      <c r="H40" s="163"/>
      <c r="I40" s="163"/>
      <c r="J40" s="163"/>
    </row>
    <row r="41" spans="1:10" x14ac:dyDescent="0.2">
      <c r="A41" s="171">
        <f>A38+1</f>
        <v>21</v>
      </c>
      <c r="B41" s="163"/>
      <c r="C41" s="163"/>
      <c r="D41" s="177" t="s">
        <v>79</v>
      </c>
      <c r="E41" s="163">
        <v>0</v>
      </c>
      <c r="F41" s="163"/>
      <c r="G41" s="163"/>
      <c r="H41" s="163" t="str">
        <f>"Line "&amp;A29&amp;""</f>
        <v>Line 17</v>
      </c>
      <c r="I41" s="163"/>
      <c r="J41" s="179">
        <f>J29</f>
        <v>4460709798.7129021</v>
      </c>
    </row>
    <row r="42" spans="1:10" x14ac:dyDescent="0.2">
      <c r="A42" s="171">
        <f>A41+1</f>
        <v>22</v>
      </c>
      <c r="B42" s="163"/>
      <c r="C42" s="163"/>
      <c r="D42" s="176" t="s">
        <v>80</v>
      </c>
      <c r="E42" s="163">
        <v>211377.76</v>
      </c>
      <c r="F42" s="163"/>
      <c r="G42" s="174" t="s">
        <v>81</v>
      </c>
      <c r="H42" s="174" t="str">
        <f>"Instruction 1, Line "&amp;B103&amp;""</f>
        <v>Instruction 1, Line k</v>
      </c>
      <c r="I42" s="163"/>
      <c r="J42" s="492">
        <f>E103</f>
        <v>5.1527802953550993E-2</v>
      </c>
    </row>
    <row r="43" spans="1:10" x14ac:dyDescent="0.2">
      <c r="A43" s="171">
        <f>A42+1</f>
        <v>23</v>
      </c>
      <c r="B43" s="163"/>
      <c r="C43" s="163"/>
      <c r="D43" s="177" t="s">
        <v>82</v>
      </c>
      <c r="E43" s="163">
        <v>35875127.374766812</v>
      </c>
      <c r="F43" s="163"/>
      <c r="G43" s="163"/>
      <c r="H43" s="163" t="s">
        <v>1018</v>
      </c>
      <c r="I43" s="163"/>
      <c r="J43" s="187">
        <v>0.40439353647240123</v>
      </c>
    </row>
    <row r="44" spans="1:10" x14ac:dyDescent="0.2">
      <c r="A44" s="171">
        <f>A43+1</f>
        <v>24</v>
      </c>
      <c r="B44" s="163"/>
      <c r="C44" s="163"/>
      <c r="D44" s="177" t="s">
        <v>83</v>
      </c>
      <c r="E44" s="163" t="s">
        <v>126</v>
      </c>
      <c r="F44" s="163"/>
      <c r="G44" s="163"/>
      <c r="H44" s="163" t="s">
        <v>1019</v>
      </c>
      <c r="I44" s="163"/>
      <c r="J44" s="173">
        <v>2086200</v>
      </c>
    </row>
    <row r="45" spans="1:10" x14ac:dyDescent="0.2">
      <c r="A45" s="171">
        <f>A44+1</f>
        <v>25</v>
      </c>
      <c r="B45" s="163"/>
      <c r="C45" s="163"/>
      <c r="D45" s="177" t="s">
        <v>84</v>
      </c>
      <c r="E45" s="163">
        <v>31135217.5</v>
      </c>
      <c r="F45" s="163"/>
      <c r="G45" s="163"/>
      <c r="H45" s="163" t="s">
        <v>1020</v>
      </c>
      <c r="I45" s="163"/>
      <c r="J45" s="188">
        <v>1857488</v>
      </c>
    </row>
    <row r="46" spans="1:10" x14ac:dyDescent="0.2">
      <c r="A46" s="171"/>
      <c r="B46" s="177"/>
      <c r="C46" s="163"/>
      <c r="D46" s="163"/>
      <c r="E46" s="163">
        <v>0</v>
      </c>
      <c r="F46" s="163"/>
      <c r="G46" s="163"/>
      <c r="H46" s="163"/>
      <c r="I46" s="163"/>
      <c r="J46" s="163"/>
    </row>
    <row r="47" spans="1:10" x14ac:dyDescent="0.2">
      <c r="A47" s="171"/>
      <c r="B47" s="183" t="s">
        <v>85</v>
      </c>
      <c r="D47" s="163"/>
      <c r="E47" s="163">
        <v>223160.132088218</v>
      </c>
      <c r="F47" s="163"/>
      <c r="G47" s="163"/>
      <c r="H47" s="163"/>
      <c r="I47" s="163"/>
      <c r="J47" s="163"/>
    </row>
    <row r="48" spans="1:10" x14ac:dyDescent="0.2">
      <c r="A48" s="171">
        <f>A45+1</f>
        <v>26</v>
      </c>
      <c r="B48" s="177"/>
      <c r="C48" s="163" t="s">
        <v>86</v>
      </c>
      <c r="D48" s="163"/>
      <c r="E48" s="163">
        <v>19998510.350000001</v>
      </c>
      <c r="F48" s="163"/>
      <c r="G48" s="163"/>
      <c r="H48" s="163" t="s">
        <v>1021</v>
      </c>
      <c r="I48" s="163"/>
      <c r="J48" s="179">
        <v>75425836.077882901</v>
      </c>
    </row>
    <row r="49" spans="1:10" x14ac:dyDescent="0.2">
      <c r="A49" s="171">
        <f t="shared" ref="A49:A60" si="0">A48+1</f>
        <v>27</v>
      </c>
      <c r="B49" s="177"/>
      <c r="C49" s="174" t="s">
        <v>87</v>
      </c>
      <c r="D49" s="163"/>
      <c r="E49" s="163">
        <v>78140.61</v>
      </c>
      <c r="F49" s="163"/>
      <c r="G49" s="163"/>
      <c r="H49" s="163" t="s">
        <v>1022</v>
      </c>
      <c r="I49" s="163"/>
      <c r="J49" s="179">
        <v>38825771.786132552</v>
      </c>
    </row>
    <row r="50" spans="1:10" x14ac:dyDescent="0.2">
      <c r="A50" s="189" t="s">
        <v>159</v>
      </c>
      <c r="B50" s="190"/>
      <c r="C50" s="191" t="s">
        <v>160</v>
      </c>
      <c r="D50" s="192"/>
      <c r="E50" s="192">
        <v>1635670</v>
      </c>
      <c r="F50" s="192"/>
      <c r="G50" s="192"/>
      <c r="H50" s="192" t="s">
        <v>1043</v>
      </c>
      <c r="I50" s="192"/>
      <c r="J50" s="194">
        <v>2544049.3873590329</v>
      </c>
    </row>
    <row r="51" spans="1:10" x14ac:dyDescent="0.2">
      <c r="A51" s="171">
        <f>A49+1</f>
        <v>28</v>
      </c>
      <c r="B51" s="177"/>
      <c r="C51" s="163" t="s">
        <v>88</v>
      </c>
      <c r="D51" s="163"/>
      <c r="E51" s="163"/>
      <c r="F51" s="163"/>
      <c r="G51" s="163"/>
      <c r="H51" s="163" t="s">
        <v>1023</v>
      </c>
      <c r="I51" s="163"/>
      <c r="J51" s="173">
        <v>1897885</v>
      </c>
    </row>
    <row r="52" spans="1:10" x14ac:dyDescent="0.2">
      <c r="A52" s="171">
        <f t="shared" si="0"/>
        <v>29</v>
      </c>
      <c r="B52" s="177"/>
      <c r="C52" s="174" t="s">
        <v>89</v>
      </c>
      <c r="D52" s="163"/>
      <c r="E52" s="163"/>
      <c r="F52" s="163"/>
      <c r="G52" s="163"/>
      <c r="H52" s="163" t="s">
        <v>1024</v>
      </c>
      <c r="I52" s="163"/>
      <c r="J52" s="179">
        <v>140391327.7527799</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39818331.515215471</v>
      </c>
    </row>
    <row r="55" spans="1:10" x14ac:dyDescent="0.2">
      <c r="A55" s="171">
        <f t="shared" si="0"/>
        <v>32</v>
      </c>
      <c r="B55" s="177"/>
      <c r="C55" s="163" t="s">
        <v>92</v>
      </c>
      <c r="D55" s="163"/>
      <c r="E55" s="163"/>
      <c r="F55" s="163"/>
      <c r="G55" s="174"/>
      <c r="H55" s="163" t="s">
        <v>1027</v>
      </c>
      <c r="I55" s="163"/>
      <c r="J55" s="173">
        <v>-45826067.143195026</v>
      </c>
    </row>
    <row r="56" spans="1:10" x14ac:dyDescent="0.2">
      <c r="A56" s="171">
        <f t="shared" si="0"/>
        <v>33</v>
      </c>
      <c r="B56" s="177"/>
      <c r="C56" s="163" t="s">
        <v>93</v>
      </c>
      <c r="D56" s="163"/>
      <c r="E56" s="163"/>
      <c r="F56" s="163"/>
      <c r="G56" s="163"/>
      <c r="H56" s="163" t="str">
        <f>"Line "&amp;A34&amp;""</f>
        <v>Line 19</v>
      </c>
      <c r="I56" s="163"/>
      <c r="J56" s="179">
        <f>J34</f>
        <v>332527508.52790344</v>
      </c>
    </row>
    <row r="57" spans="1:10" x14ac:dyDescent="0.2">
      <c r="A57" s="171">
        <f t="shared" si="0"/>
        <v>34</v>
      </c>
      <c r="B57" s="177"/>
      <c r="C57" s="163" t="s">
        <v>94</v>
      </c>
      <c r="D57" s="163"/>
      <c r="E57" s="163"/>
      <c r="F57" s="163"/>
      <c r="G57" s="163"/>
      <c r="H57" s="163" t="str">
        <f>"Line "&amp;A38&amp;""</f>
        <v>Line 20</v>
      </c>
      <c r="I57" s="163"/>
      <c r="J57" s="186">
        <f>J38</f>
        <v>160823377.70013058</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746428020.60420883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25794672.536224183</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772222693.14043295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772222693.14043295</v>
      </c>
      <c r="F68" s="163"/>
      <c r="G68" s="163" t="str">
        <f>"Line "&amp;A64&amp;""</f>
        <v>Line 39</v>
      </c>
      <c r="H68" s="163"/>
      <c r="I68" s="163"/>
      <c r="J68" s="198" t="s">
        <v>103</v>
      </c>
      <c r="L68" s="70"/>
    </row>
    <row r="69" spans="1:12" x14ac:dyDescent="0.2">
      <c r="A69" s="171">
        <f>A68+1</f>
        <v>41</v>
      </c>
      <c r="B69" s="182"/>
      <c r="C69" s="163"/>
      <c r="D69" s="197" t="s">
        <v>104</v>
      </c>
      <c r="E69" s="199">
        <v>9.1427999999999995E-3</v>
      </c>
      <c r="F69" s="163"/>
      <c r="G69" s="163" t="s">
        <v>1045</v>
      </c>
      <c r="H69" s="163"/>
      <c r="I69" s="163"/>
      <c r="J69" s="200" t="s">
        <v>161</v>
      </c>
      <c r="L69" s="201"/>
    </row>
    <row r="70" spans="1:12" x14ac:dyDescent="0.2">
      <c r="A70" s="171">
        <f>A69+1</f>
        <v>42</v>
      </c>
      <c r="B70" s="182"/>
      <c r="C70" s="163"/>
      <c r="D70" s="202" t="s">
        <v>105</v>
      </c>
      <c r="E70" s="179">
        <v>7060277.6388443504</v>
      </c>
      <c r="F70" s="163"/>
      <c r="G70" s="163" t="str">
        <f>"Line "&amp;A68&amp;" * Line "&amp;A69&amp;""</f>
        <v>Line 40 * Line 41</v>
      </c>
      <c r="H70" s="163"/>
      <c r="I70" s="163"/>
      <c r="J70" s="203">
        <f>E73</f>
        <v>780869270.63552642</v>
      </c>
      <c r="L70" s="201"/>
    </row>
    <row r="71" spans="1:12" x14ac:dyDescent="0.2">
      <c r="A71" s="171">
        <f>A70+1</f>
        <v>43</v>
      </c>
      <c r="B71" s="182"/>
      <c r="C71" s="163"/>
      <c r="D71" s="197" t="s">
        <v>106</v>
      </c>
      <c r="E71" s="199">
        <v>2.0541999999999999E-3</v>
      </c>
      <c r="F71" s="163"/>
      <c r="G71" s="163" t="s">
        <v>1045</v>
      </c>
      <c r="H71" s="163"/>
      <c r="I71" s="163"/>
      <c r="J71" s="204">
        <v>780700463.00367677</v>
      </c>
    </row>
    <row r="72" spans="1:12" ht="13.5" thickBot="1" x14ac:dyDescent="0.25">
      <c r="A72" s="171">
        <f>A71+1</f>
        <v>44</v>
      </c>
      <c r="B72" s="182"/>
      <c r="C72" s="163"/>
      <c r="D72" s="197" t="s">
        <v>107</v>
      </c>
      <c r="E72" s="179">
        <v>1586299.8562490772</v>
      </c>
      <c r="F72" s="163"/>
      <c r="G72" s="163" t="str">
        <f>"Line "&amp;A70&amp;" * Line "&amp;A71&amp;""</f>
        <v>Line 42 * Line 43</v>
      </c>
      <c r="H72" s="163"/>
      <c r="I72" s="163"/>
      <c r="J72" s="205">
        <f>J70-J71</f>
        <v>168807.63184964657</v>
      </c>
    </row>
    <row r="73" spans="1:12" x14ac:dyDescent="0.2">
      <c r="A73" s="171">
        <f>A72+1</f>
        <v>45</v>
      </c>
      <c r="B73" s="182"/>
      <c r="C73" s="163"/>
      <c r="D73" s="197" t="s">
        <v>108</v>
      </c>
      <c r="E73" s="179">
        <f>E68+E70+E72</f>
        <v>780869270.63552642</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162</v>
      </c>
      <c r="H84" s="212" t="s">
        <v>163</v>
      </c>
      <c r="I84" s="174"/>
      <c r="J84" s="213">
        <v>365</v>
      </c>
      <c r="K84" s="174"/>
      <c r="L84" s="174"/>
    </row>
    <row r="85" spans="1:12" x14ac:dyDescent="0.2">
      <c r="B85" s="209" t="s">
        <v>123</v>
      </c>
      <c r="C85" s="174" t="s">
        <v>124</v>
      </c>
      <c r="D85" s="163"/>
      <c r="E85" s="214">
        <v>9.8000000000000004E-2</v>
      </c>
      <c r="F85" s="215" t="s">
        <v>125</v>
      </c>
      <c r="G85" s="211" t="s">
        <v>126</v>
      </c>
      <c r="H85" s="212" t="s">
        <v>126</v>
      </c>
      <c r="I85" s="174"/>
      <c r="J85" s="213">
        <v>0</v>
      </c>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2.3018070580712837E-2</v>
      </c>
      <c r="F95" s="163" t="s">
        <v>1031</v>
      </c>
      <c r="G95" s="163"/>
      <c r="H95" s="174"/>
      <c r="I95" s="174"/>
      <c r="J95" s="163"/>
    </row>
    <row r="96" spans="1:12" x14ac:dyDescent="0.2">
      <c r="B96" s="209" t="s">
        <v>140</v>
      </c>
      <c r="C96" s="174" t="s">
        <v>141</v>
      </c>
      <c r="D96" s="163"/>
      <c r="E96" s="492">
        <v>4.7957322732440416E-3</v>
      </c>
      <c r="F96" s="163" t="s">
        <v>1032</v>
      </c>
      <c r="G96" s="163"/>
      <c r="H96" s="174"/>
      <c r="I96" s="174"/>
      <c r="J96" s="163"/>
    </row>
    <row r="97" spans="1:10" x14ac:dyDescent="0.2">
      <c r="B97" s="209" t="s">
        <v>142</v>
      </c>
      <c r="C97" s="174" t="s">
        <v>143</v>
      </c>
      <c r="D97" s="163"/>
      <c r="E97" s="447">
        <v>4.673207068030695E-2</v>
      </c>
      <c r="F97" s="163" t="s">
        <v>1033</v>
      </c>
      <c r="G97" s="174"/>
      <c r="H97" s="174"/>
      <c r="I97" s="163"/>
      <c r="J97" s="163"/>
    </row>
    <row r="98" spans="1:10" x14ac:dyDescent="0.2">
      <c r="A98" s="163"/>
      <c r="B98" s="171" t="s">
        <v>144</v>
      </c>
      <c r="C98" s="176" t="s">
        <v>73</v>
      </c>
      <c r="D98" s="163"/>
      <c r="E98" s="448">
        <f>SUM(E95:E97)</f>
        <v>7.4545873534263826E-2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5.1527802953550993E-2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2013 True Up TRR)
&amp;RTO12 Draft Annual Update
Attachment 4
WP-Schedule 3-One Time Adj True Up Adj
Page &amp;P of &amp;N</oddHeader>
    <oddFooter>&amp;R&amp;A</oddFooter>
  </headerFooter>
  <rowBreaks count="4" manualBreakCount="4">
    <brk id="46" max="9" man="1"/>
    <brk id="73" max="16383" man="1"/>
    <brk id="119" max="9" man="1"/>
    <brk id="15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AB61"/>
  <sheetViews>
    <sheetView topLeftCell="E1" zoomScale="110" zoomScaleNormal="110" workbookViewId="0">
      <selection activeCell="J50" sqref="J50"/>
    </sheetView>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2013</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9236861538.4615383</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276667983.44230771</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9352989521.9038467</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458194997</v>
      </c>
    </row>
    <row r="20" spans="1:28" x14ac:dyDescent="0.2">
      <c r="A20" s="171">
        <f>A19+1</f>
        <v>10</v>
      </c>
      <c r="B20" s="183"/>
      <c r="C20" s="174" t="s">
        <v>666</v>
      </c>
      <c r="D20" s="174"/>
      <c r="E20" s="174"/>
      <c r="F20" s="174"/>
      <c r="G20" s="174"/>
      <c r="H20" s="174"/>
      <c r="I20" s="174"/>
      <c r="J20" s="176" t="s">
        <v>667</v>
      </c>
      <c r="K20" s="174"/>
      <c r="L20" s="454">
        <v>31867829</v>
      </c>
    </row>
    <row r="21" spans="1:28" x14ac:dyDescent="0.2">
      <c r="A21" s="171">
        <f t="shared" ref="A21:A27" si="1">A20+1</f>
        <v>11</v>
      </c>
      <c r="B21" s="183"/>
      <c r="C21" s="174" t="s">
        <v>668</v>
      </c>
      <c r="D21" s="174"/>
      <c r="E21" s="174"/>
      <c r="F21" s="174"/>
      <c r="G21" s="174"/>
      <c r="H21" s="174"/>
      <c r="I21" s="174"/>
      <c r="J21" s="176" t="s">
        <v>669</v>
      </c>
      <c r="K21" s="174"/>
      <c r="L21" s="454">
        <v>0</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490062826</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5.2396383514844921E-2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1825793411.5384614</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-35402077.34273506</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93">
        <v>-5500614.2553940862</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1784890719.9403324</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100083431</v>
      </c>
    </row>
    <row r="39" spans="1:28" x14ac:dyDescent="0.2">
      <c r="A39" s="171">
        <f>A38+1</f>
        <v>23</v>
      </c>
      <c r="B39" s="183"/>
      <c r="C39" s="174" t="s">
        <v>689</v>
      </c>
      <c r="D39" s="174"/>
      <c r="E39" s="174"/>
      <c r="F39" s="174"/>
      <c r="G39" s="174"/>
      <c r="H39" s="174"/>
      <c r="I39" s="174"/>
      <c r="J39" s="176" t="s">
        <v>157</v>
      </c>
      <c r="K39" s="174"/>
      <c r="L39" s="186">
        <v>387908.56509259297</v>
      </c>
    </row>
    <row r="40" spans="1:28" x14ac:dyDescent="0.2">
      <c r="A40" s="171">
        <f>A39+1</f>
        <v>24</v>
      </c>
      <c r="B40" s="183"/>
      <c r="C40" s="174" t="s">
        <v>690</v>
      </c>
      <c r="D40" s="174"/>
      <c r="E40" s="174"/>
      <c r="F40" s="174"/>
      <c r="G40" s="174"/>
      <c r="H40" s="174"/>
      <c r="I40" s="174"/>
      <c r="J40" s="176" t="s">
        <v>222</v>
      </c>
      <c r="K40" s="174"/>
      <c r="L40" s="186">
        <v>1631488.8333333335</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102102828.39842592</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5.7203966191184605E-2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11949251440.923077</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-1825793411.5384614</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5500614.2553940862</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-4329940</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27843096.907692309</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94">
        <f>SUM(L46:L50)</f>
        <v>10152471800.547701</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55" orientation="landscape" cellComments="asDisplayed" r:id="rId1"/>
  <headerFooter alignWithMargins="0">
    <oddHeader>&amp;CSchedule 5 ROR-1
Return and Capitalization
(Revised 2013 True Up TRR)&amp;RTO12 Draft Annual Update
Attachment 4
WP-Schedule 3-One Time Adj True Up Adj
Page &amp;P of &amp;N</oddHeader>
    <oddFooter>&amp;R&amp;A</oddFooter>
  </headerFooter>
  <colBreaks count="1" manualBreakCount="1">
    <brk id="12" max="1048575" man="1"/>
  </col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A1:Q81"/>
  <sheetViews>
    <sheetView zoomScale="110" zoomScaleNormal="110" workbookViewId="0">
      <selection activeCell="B28" sqref="B28"/>
    </sheetView>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495">
        <v>2013</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9236861538.4615383</v>
      </c>
      <c r="D8" s="454">
        <v>8714400000</v>
      </c>
      <c r="E8" s="454">
        <v>8714400000</v>
      </c>
      <c r="F8" s="454">
        <v>8714400000</v>
      </c>
      <c r="G8" s="454">
        <v>9114400000</v>
      </c>
      <c r="H8" s="454">
        <v>9310400000</v>
      </c>
      <c r="I8" s="454">
        <v>9310400000</v>
      </c>
      <c r="J8" s="454">
        <v>9114400000</v>
      </c>
      <c r="K8" s="454">
        <v>9114400000</v>
      </c>
      <c r="L8" s="454">
        <v>9114400000</v>
      </c>
      <c r="M8" s="454">
        <v>9114400000</v>
      </c>
      <c r="N8" s="454">
        <v>9914400000</v>
      </c>
      <c r="O8" s="454">
        <v>9914400000</v>
      </c>
      <c r="P8" s="454">
        <v>9914400000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c r="F12" s="243"/>
      <c r="G12" s="243"/>
      <c r="H12" s="243"/>
      <c r="I12" s="243"/>
      <c r="J12" s="243"/>
      <c r="K12" s="243"/>
      <c r="L12" s="243"/>
      <c r="M12" s="243"/>
      <c r="N12" s="243"/>
      <c r="O12" s="243"/>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276667983.44230771</v>
      </c>
      <c r="D14" s="454">
        <v>306847045</v>
      </c>
      <c r="E14" s="454">
        <v>306842795.75999999</v>
      </c>
      <c r="F14" s="454">
        <v>306838528.5</v>
      </c>
      <c r="G14" s="454">
        <v>306834243.25</v>
      </c>
      <c r="H14" s="454">
        <v>110829939.93000001</v>
      </c>
      <c r="I14" s="454">
        <v>110825618.45999999</v>
      </c>
      <c r="J14" s="454">
        <v>306821278.76999998</v>
      </c>
      <c r="K14" s="454">
        <v>306816920.77999997</v>
      </c>
      <c r="L14" s="454">
        <v>306812544.41000003</v>
      </c>
      <c r="M14" s="454">
        <v>306812544.41000003</v>
      </c>
      <c r="N14" s="454">
        <v>306803736.24000001</v>
      </c>
      <c r="O14" s="454">
        <v>306803736.24000001</v>
      </c>
      <c r="P14" s="454">
        <v>306794853</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1825793411.5384614</v>
      </c>
      <c r="D24" s="454">
        <v>1795014950</v>
      </c>
      <c r="E24" s="454">
        <v>2195024950</v>
      </c>
      <c r="F24" s="454">
        <v>1795024950</v>
      </c>
      <c r="G24" s="454">
        <v>1795024950</v>
      </c>
      <c r="H24" s="454">
        <v>1795024950</v>
      </c>
      <c r="I24" s="454">
        <v>1795024950</v>
      </c>
      <c r="J24" s="454">
        <v>1795024950</v>
      </c>
      <c r="K24" s="454">
        <v>1795024950</v>
      </c>
      <c r="L24" s="454">
        <v>1795024950</v>
      </c>
      <c r="M24" s="454">
        <v>1795024950</v>
      </c>
      <c r="N24" s="454">
        <v>1795024950</v>
      </c>
      <c r="O24" s="454">
        <v>1795024950</v>
      </c>
      <c r="P24" s="454">
        <v>1795024950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-35402077.34273506</v>
      </c>
      <c r="D26" s="455">
        <v>-28453741.341666684</v>
      </c>
      <c r="E26" s="456">
        <v>-41306401.00555557</v>
      </c>
      <c r="F26" s="456">
        <v>-41150739.538888909</v>
      </c>
      <c r="G26" s="456">
        <v>-35541902.544444457</v>
      </c>
      <c r="H26" s="456">
        <v>-35406282.502777785</v>
      </c>
      <c r="I26" s="456">
        <v>-35270662.461111121</v>
      </c>
      <c r="J26" s="456">
        <v>-35135042.419444449</v>
      </c>
      <c r="K26" s="456">
        <v>-34999422.377777793</v>
      </c>
      <c r="L26" s="456">
        <v>-34863802.336111128</v>
      </c>
      <c r="M26" s="456">
        <v>-34728182.294444457</v>
      </c>
      <c r="N26" s="456">
        <v>-34592562.252777785</v>
      </c>
      <c r="O26" s="456">
        <v>-34456942.211111121</v>
      </c>
      <c r="P26" s="457">
        <v>-34321322.169444457</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-5500614.2553940862</v>
      </c>
      <c r="D28" s="455">
        <v>-1457503.1862745101</v>
      </c>
      <c r="E28" s="456">
        <v>-1440380.88235294</v>
      </c>
      <c r="F28" s="456">
        <v>-1423258.57843137</v>
      </c>
      <c r="G28" s="456">
        <v>-6864149.8468632111</v>
      </c>
      <c r="H28" s="456">
        <v>-6831824.1625172598</v>
      </c>
      <c r="I28" s="456">
        <v>-6799498.4781713085</v>
      </c>
      <c r="J28" s="456">
        <v>-6767172.7938253572</v>
      </c>
      <c r="K28" s="456">
        <v>-6734847.1094794059</v>
      </c>
      <c r="L28" s="456">
        <v>-6702521.4251334546</v>
      </c>
      <c r="M28" s="456">
        <v>-6670195.7407875033</v>
      </c>
      <c r="N28" s="456">
        <v>-6637870.056441552</v>
      </c>
      <c r="O28" s="456">
        <v>-6605544.3720956007</v>
      </c>
      <c r="P28" s="457">
        <v>-6573218.6877496485</v>
      </c>
    </row>
    <row r="29" spans="1:17" x14ac:dyDescent="0.2">
      <c r="A29" s="163"/>
      <c r="B29" s="183" t="s">
        <v>599</v>
      </c>
    </row>
    <row r="30" spans="1:17" x14ac:dyDescent="0.2">
      <c r="A30" s="171">
        <v>27</v>
      </c>
      <c r="B30" s="171"/>
      <c r="C30" s="188">
        <f>SUM(D30:P30)/13</f>
        <v>11949251440.923077</v>
      </c>
      <c r="D30" s="454">
        <v>11742269183</v>
      </c>
      <c r="E30" s="454">
        <v>12242650421</v>
      </c>
      <c r="F30" s="454">
        <v>11782393825</v>
      </c>
      <c r="G30" s="454">
        <v>11842460987</v>
      </c>
      <c r="H30" s="454">
        <v>11921373583</v>
      </c>
      <c r="I30" s="454">
        <v>12011591927</v>
      </c>
      <c r="J30" s="454">
        <v>11631051174</v>
      </c>
      <c r="K30" s="454">
        <v>11778439886</v>
      </c>
      <c r="L30" s="454">
        <v>11944455869</v>
      </c>
      <c r="M30" s="454">
        <v>11991410102</v>
      </c>
      <c r="N30" s="454">
        <v>12106962926</v>
      </c>
      <c r="O30" s="454">
        <v>12207091145</v>
      </c>
      <c r="P30" s="454">
        <v>12138117704</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-4329940</v>
      </c>
      <c r="D32" s="454">
        <v>-4422360</v>
      </c>
      <c r="E32" s="454">
        <v>-4426872</v>
      </c>
      <c r="F32" s="454">
        <v>-4748002</v>
      </c>
      <c r="G32" s="454">
        <v>-4681883</v>
      </c>
      <c r="H32" s="454">
        <v>-4790733</v>
      </c>
      <c r="I32" s="454">
        <v>-4786661</v>
      </c>
      <c r="J32" s="454">
        <v>-4799814</v>
      </c>
      <c r="K32" s="454">
        <v>-4786096</v>
      </c>
      <c r="L32" s="454">
        <v>-4818349</v>
      </c>
      <c r="M32" s="454">
        <v>-4904928</v>
      </c>
      <c r="N32" s="454">
        <v>-3117926</v>
      </c>
      <c r="O32" s="454">
        <v>-2923865</v>
      </c>
      <c r="P32" s="454">
        <v>-3081731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27843096.907692309</v>
      </c>
      <c r="D34" s="454">
        <v>29327312.170000002</v>
      </c>
      <c r="E34" s="454">
        <v>29038024.649999999</v>
      </c>
      <c r="F34" s="454">
        <v>28748737.140000001</v>
      </c>
      <c r="G34" s="454">
        <v>32113940.670000002</v>
      </c>
      <c r="H34" s="454">
        <v>31373097.379999999</v>
      </c>
      <c r="I34" s="454">
        <v>30970920.93</v>
      </c>
      <c r="J34" s="454">
        <v>30492435.449999999</v>
      </c>
      <c r="K34" s="454">
        <v>29165242.43</v>
      </c>
      <c r="L34" s="454">
        <v>28763065.98</v>
      </c>
      <c r="M34" s="454">
        <v>28360889.52</v>
      </c>
      <c r="N34" s="454">
        <v>26775860.760000002</v>
      </c>
      <c r="O34" s="454">
        <v>25906124.600000001</v>
      </c>
      <c r="P34" s="454">
        <v>10924608.119999999</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ht="13.5" thickBot="1" x14ac:dyDescent="0.25">
      <c r="A57" s="163"/>
      <c r="B57" s="163"/>
      <c r="C57" s="458" t="s">
        <v>626</v>
      </c>
      <c r="D57" s="459"/>
      <c r="E57" s="460">
        <v>325000000</v>
      </c>
      <c r="F57" s="461">
        <v>38469</v>
      </c>
      <c r="G57" s="460">
        <v>4409385</v>
      </c>
      <c r="H57" s="462">
        <v>5</v>
      </c>
      <c r="I57" s="463" t="s">
        <v>126</v>
      </c>
      <c r="J57" s="464" t="s">
        <v>627</v>
      </c>
      <c r="K57" s="218"/>
      <c r="L57" s="218"/>
      <c r="M57" s="218"/>
    </row>
    <row r="58" spans="1:13" ht="13.5" thickBot="1" x14ac:dyDescent="0.25">
      <c r="A58" s="163"/>
      <c r="B58" s="163"/>
      <c r="C58" s="458" t="s">
        <v>628</v>
      </c>
      <c r="D58" s="459"/>
      <c r="E58" s="244">
        <v>200000000</v>
      </c>
      <c r="F58" s="461">
        <v>38610</v>
      </c>
      <c r="G58" s="244">
        <v>3435743</v>
      </c>
      <c r="H58" s="462">
        <v>30</v>
      </c>
      <c r="I58" s="496">
        <f>114525*(2/12)</f>
        <v>19087.5</v>
      </c>
      <c r="J58" s="497" t="s">
        <v>705</v>
      </c>
      <c r="K58" s="498"/>
      <c r="L58" s="499"/>
      <c r="M58" s="218"/>
    </row>
    <row r="59" spans="1:13" ht="13.5" thickBot="1" x14ac:dyDescent="0.25">
      <c r="A59" s="163"/>
      <c r="B59" s="163"/>
      <c r="C59" s="458" t="s">
        <v>629</v>
      </c>
      <c r="D59" s="459"/>
      <c r="E59" s="244">
        <v>200000000</v>
      </c>
      <c r="F59" s="461">
        <v>38741</v>
      </c>
      <c r="G59" s="244">
        <v>3779170</v>
      </c>
      <c r="H59" s="462">
        <v>30</v>
      </c>
      <c r="I59" s="500">
        <f>125972*(2/12)</f>
        <v>20995.333333333332</v>
      </c>
      <c r="J59" s="501" t="s">
        <v>705</v>
      </c>
      <c r="K59" s="502"/>
      <c r="L59" s="503"/>
      <c r="M59" s="218"/>
    </row>
    <row r="60" spans="1:13" x14ac:dyDescent="0.2">
      <c r="A60" s="163"/>
      <c r="B60" s="163"/>
      <c r="C60" s="465" t="s">
        <v>630</v>
      </c>
      <c r="D60" s="466"/>
      <c r="E60" s="114">
        <v>125000000</v>
      </c>
      <c r="F60" s="467">
        <v>40612</v>
      </c>
      <c r="G60" s="114">
        <v>2577363</v>
      </c>
      <c r="H60" s="468">
        <v>30</v>
      </c>
      <c r="I60" s="244">
        <v>85912</v>
      </c>
      <c r="J60" s="464"/>
      <c r="K60" s="218"/>
      <c r="L60" s="218"/>
      <c r="M60" s="218"/>
    </row>
    <row r="61" spans="1:13" x14ac:dyDescent="0.2">
      <c r="A61" s="163"/>
      <c r="B61" s="163"/>
      <c r="C61" s="465" t="s">
        <v>631</v>
      </c>
      <c r="D61" s="466"/>
      <c r="E61" s="114">
        <v>350000000</v>
      </c>
      <c r="F61" s="467">
        <v>40925</v>
      </c>
      <c r="G61" s="114">
        <v>5957289</v>
      </c>
      <c r="H61" s="469">
        <v>10</v>
      </c>
      <c r="I61" s="244">
        <v>595729</v>
      </c>
      <c r="J61" s="464"/>
      <c r="K61" s="218"/>
      <c r="L61" s="218"/>
      <c r="M61" s="218"/>
    </row>
    <row r="62" spans="1:13" x14ac:dyDescent="0.2">
      <c r="A62" s="163"/>
      <c r="B62" s="163"/>
      <c r="C62" s="465" t="s">
        <v>633</v>
      </c>
      <c r="D62" s="466"/>
      <c r="E62" s="114">
        <v>475000000</v>
      </c>
      <c r="F62" s="467">
        <v>41046</v>
      </c>
      <c r="G62" s="114">
        <v>15401698</v>
      </c>
      <c r="H62" s="468">
        <v>30</v>
      </c>
      <c r="I62" s="244">
        <v>513390</v>
      </c>
      <c r="J62" s="470"/>
      <c r="K62" s="218"/>
      <c r="L62" s="218"/>
      <c r="M62" s="218"/>
    </row>
    <row r="63" spans="1:13" x14ac:dyDescent="0.2">
      <c r="A63" s="163"/>
      <c r="B63" s="163"/>
      <c r="C63" s="459" t="s">
        <v>706</v>
      </c>
      <c r="D63" s="459"/>
      <c r="E63" s="244">
        <v>400000000</v>
      </c>
      <c r="F63" s="461">
        <v>41303</v>
      </c>
      <c r="G63" s="244">
        <v>12972286</v>
      </c>
      <c r="H63" s="462">
        <v>30</v>
      </c>
      <c r="I63" s="244">
        <v>396375</v>
      </c>
      <c r="J63" s="464" t="s">
        <v>707</v>
      </c>
      <c r="K63" s="218"/>
      <c r="L63" s="218"/>
      <c r="M63" s="218"/>
    </row>
    <row r="64" spans="1:13" x14ac:dyDescent="0.2">
      <c r="A64" s="163"/>
      <c r="B64" s="163"/>
      <c r="C64" s="459" t="s">
        <v>635</v>
      </c>
      <c r="D64" s="459"/>
      <c r="E64" s="473"/>
      <c r="F64" s="244"/>
      <c r="G64" s="462"/>
      <c r="H64" s="244"/>
      <c r="I64" s="213"/>
      <c r="J64" s="218"/>
      <c r="K64" s="218"/>
      <c r="L64" s="218"/>
      <c r="M64" s="218"/>
    </row>
    <row r="65" spans="1:13" x14ac:dyDescent="0.2">
      <c r="A65" s="163"/>
      <c r="B65" s="163"/>
      <c r="C65" s="471"/>
      <c r="D65" s="471"/>
      <c r="E65" s="163"/>
      <c r="F65" s="163"/>
      <c r="G65" s="163"/>
      <c r="H65" s="163"/>
      <c r="I65" s="504">
        <f>SUM(I58:I64)</f>
        <v>1631488.8333333335</v>
      </c>
      <c r="J65" s="174" t="s">
        <v>636</v>
      </c>
      <c r="K65" s="163"/>
      <c r="L65" s="163"/>
      <c r="M65" s="163"/>
    </row>
    <row r="66" spans="1:13" x14ac:dyDescent="0.2">
      <c r="A66" s="163"/>
      <c r="B66" s="174" t="s">
        <v>637</v>
      </c>
      <c r="G66" s="163"/>
      <c r="H66" s="163"/>
      <c r="I66" s="163"/>
      <c r="J66" s="163"/>
      <c r="K66" s="163"/>
      <c r="L66" s="163"/>
      <c r="M66" s="163"/>
    </row>
    <row r="67" spans="1:13" x14ac:dyDescent="0.2">
      <c r="A67" s="163"/>
      <c r="B67" s="176" t="s">
        <v>638</v>
      </c>
      <c r="G67" s="163"/>
      <c r="H67" s="163"/>
      <c r="I67" s="163"/>
      <c r="J67" s="163"/>
      <c r="K67" s="163"/>
      <c r="L67" s="163"/>
      <c r="M67" s="163"/>
    </row>
    <row r="68" spans="1:13" x14ac:dyDescent="0.2">
      <c r="A68" s="163"/>
      <c r="B68" s="163"/>
      <c r="G68" s="171" t="s">
        <v>617</v>
      </c>
      <c r="H68" s="163"/>
      <c r="I68" s="163"/>
      <c r="J68" s="163"/>
      <c r="K68" s="163"/>
      <c r="L68" s="163"/>
      <c r="M68" s="163"/>
    </row>
    <row r="69" spans="1:13" x14ac:dyDescent="0.2">
      <c r="A69" s="163"/>
      <c r="B69" s="163"/>
      <c r="C69" s="171"/>
      <c r="E69" s="166" t="s">
        <v>639</v>
      </c>
      <c r="F69" s="171" t="s">
        <v>617</v>
      </c>
      <c r="G69" s="171" t="s">
        <v>620</v>
      </c>
      <c r="H69" s="171" t="s">
        <v>621</v>
      </c>
      <c r="I69" s="171"/>
      <c r="J69" s="163"/>
      <c r="K69" s="163"/>
      <c r="L69" s="163"/>
      <c r="M69" s="163"/>
    </row>
    <row r="70" spans="1:13" x14ac:dyDescent="0.2">
      <c r="A70" s="163"/>
      <c r="B70" s="163"/>
      <c r="C70" s="207" t="s">
        <v>640</v>
      </c>
      <c r="E70" s="207" t="s">
        <v>623</v>
      </c>
      <c r="F70" s="207" t="s">
        <v>34</v>
      </c>
      <c r="G70" s="241" t="s">
        <v>625</v>
      </c>
      <c r="H70" s="207" t="s">
        <v>617</v>
      </c>
      <c r="I70" s="207" t="s">
        <v>45</v>
      </c>
      <c r="J70" s="163"/>
      <c r="K70" s="163"/>
      <c r="L70" s="163"/>
      <c r="M70" s="163"/>
    </row>
    <row r="71" spans="1:13" x14ac:dyDescent="0.2">
      <c r="A71" s="163"/>
      <c r="B71" s="163"/>
      <c r="C71" s="458" t="s">
        <v>641</v>
      </c>
      <c r="D71" s="459"/>
      <c r="E71" s="472">
        <v>31352</v>
      </c>
      <c r="F71" s="244">
        <v>-286600</v>
      </c>
      <c r="G71" s="462">
        <v>34</v>
      </c>
      <c r="H71" s="244">
        <v>-8429</v>
      </c>
      <c r="I71" s="218" t="s">
        <v>643</v>
      </c>
      <c r="J71" s="218"/>
      <c r="K71" s="218"/>
      <c r="L71" s="218"/>
      <c r="M71" s="218"/>
    </row>
    <row r="72" spans="1:13" x14ac:dyDescent="0.2">
      <c r="A72" s="163"/>
      <c r="B72" s="163"/>
      <c r="C72" s="458" t="s">
        <v>644</v>
      </c>
      <c r="D72" s="459"/>
      <c r="E72" s="473">
        <v>31444</v>
      </c>
      <c r="F72" s="244">
        <v>6247500</v>
      </c>
      <c r="G72" s="462">
        <v>34</v>
      </c>
      <c r="H72" s="244">
        <v>183750</v>
      </c>
      <c r="I72" s="218" t="s">
        <v>646</v>
      </c>
      <c r="J72" s="218"/>
      <c r="K72" s="218"/>
      <c r="L72" s="218"/>
      <c r="M72" s="218"/>
    </row>
    <row r="73" spans="1:13" ht="13.5" thickBot="1" x14ac:dyDescent="0.25">
      <c r="A73" s="163"/>
      <c r="B73" s="163"/>
      <c r="C73" s="458" t="s">
        <v>644</v>
      </c>
      <c r="D73" s="459"/>
      <c r="E73" s="473">
        <v>31444</v>
      </c>
      <c r="F73" s="244">
        <v>1025000</v>
      </c>
      <c r="G73" s="462">
        <v>34</v>
      </c>
      <c r="H73" s="244">
        <v>30147</v>
      </c>
      <c r="I73" s="218" t="s">
        <v>647</v>
      </c>
      <c r="J73" s="218"/>
      <c r="K73" s="218"/>
      <c r="L73" s="218"/>
      <c r="M73" s="218"/>
    </row>
    <row r="74" spans="1:13" x14ac:dyDescent="0.2">
      <c r="A74" s="163"/>
      <c r="B74" s="163"/>
      <c r="C74" s="505" t="s">
        <v>708</v>
      </c>
      <c r="D74" s="506"/>
      <c r="E74" s="507">
        <v>41333</v>
      </c>
      <c r="F74" s="508">
        <v>2586350.9805555502</v>
      </c>
      <c r="G74" s="509">
        <v>30</v>
      </c>
      <c r="H74" s="508">
        <v>86211.699351851668</v>
      </c>
      <c r="I74" s="498" t="s">
        <v>709</v>
      </c>
      <c r="J74" s="499"/>
      <c r="K74" s="218"/>
      <c r="L74" s="218"/>
      <c r="M74" s="218"/>
    </row>
    <row r="75" spans="1:13" ht="13.5" thickBot="1" x14ac:dyDescent="0.25">
      <c r="A75" s="163"/>
      <c r="B75" s="163"/>
      <c r="C75" s="510" t="s">
        <v>710</v>
      </c>
      <c r="D75" s="511"/>
      <c r="E75" s="512">
        <v>41333</v>
      </c>
      <c r="F75" s="513">
        <v>2886865.9722222402</v>
      </c>
      <c r="G75" s="514">
        <v>30</v>
      </c>
      <c r="H75" s="513">
        <v>96228.865740741341</v>
      </c>
      <c r="I75" s="515" t="s">
        <v>709</v>
      </c>
      <c r="J75" s="516"/>
      <c r="K75" s="218"/>
      <c r="L75" s="218"/>
      <c r="M75" s="218"/>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SUM(H71:H76)</f>
        <v>387908.56509259297</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pageMargins left="0.7" right="0.7" top="0.75" bottom="0.75" header="0.3" footer="0.3"/>
  <pageSetup scale="57" fitToHeight="0" orientation="landscape" cellComments="asDisplayed" r:id="rId1"/>
  <headerFooter>
    <oddHeader>&amp;CSchedule 5 ROR-2
Return and Capitalization
(Revised 2013 True Up TRR)&amp;RTO12 Draft Annual Update
Attachment 4
WP-Schedule 3-One Time Adj True Up Adj
Page &amp;P of &amp;N</oddHeader>
    <oddFooter>&amp;R5-ROR-2</oddFooter>
  </headerFooter>
  <rowBreaks count="1" manualBreakCount="1">
    <brk id="41" max="15"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dimension ref="A1:AR182"/>
  <sheetViews>
    <sheetView zoomScale="120" zoomScaleNormal="120" workbookViewId="0">
      <selection activeCell="E98" sqref="E98"/>
    </sheetView>
  </sheetViews>
  <sheetFormatPr defaultRowHeight="12.75" x14ac:dyDescent="0.2"/>
  <cols>
    <col min="1" max="1" width="4.7109375" customWidth="1"/>
    <col min="2" max="2" width="10.7109375" customWidth="1"/>
    <col min="3" max="3" width="13.7109375" customWidth="1"/>
    <col min="4" max="4" width="14.5703125" customWidth="1"/>
    <col min="5" max="5" width="13.7109375" customWidth="1"/>
    <col min="6" max="6" width="15" bestFit="1" customWidth="1"/>
    <col min="7" max="7" width="15.85546875" customWidth="1"/>
    <col min="8" max="8" width="15" bestFit="1" customWidth="1"/>
    <col min="9" max="12" width="13.7109375" customWidth="1"/>
    <col min="13" max="13" width="15.2851562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2013</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716</v>
      </c>
      <c r="C11" s="243">
        <v>77316396.51413767</v>
      </c>
      <c r="D11" s="525">
        <v>108586633.1352807</v>
      </c>
      <c r="E11" s="526">
        <v>207656916.13885635</v>
      </c>
      <c r="F11" s="243">
        <v>2231719300.1651497</v>
      </c>
      <c r="G11" s="243">
        <v>728242650.76823425</v>
      </c>
      <c r="H11" s="243">
        <v>148632888.64818719</v>
      </c>
      <c r="I11" s="243">
        <v>494953932.80086237</v>
      </c>
      <c r="J11" s="243">
        <v>645861.64825142385</v>
      </c>
      <c r="K11" s="243">
        <v>3959306.6879747109</v>
      </c>
      <c r="L11" s="243">
        <v>38747355.218424648</v>
      </c>
      <c r="M11" s="527">
        <f t="shared" ref="M11:M23" si="0">SUM(C11:L11)</f>
        <v>4040461241.7253594</v>
      </c>
    </row>
    <row r="12" spans="1:13" x14ac:dyDescent="0.2">
      <c r="A12" s="166">
        <f>A11+1</f>
        <v>2</v>
      </c>
      <c r="B12" s="528" t="s">
        <v>717</v>
      </c>
      <c r="C12" s="529">
        <f t="shared" ref="C12:L22" si="1">C146+C94 +C11</f>
        <v>77316396.51413767</v>
      </c>
      <c r="D12" s="530">
        <f t="shared" si="1"/>
        <v>126505712.03808522</v>
      </c>
      <c r="E12" s="529">
        <f t="shared" si="1"/>
        <v>207582257.14986682</v>
      </c>
      <c r="F12" s="529">
        <f t="shared" si="1"/>
        <v>2233679646.5696373</v>
      </c>
      <c r="G12" s="529">
        <f t="shared" si="1"/>
        <v>794383591.91351604</v>
      </c>
      <c r="H12" s="529">
        <f t="shared" si="1"/>
        <v>148499913.59606522</v>
      </c>
      <c r="I12" s="529">
        <f t="shared" si="1"/>
        <v>531437476.3474859</v>
      </c>
      <c r="J12" s="529">
        <f t="shared" si="1"/>
        <v>650483.07497889712</v>
      </c>
      <c r="K12" s="529">
        <f t="shared" si="1"/>
        <v>5577280.30619846</v>
      </c>
      <c r="L12" s="529">
        <f t="shared" si="1"/>
        <v>45091363.648424648</v>
      </c>
      <c r="M12" s="529">
        <f t="shared" si="0"/>
        <v>4170724121.1583962</v>
      </c>
    </row>
    <row r="13" spans="1:13" x14ac:dyDescent="0.2">
      <c r="A13" s="166">
        <f t="shared" ref="A13:A24" si="2">A12+1</f>
        <v>3</v>
      </c>
      <c r="B13" s="531" t="s">
        <v>718</v>
      </c>
      <c r="C13" s="529">
        <f t="shared" si="1"/>
        <v>77316396.51413767</v>
      </c>
      <c r="D13" s="530">
        <f t="shared" si="1"/>
        <v>126531642.82208216</v>
      </c>
      <c r="E13" s="529">
        <f t="shared" si="1"/>
        <v>208949623.07414725</v>
      </c>
      <c r="F13" s="529">
        <f t="shared" si="1"/>
        <v>2245907045.5327725</v>
      </c>
      <c r="G13" s="529">
        <f t="shared" si="1"/>
        <v>804782235.59252107</v>
      </c>
      <c r="H13" s="529">
        <f t="shared" si="1"/>
        <v>148493741.34432957</v>
      </c>
      <c r="I13" s="529">
        <f t="shared" si="1"/>
        <v>534552938.04019475</v>
      </c>
      <c r="J13" s="529">
        <f t="shared" si="1"/>
        <v>650105.56284478423</v>
      </c>
      <c r="K13" s="529">
        <f t="shared" si="1"/>
        <v>5568870.6202583313</v>
      </c>
      <c r="L13" s="529">
        <f t="shared" si="1"/>
        <v>45231239.008424647</v>
      </c>
      <c r="M13" s="529">
        <f t="shared" si="0"/>
        <v>4197983838.1117129</v>
      </c>
    </row>
    <row r="14" spans="1:13" x14ac:dyDescent="0.2">
      <c r="A14" s="166">
        <f t="shared" si="2"/>
        <v>4</v>
      </c>
      <c r="B14" s="531" t="s">
        <v>719</v>
      </c>
      <c r="C14" s="529">
        <f t="shared" si="1"/>
        <v>75619690.504421115</v>
      </c>
      <c r="D14" s="530">
        <f t="shared" si="1"/>
        <v>126644930.03379877</v>
      </c>
      <c r="E14" s="529">
        <f t="shared" si="1"/>
        <v>208841292.99021372</v>
      </c>
      <c r="F14" s="529">
        <f t="shared" si="1"/>
        <v>2257152253.8433347</v>
      </c>
      <c r="G14" s="529">
        <f t="shared" si="1"/>
        <v>807312370.99323034</v>
      </c>
      <c r="H14" s="529">
        <f t="shared" si="1"/>
        <v>148457314.11645523</v>
      </c>
      <c r="I14" s="529">
        <f t="shared" si="1"/>
        <v>533931749.18536782</v>
      </c>
      <c r="J14" s="529">
        <f t="shared" si="1"/>
        <v>648506.30969859031</v>
      </c>
      <c r="K14" s="529">
        <f t="shared" si="1"/>
        <v>5370796.5173368203</v>
      </c>
      <c r="L14" s="529">
        <f t="shared" si="1"/>
        <v>45139353.164887168</v>
      </c>
      <c r="M14" s="529">
        <f t="shared" si="0"/>
        <v>4209118257.6587439</v>
      </c>
    </row>
    <row r="15" spans="1:13" x14ac:dyDescent="0.2">
      <c r="A15" s="166">
        <f t="shared" si="2"/>
        <v>5</v>
      </c>
      <c r="B15" s="528" t="s">
        <v>720</v>
      </c>
      <c r="C15" s="529">
        <f t="shared" si="1"/>
        <v>75619690.504421115</v>
      </c>
      <c r="D15" s="530">
        <f t="shared" si="1"/>
        <v>126626407.08217348</v>
      </c>
      <c r="E15" s="529">
        <f t="shared" si="1"/>
        <v>215333200.04221949</v>
      </c>
      <c r="F15" s="529">
        <f t="shared" si="1"/>
        <v>2271123566.0844746</v>
      </c>
      <c r="G15" s="529">
        <f t="shared" si="1"/>
        <v>811280691.12277877</v>
      </c>
      <c r="H15" s="529">
        <f t="shared" si="1"/>
        <v>148327990.62012655</v>
      </c>
      <c r="I15" s="529">
        <f t="shared" si="1"/>
        <v>534899708.12174791</v>
      </c>
      <c r="J15" s="529">
        <f t="shared" si="1"/>
        <v>556091.98495378671</v>
      </c>
      <c r="K15" s="529">
        <f t="shared" si="1"/>
        <v>4843518.2129403176</v>
      </c>
      <c r="L15" s="529">
        <f t="shared" si="1"/>
        <v>45734743.157632329</v>
      </c>
      <c r="M15" s="529">
        <f t="shared" si="0"/>
        <v>4234345606.9334688</v>
      </c>
    </row>
    <row r="16" spans="1:13" x14ac:dyDescent="0.2">
      <c r="A16" s="166">
        <f t="shared" si="2"/>
        <v>6</v>
      </c>
      <c r="B16" s="531" t="s">
        <v>721</v>
      </c>
      <c r="C16" s="529">
        <f t="shared" si="1"/>
        <v>75599623.0390466</v>
      </c>
      <c r="D16" s="530">
        <f t="shared" si="1"/>
        <v>126642002.58217348</v>
      </c>
      <c r="E16" s="529">
        <f t="shared" si="1"/>
        <v>216022826.49161839</v>
      </c>
      <c r="F16" s="529">
        <f t="shared" si="1"/>
        <v>2284177210.2757578</v>
      </c>
      <c r="G16" s="529">
        <f t="shared" si="1"/>
        <v>957405089.5125196</v>
      </c>
      <c r="H16" s="529">
        <f t="shared" si="1"/>
        <v>148094089.48853403</v>
      </c>
      <c r="I16" s="529">
        <f t="shared" si="1"/>
        <v>602680253.14870811</v>
      </c>
      <c r="J16" s="529">
        <f t="shared" si="1"/>
        <v>474586.05774597556</v>
      </c>
      <c r="K16" s="529">
        <f t="shared" si="1"/>
        <v>4694439.6331702713</v>
      </c>
      <c r="L16" s="529">
        <f t="shared" si="1"/>
        <v>49463325.38229496</v>
      </c>
      <c r="M16" s="529">
        <f t="shared" si="0"/>
        <v>4465253445.6115694</v>
      </c>
    </row>
    <row r="17" spans="1:15" x14ac:dyDescent="0.2">
      <c r="A17" s="166">
        <f t="shared" si="2"/>
        <v>7</v>
      </c>
      <c r="B17" s="531" t="s">
        <v>722</v>
      </c>
      <c r="C17" s="529">
        <f t="shared" si="1"/>
        <v>76077809.090179399</v>
      </c>
      <c r="D17" s="530">
        <f t="shared" si="1"/>
        <v>126658858.0302497</v>
      </c>
      <c r="E17" s="529">
        <f t="shared" si="1"/>
        <v>312290211.24487573</v>
      </c>
      <c r="F17" s="529">
        <f t="shared" si="1"/>
        <v>2531814401.8881683</v>
      </c>
      <c r="G17" s="529">
        <f t="shared" si="1"/>
        <v>1213299096.3322084</v>
      </c>
      <c r="H17" s="529">
        <f t="shared" si="1"/>
        <v>146230629.49712646</v>
      </c>
      <c r="I17" s="529">
        <f t="shared" si="1"/>
        <v>690952745.81531549</v>
      </c>
      <c r="J17" s="529">
        <f t="shared" si="1"/>
        <v>318671.13092629367</v>
      </c>
      <c r="K17" s="529">
        <f t="shared" si="1"/>
        <v>6801052.9430277199</v>
      </c>
      <c r="L17" s="529">
        <f t="shared" si="1"/>
        <v>66620480.67270954</v>
      </c>
      <c r="M17" s="529">
        <f t="shared" si="0"/>
        <v>5171063956.6447868</v>
      </c>
    </row>
    <row r="18" spans="1:15" x14ac:dyDescent="0.2">
      <c r="A18" s="166">
        <f t="shared" si="2"/>
        <v>8</v>
      </c>
      <c r="B18" s="528" t="s">
        <v>723</v>
      </c>
      <c r="C18" s="529">
        <f t="shared" si="1"/>
        <v>76075348.023929104</v>
      </c>
      <c r="D18" s="530">
        <f t="shared" si="1"/>
        <v>126645759.08986215</v>
      </c>
      <c r="E18" s="529">
        <f t="shared" si="1"/>
        <v>322573022.07723522</v>
      </c>
      <c r="F18" s="529">
        <f t="shared" si="1"/>
        <v>2582262195.1811056</v>
      </c>
      <c r="G18" s="529">
        <f t="shared" si="1"/>
        <v>1218704700.4080455</v>
      </c>
      <c r="H18" s="529">
        <f t="shared" si="1"/>
        <v>145554368.78338453</v>
      </c>
      <c r="I18" s="529">
        <f t="shared" si="1"/>
        <v>691664573.18903291</v>
      </c>
      <c r="J18" s="529">
        <f t="shared" si="1"/>
        <v>269427.67180464865</v>
      </c>
      <c r="K18" s="529">
        <f t="shared" si="1"/>
        <v>6900407.6260699993</v>
      </c>
      <c r="L18" s="529">
        <f t="shared" si="1"/>
        <v>66955781.732181869</v>
      </c>
      <c r="M18" s="529">
        <f t="shared" si="0"/>
        <v>5237605583.7826509</v>
      </c>
    </row>
    <row r="19" spans="1:15" x14ac:dyDescent="0.2">
      <c r="A19" s="166">
        <f t="shared" si="2"/>
        <v>9</v>
      </c>
      <c r="B19" s="531" t="s">
        <v>724</v>
      </c>
      <c r="C19" s="529">
        <f t="shared" si="1"/>
        <v>76075348.023929104</v>
      </c>
      <c r="D19" s="530">
        <f t="shared" si="1"/>
        <v>129480212.18286474</v>
      </c>
      <c r="E19" s="529">
        <f t="shared" si="1"/>
        <v>336299345.39770395</v>
      </c>
      <c r="F19" s="529">
        <f t="shared" si="1"/>
        <v>2664803335.3609967</v>
      </c>
      <c r="G19" s="529">
        <f t="shared" si="1"/>
        <v>1219641130.7086582</v>
      </c>
      <c r="H19" s="529">
        <f t="shared" si="1"/>
        <v>145514971.25154024</v>
      </c>
      <c r="I19" s="529">
        <f t="shared" si="1"/>
        <v>692489408.55982971</v>
      </c>
      <c r="J19" s="529">
        <f t="shared" si="1"/>
        <v>234421.22403999337</v>
      </c>
      <c r="K19" s="529">
        <f t="shared" si="1"/>
        <v>7760672.8545896234</v>
      </c>
      <c r="L19" s="529">
        <f t="shared" si="1"/>
        <v>67104628.372462071</v>
      </c>
      <c r="M19" s="529">
        <f t="shared" si="0"/>
        <v>5339403473.936614</v>
      </c>
    </row>
    <row r="20" spans="1:15" x14ac:dyDescent="0.2">
      <c r="A20" s="166">
        <f t="shared" si="2"/>
        <v>10</v>
      </c>
      <c r="B20" s="531" t="s">
        <v>725</v>
      </c>
      <c r="C20" s="529">
        <f t="shared" si="1"/>
        <v>75835141.807060346</v>
      </c>
      <c r="D20" s="530">
        <f t="shared" si="1"/>
        <v>132820371.83182438</v>
      </c>
      <c r="E20" s="529">
        <f t="shared" si="1"/>
        <v>341465403.62660116</v>
      </c>
      <c r="F20" s="529">
        <f t="shared" si="1"/>
        <v>2677395411.9834971</v>
      </c>
      <c r="G20" s="529">
        <f t="shared" si="1"/>
        <v>1406636333.8159094</v>
      </c>
      <c r="H20" s="529">
        <f t="shared" si="1"/>
        <v>144500633.3668496</v>
      </c>
      <c r="I20" s="529">
        <f t="shared" si="1"/>
        <v>742806107.01123536</v>
      </c>
      <c r="J20" s="529">
        <f t="shared" si="1"/>
        <v>208127.20798273839</v>
      </c>
      <c r="K20" s="529">
        <f t="shared" si="1"/>
        <v>7568903.7460353868</v>
      </c>
      <c r="L20" s="530">
        <f t="shared" si="1"/>
        <v>69610660.826462999</v>
      </c>
      <c r="M20" s="529">
        <f t="shared" si="0"/>
        <v>5598847095.2234583</v>
      </c>
    </row>
    <row r="21" spans="1:15" x14ac:dyDescent="0.2">
      <c r="A21" s="166">
        <f t="shared" si="2"/>
        <v>11</v>
      </c>
      <c r="B21" s="528" t="s">
        <v>726</v>
      </c>
      <c r="C21" s="529">
        <f t="shared" si="1"/>
        <v>75835141.807060346</v>
      </c>
      <c r="D21" s="530">
        <f t="shared" si="1"/>
        <v>132847820.7340257</v>
      </c>
      <c r="E21" s="529">
        <f t="shared" si="1"/>
        <v>345025972.95440668</v>
      </c>
      <c r="F21" s="529">
        <f t="shared" si="1"/>
        <v>2687919423.1988406</v>
      </c>
      <c r="G21" s="529">
        <f t="shared" si="1"/>
        <v>1422970076.6583312</v>
      </c>
      <c r="H21" s="529">
        <f t="shared" si="1"/>
        <v>144595284.43164641</v>
      </c>
      <c r="I21" s="529">
        <f t="shared" si="1"/>
        <v>748286197.82786751</v>
      </c>
      <c r="J21" s="529">
        <f t="shared" si="1"/>
        <v>207922.63101498445</v>
      </c>
      <c r="K21" s="529">
        <f t="shared" si="1"/>
        <v>7578031.9800316151</v>
      </c>
      <c r="L21" s="529">
        <f t="shared" si="1"/>
        <v>70437227.81890893</v>
      </c>
      <c r="M21" s="529">
        <f t="shared" si="0"/>
        <v>5635703100.0421333</v>
      </c>
    </row>
    <row r="22" spans="1:15" x14ac:dyDescent="0.2">
      <c r="A22" s="166">
        <f t="shared" si="2"/>
        <v>12</v>
      </c>
      <c r="B22" s="528" t="s">
        <v>727</v>
      </c>
      <c r="C22" s="267">
        <f t="shared" si="1"/>
        <v>75835141.807060346</v>
      </c>
      <c r="D22" s="532">
        <f t="shared" si="1"/>
        <v>137015681.79927111</v>
      </c>
      <c r="E22" s="529">
        <f t="shared" si="1"/>
        <v>349101890.57836992</v>
      </c>
      <c r="F22" s="529">
        <f t="shared" si="1"/>
        <v>2691039340.514132</v>
      </c>
      <c r="G22" s="529">
        <f t="shared" si="1"/>
        <v>1435883514.5071893</v>
      </c>
      <c r="H22" s="529">
        <f t="shared" si="1"/>
        <v>144361186.25660503</v>
      </c>
      <c r="I22" s="529">
        <f t="shared" si="1"/>
        <v>752107759.98657</v>
      </c>
      <c r="J22" s="529">
        <f t="shared" si="1"/>
        <v>207796.03608565923</v>
      </c>
      <c r="K22" s="529">
        <f t="shared" si="1"/>
        <v>7740439.8462232547</v>
      </c>
      <c r="L22" s="529">
        <f t="shared" si="1"/>
        <v>70754883.913372695</v>
      </c>
      <c r="M22" s="529">
        <f t="shared" si="0"/>
        <v>5664047635.2448797</v>
      </c>
    </row>
    <row r="23" spans="1:15" x14ac:dyDescent="0.2">
      <c r="A23" s="166">
        <f t="shared" si="2"/>
        <v>13</v>
      </c>
      <c r="B23" s="531" t="s">
        <v>728</v>
      </c>
      <c r="C23" s="533">
        <v>75790815.887711585</v>
      </c>
      <c r="D23" s="533">
        <v>137147763.30748817</v>
      </c>
      <c r="E23" s="534">
        <v>376495330.511078</v>
      </c>
      <c r="F23" s="534">
        <v>2708882934.2757502</v>
      </c>
      <c r="G23" s="534">
        <v>1443243701.0795474</v>
      </c>
      <c r="H23" s="534">
        <v>143991959.274189</v>
      </c>
      <c r="I23" s="534">
        <v>764792063.54818738</v>
      </c>
      <c r="J23" s="534">
        <v>207785.262638988</v>
      </c>
      <c r="K23" s="534">
        <v>12339133.5415364</v>
      </c>
      <c r="L23" s="534">
        <v>68768727.877921402</v>
      </c>
      <c r="M23" s="534">
        <f t="shared" si="0"/>
        <v>5731660214.5660477</v>
      </c>
      <c r="O23" s="162"/>
    </row>
    <row r="24" spans="1:15" x14ac:dyDescent="0.2">
      <c r="A24" s="166">
        <f t="shared" si="2"/>
        <v>14</v>
      </c>
      <c r="B24" s="535" t="s">
        <v>729</v>
      </c>
      <c r="C24" s="529">
        <f t="shared" ref="C24:M24" si="3">AVERAGE(C11:C23)</f>
        <v>76177918.464402467</v>
      </c>
      <c r="D24" s="529">
        <f t="shared" si="3"/>
        <v>128011830.35916767</v>
      </c>
      <c r="E24" s="529">
        <f t="shared" si="3"/>
        <v>280587484.02132255</v>
      </c>
      <c r="F24" s="529">
        <f t="shared" si="3"/>
        <v>2466759697.2979708</v>
      </c>
      <c r="G24" s="529">
        <f t="shared" si="3"/>
        <v>1097214244.8778992</v>
      </c>
      <c r="H24" s="529">
        <f t="shared" si="3"/>
        <v>146558074.66731068</v>
      </c>
      <c r="I24" s="529">
        <f t="shared" si="3"/>
        <v>639658070.27556968</v>
      </c>
      <c r="J24" s="529">
        <f t="shared" si="3"/>
        <v>406137.36945898179</v>
      </c>
      <c r="K24" s="529">
        <f t="shared" si="3"/>
        <v>6669450.3473379174</v>
      </c>
      <c r="L24" s="529">
        <f t="shared" si="3"/>
        <v>57666136.214931376</v>
      </c>
      <c r="M24" s="529">
        <f t="shared" si="3"/>
        <v>4899709043.8953705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716</v>
      </c>
      <c r="C34" s="526">
        <v>78349</v>
      </c>
      <c r="D34" s="526">
        <v>718565</v>
      </c>
      <c r="E34" s="526">
        <v>6051836</v>
      </c>
      <c r="F34" s="527">
        <f>SUM(C34:E34)</f>
        <v>6848750</v>
      </c>
      <c r="G34" s="223"/>
      <c r="H34" s="223"/>
      <c r="K34" s="223"/>
      <c r="L34" s="223"/>
    </row>
    <row r="35" spans="1:12" ht="12.75" customHeight="1" x14ac:dyDescent="0.2">
      <c r="A35" s="166">
        <f>A34+1</f>
        <v>16</v>
      </c>
      <c r="B35" s="531" t="s">
        <v>728</v>
      </c>
      <c r="C35" s="538">
        <v>0</v>
      </c>
      <c r="D35" s="538">
        <v>0</v>
      </c>
      <c r="E35" s="538">
        <v>0</v>
      </c>
      <c r="F35" s="539">
        <f>SUM(C35:E35)</f>
        <v>0</v>
      </c>
      <c r="G35" s="223"/>
      <c r="H35" s="223"/>
      <c r="K35" s="223"/>
      <c r="L35" s="223"/>
    </row>
    <row r="36" spans="1:12" ht="12.75" customHeight="1" x14ac:dyDescent="0.2">
      <c r="A36" s="166">
        <f>A35+1</f>
        <v>17</v>
      </c>
      <c r="B36" s="535" t="s">
        <v>733</v>
      </c>
      <c r="C36" s="527">
        <f>AVERAGE(C34:C35)</f>
        <v>39174.5</v>
      </c>
      <c r="D36" s="527">
        <f>AVERAGE(D34:D35)</f>
        <v>359282.5</v>
      </c>
      <c r="E36" s="527">
        <f>AVERAGE(E34:E35)</f>
        <v>3025918</v>
      </c>
      <c r="F36" s="527">
        <f>AVERAGE(F34:F35)</f>
        <v>3424375</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40">
        <f>M24+F36</f>
        <v>4903133418.8953705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40">
        <f>M23+F35</f>
        <v>5731660214.5660477</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2405863603</v>
      </c>
      <c r="G52" s="243">
        <v>1688953361</v>
      </c>
      <c r="H52" s="540">
        <f>SUM(F52:G52)</f>
        <v>4094816964</v>
      </c>
      <c r="I52" s="550" t="s">
        <v>746</v>
      </c>
      <c r="J52" s="174"/>
      <c r="K52" s="223"/>
      <c r="L52" s="223"/>
    </row>
    <row r="53" spans="1:12" ht="12.75" customHeight="1" x14ac:dyDescent="0.2">
      <c r="A53" s="166">
        <f>A52+1</f>
        <v>21</v>
      </c>
      <c r="B53" s="223"/>
      <c r="C53" s="53" t="s">
        <v>6</v>
      </c>
      <c r="D53" s="550" t="s">
        <v>747</v>
      </c>
      <c r="E53" s="163"/>
      <c r="F53" s="244">
        <v>2566405180</v>
      </c>
      <c r="G53" s="243">
        <v>1792693394</v>
      </c>
      <c r="H53" s="540">
        <f>SUM(F53:G53)</f>
        <v>4359098574</v>
      </c>
      <c r="I53" s="176" t="s">
        <v>748</v>
      </c>
      <c r="J53" s="174"/>
      <c r="K53" s="223"/>
      <c r="L53" s="223"/>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4226957769</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554">
        <v>4.253403191269526E-2</v>
      </c>
      <c r="G57" s="553" t="s">
        <v>1058</v>
      </c>
      <c r="H57" s="223"/>
      <c r="I57" s="223"/>
      <c r="J57" s="223"/>
      <c r="K57" s="223"/>
      <c r="L57" s="223"/>
    </row>
    <row r="58" spans="1:12" x14ac:dyDescent="0.2">
      <c r="A58" s="166">
        <f>A57+1</f>
        <v>24</v>
      </c>
      <c r="B58" s="223"/>
      <c r="C58" s="48"/>
      <c r="D58" s="48"/>
      <c r="E58" s="440" t="s">
        <v>752</v>
      </c>
      <c r="F58" s="540">
        <f>F56*F57</f>
        <v>179789556.64026114</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4359098574</v>
      </c>
      <c r="G61" s="553" t="str">
        <f>"Line "&amp;A53&amp;"."</f>
        <v>Line 21.</v>
      </c>
      <c r="H61" s="223"/>
      <c r="I61" s="223"/>
      <c r="J61" s="223"/>
      <c r="K61" s="223"/>
      <c r="L61" s="223"/>
    </row>
    <row r="62" spans="1:12" x14ac:dyDescent="0.2">
      <c r="A62" s="166">
        <f>A61+1</f>
        <v>26</v>
      </c>
      <c r="B62" s="223"/>
      <c r="C62" s="48"/>
      <c r="D62" s="48"/>
      <c r="E62" s="440" t="s">
        <v>751</v>
      </c>
      <c r="F62" s="554">
        <v>4.253403191269526E-2</v>
      </c>
      <c r="G62" s="553" t="s">
        <v>1058</v>
      </c>
      <c r="H62" s="223"/>
      <c r="I62" s="223"/>
      <c r="J62" s="223"/>
      <c r="K62" s="223"/>
      <c r="L62" s="223"/>
    </row>
    <row r="63" spans="1:12" x14ac:dyDescent="0.2">
      <c r="A63" s="166">
        <f>A62+1</f>
        <v>27</v>
      </c>
      <c r="B63" s="223"/>
      <c r="C63" s="48"/>
      <c r="D63" s="48"/>
      <c r="E63" s="440" t="s">
        <v>752</v>
      </c>
      <c r="F63" s="540">
        <f>F61*F62</f>
        <v>185410037.8571004</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717</v>
      </c>
      <c r="C74" s="243">
        <v>0</v>
      </c>
      <c r="D74" s="243">
        <v>17941872.98999998</v>
      </c>
      <c r="E74" s="526">
        <v>162999.30999994278</v>
      </c>
      <c r="F74" s="526">
        <v>2371924.7899999619</v>
      </c>
      <c r="G74" s="526">
        <v>66145732.539999962</v>
      </c>
      <c r="H74" s="526">
        <v>1870603.689999938</v>
      </c>
      <c r="I74" s="526">
        <v>36835863.539999962</v>
      </c>
      <c r="J74" s="526">
        <v>-66678.25</v>
      </c>
      <c r="K74" s="526">
        <v>3626045.0700000226</v>
      </c>
      <c r="L74" s="526">
        <v>6344008.4299999997</v>
      </c>
      <c r="M74" s="527">
        <f t="shared" ref="M74:M85" si="4">SUM(C74:L74)</f>
        <v>135232372.10999978</v>
      </c>
    </row>
    <row r="75" spans="1:13" x14ac:dyDescent="0.2">
      <c r="A75" s="166">
        <f t="shared" ref="A75:A86" si="5">A74+1</f>
        <v>29</v>
      </c>
      <c r="B75" s="531" t="s">
        <v>718</v>
      </c>
      <c r="C75" s="243">
        <v>0</v>
      </c>
      <c r="D75" s="243">
        <v>33673.360000014305</v>
      </c>
      <c r="E75" s="526">
        <v>1999455.3000000119</v>
      </c>
      <c r="F75" s="526">
        <v>26669407.130000114</v>
      </c>
      <c r="G75" s="526">
        <v>10395840.970000029</v>
      </c>
      <c r="H75" s="526">
        <v>105400.51999998093</v>
      </c>
      <c r="I75" s="526">
        <v>3882061.1499999762</v>
      </c>
      <c r="J75" s="526">
        <v>5446.7700000032783</v>
      </c>
      <c r="K75" s="526">
        <v>-18846.969999998808</v>
      </c>
      <c r="L75" s="526">
        <v>139875.3599999994</v>
      </c>
      <c r="M75" s="527">
        <f t="shared" si="4"/>
        <v>43212313.59000013</v>
      </c>
    </row>
    <row r="76" spans="1:13" x14ac:dyDescent="0.2">
      <c r="A76" s="166">
        <f t="shared" si="5"/>
        <v>30</v>
      </c>
      <c r="B76" s="531" t="s">
        <v>719</v>
      </c>
      <c r="C76" s="243">
        <v>-46342.75</v>
      </c>
      <c r="D76" s="243">
        <v>117450.31999999285</v>
      </c>
      <c r="E76" s="526">
        <v>-36872.27999997139</v>
      </c>
      <c r="F76" s="526">
        <v>17798337.529999733</v>
      </c>
      <c r="G76" s="526">
        <v>3022570.4300000668</v>
      </c>
      <c r="H76" s="526">
        <v>622049.93000006676</v>
      </c>
      <c r="I76" s="526">
        <v>1616823.6100000143</v>
      </c>
      <c r="J76" s="526">
        <v>23074.130000002682</v>
      </c>
      <c r="K76" s="526">
        <v>-443904.41000002623</v>
      </c>
      <c r="L76" s="526">
        <v>-117106.67000000179</v>
      </c>
      <c r="M76" s="527">
        <f t="shared" si="4"/>
        <v>22556079.839999877</v>
      </c>
    </row>
    <row r="77" spans="1:13" x14ac:dyDescent="0.2">
      <c r="A77" s="166">
        <f t="shared" si="5"/>
        <v>31</v>
      </c>
      <c r="B77" s="528" t="s">
        <v>756</v>
      </c>
      <c r="C77" s="243">
        <v>0</v>
      </c>
      <c r="D77" s="243">
        <v>29809.130000025034</v>
      </c>
      <c r="E77" s="526">
        <v>11803309.729999959</v>
      </c>
      <c r="F77" s="526">
        <v>44798668.900000095</v>
      </c>
      <c r="G77" s="526">
        <v>3975479.6299999952</v>
      </c>
      <c r="H77" s="526">
        <v>2208394.0099999905</v>
      </c>
      <c r="I77" s="526">
        <v>4151978.6700000763</v>
      </c>
      <c r="J77" s="526">
        <v>1333359.9799999967</v>
      </c>
      <c r="K77" s="526">
        <v>-1181684.8399999738</v>
      </c>
      <c r="L77" s="526">
        <v>586783.86000000685</v>
      </c>
      <c r="M77" s="527">
        <f t="shared" si="4"/>
        <v>67706099.070000172</v>
      </c>
    </row>
    <row r="78" spans="1:13" x14ac:dyDescent="0.2">
      <c r="A78" s="166">
        <f t="shared" si="5"/>
        <v>32</v>
      </c>
      <c r="B78" s="531" t="s">
        <v>721</v>
      </c>
      <c r="C78" s="243">
        <v>-548.10999999940395</v>
      </c>
      <c r="D78" s="243">
        <v>15595.5</v>
      </c>
      <c r="E78" s="526">
        <v>1516362.1299999952</v>
      </c>
      <c r="F78" s="526">
        <v>43653684.270000458</v>
      </c>
      <c r="G78" s="526">
        <v>146120939.84999979</v>
      </c>
      <c r="H78" s="526">
        <v>3994215.0699999332</v>
      </c>
      <c r="I78" s="526">
        <v>69119253.669999957</v>
      </c>
      <c r="J78" s="526">
        <v>1175972.8999999985</v>
      </c>
      <c r="K78" s="526">
        <v>-334100.41000002623</v>
      </c>
      <c r="L78" s="526">
        <v>3728582.5299999937</v>
      </c>
      <c r="M78" s="527">
        <f t="shared" si="4"/>
        <v>268989957.4000001</v>
      </c>
    </row>
    <row r="79" spans="1:13" x14ac:dyDescent="0.2">
      <c r="A79" s="166">
        <f t="shared" si="5"/>
        <v>33</v>
      </c>
      <c r="B79" s="531" t="s">
        <v>722</v>
      </c>
      <c r="C79" s="243">
        <v>13060.870000004768</v>
      </c>
      <c r="D79" s="243">
        <v>4731.3999999761581</v>
      </c>
      <c r="E79" s="526">
        <v>97099744.640000045</v>
      </c>
      <c r="F79" s="526">
        <v>262228427.93000031</v>
      </c>
      <c r="G79" s="526">
        <v>267580572.22000027</v>
      </c>
      <c r="H79" s="526">
        <v>48166982.580000043</v>
      </c>
      <c r="I79" s="526">
        <v>103549685.16999996</v>
      </c>
      <c r="J79" s="526">
        <v>2249550.8599999994</v>
      </c>
      <c r="K79" s="526">
        <v>4721136.8100000024</v>
      </c>
      <c r="L79" s="526">
        <v>19963766.459999986</v>
      </c>
      <c r="M79" s="527">
        <f t="shared" si="4"/>
        <v>805577658.94000077</v>
      </c>
    </row>
    <row r="80" spans="1:13" x14ac:dyDescent="0.2">
      <c r="A80" s="166">
        <f t="shared" si="5"/>
        <v>34</v>
      </c>
      <c r="B80" s="528" t="s">
        <v>723</v>
      </c>
      <c r="C80" s="243">
        <v>-67.219999998807907</v>
      </c>
      <c r="D80" s="243">
        <v>30819.819999992847</v>
      </c>
      <c r="E80" s="526">
        <v>10435430.439999998</v>
      </c>
      <c r="F80" s="526">
        <v>56328155.919999123</v>
      </c>
      <c r="G80" s="526">
        <v>5984889.9299998283</v>
      </c>
      <c r="H80" s="526">
        <v>11542737.399999976</v>
      </c>
      <c r="I80" s="526">
        <v>5087119.689999938</v>
      </c>
      <c r="J80" s="526">
        <v>710487.88000000268</v>
      </c>
      <c r="K80" s="526">
        <v>222664.05000001192</v>
      </c>
      <c r="L80" s="526">
        <v>378614.22000001371</v>
      </c>
      <c r="M80" s="527">
        <f t="shared" si="4"/>
        <v>90720852.129998878</v>
      </c>
    </row>
    <row r="81" spans="1:13" x14ac:dyDescent="0.2">
      <c r="A81" s="166">
        <f t="shared" si="5"/>
        <v>35</v>
      </c>
      <c r="B81" s="531" t="s">
        <v>724</v>
      </c>
      <c r="C81" s="243">
        <v>0</v>
      </c>
      <c r="D81" s="243">
        <v>4464100.7900000215</v>
      </c>
      <c r="E81" s="526">
        <v>14478285.480000079</v>
      </c>
      <c r="F81" s="526">
        <v>104065745.34999943</v>
      </c>
      <c r="G81" s="526">
        <v>-3263.4899997711182</v>
      </c>
      <c r="H81" s="526">
        <v>765466.17000007629</v>
      </c>
      <c r="I81" s="526">
        <v>-256937.00999987125</v>
      </c>
      <c r="J81" s="526">
        <v>505075.33999999613</v>
      </c>
      <c r="K81" s="526">
        <v>1927942.7400000095</v>
      </c>
      <c r="L81" s="526">
        <v>111730.66000001132</v>
      </c>
      <c r="M81" s="527">
        <f t="shared" si="4"/>
        <v>126058146.02999999</v>
      </c>
    </row>
    <row r="82" spans="1:13" x14ac:dyDescent="0.2">
      <c r="A82" s="166">
        <f t="shared" si="5"/>
        <v>36</v>
      </c>
      <c r="B82" s="531" t="s">
        <v>725</v>
      </c>
      <c r="C82" s="243">
        <v>-6560.8400000035763</v>
      </c>
      <c r="D82" s="243">
        <v>3335335.2899999917</v>
      </c>
      <c r="E82" s="526">
        <v>6721749.9199998379</v>
      </c>
      <c r="F82" s="526">
        <v>20574316.050000191</v>
      </c>
      <c r="G82" s="526">
        <v>189206216.47999978</v>
      </c>
      <c r="H82" s="526">
        <v>17321351.279999971</v>
      </c>
      <c r="I82" s="526">
        <v>30406890.759999871</v>
      </c>
      <c r="J82" s="526">
        <v>379371.80000000447</v>
      </c>
      <c r="K82" s="526">
        <v>-429774.27000001073</v>
      </c>
      <c r="L82" s="526">
        <v>2509991.0599999875</v>
      </c>
      <c r="M82" s="527">
        <f t="shared" si="4"/>
        <v>270018887.52999961</v>
      </c>
    </row>
    <row r="83" spans="1:13" x14ac:dyDescent="0.2">
      <c r="A83" s="166">
        <f t="shared" si="5"/>
        <v>37</v>
      </c>
      <c r="B83" s="528" t="s">
        <v>726</v>
      </c>
      <c r="C83" s="243">
        <v>0</v>
      </c>
      <c r="D83" s="243">
        <v>43930.979999989271</v>
      </c>
      <c r="E83" s="526">
        <v>6141260.870000124</v>
      </c>
      <c r="F83" s="526">
        <v>33759561.000000954</v>
      </c>
      <c r="G83" s="526">
        <v>19265207.569999933</v>
      </c>
      <c r="H83" s="526">
        <v>-1542513.7900000811</v>
      </c>
      <c r="I83" s="526">
        <v>10658860.860000014</v>
      </c>
      <c r="J83" s="526">
        <v>2951.6499999985099</v>
      </c>
      <c r="K83" s="526">
        <v>20457.310000002384</v>
      </c>
      <c r="L83" s="526">
        <v>1272076.4699999988</v>
      </c>
      <c r="M83" s="527">
        <f t="shared" si="4"/>
        <v>69621792.920000941</v>
      </c>
    </row>
    <row r="84" spans="1:13" x14ac:dyDescent="0.2">
      <c r="A84" s="166">
        <f t="shared" si="5"/>
        <v>38</v>
      </c>
      <c r="B84" s="528" t="s">
        <v>727</v>
      </c>
      <c r="C84" s="243">
        <v>0</v>
      </c>
      <c r="D84" s="243">
        <v>4183822.3899999857</v>
      </c>
      <c r="E84" s="526">
        <v>7013634.2599999905</v>
      </c>
      <c r="F84" s="526">
        <v>7311892.2500009537</v>
      </c>
      <c r="G84" s="526">
        <v>13130442.75</v>
      </c>
      <c r="H84" s="526">
        <v>4027180.1699999571</v>
      </c>
      <c r="I84" s="526">
        <v>2372026.5900001526</v>
      </c>
      <c r="J84" s="526">
        <v>1826.5200000032783</v>
      </c>
      <c r="K84" s="526">
        <v>363972.71000000834</v>
      </c>
      <c r="L84" s="526">
        <v>512709.29999999702</v>
      </c>
      <c r="M84" s="527">
        <f t="shared" si="4"/>
        <v>38917506.940001048</v>
      </c>
    </row>
    <row r="85" spans="1:13" x14ac:dyDescent="0.2">
      <c r="A85" s="166">
        <f t="shared" si="5"/>
        <v>39</v>
      </c>
      <c r="B85" s="531" t="s">
        <v>728</v>
      </c>
      <c r="C85" s="555">
        <v>-1210.6899999976158</v>
      </c>
      <c r="D85" s="555">
        <v>270747.28000003099</v>
      </c>
      <c r="E85" s="538">
        <v>28747342.199999869</v>
      </c>
      <c r="F85" s="538">
        <v>-1932501.810002327</v>
      </c>
      <c r="G85" s="538">
        <v>24144218.920000076</v>
      </c>
      <c r="H85" s="538">
        <v>6324321.6900001764</v>
      </c>
      <c r="I85" s="538">
        <v>13290138.079999924</v>
      </c>
      <c r="J85" s="538">
        <v>155.43999999761581</v>
      </c>
      <c r="K85" s="538">
        <v>10306144.929999977</v>
      </c>
      <c r="L85" s="538">
        <v>-1993256.4699999988</v>
      </c>
      <c r="M85" s="539">
        <f t="shared" si="4"/>
        <v>79156099.569997728</v>
      </c>
    </row>
    <row r="86" spans="1:13" x14ac:dyDescent="0.2">
      <c r="A86" s="166">
        <f t="shared" si="5"/>
        <v>40</v>
      </c>
      <c r="B86" s="535" t="s">
        <v>166</v>
      </c>
      <c r="C86" s="527">
        <f>SUM(C74:C85)</f>
        <v>-41668.739999994636</v>
      </c>
      <c r="D86" s="527">
        <f t="shared" ref="D86:L86" si="6">SUM(D74:D85)</f>
        <v>30471889.25</v>
      </c>
      <c r="E86" s="527">
        <f t="shared" si="6"/>
        <v>186082701.99999988</v>
      </c>
      <c r="F86" s="527">
        <f t="shared" si="6"/>
        <v>617627619.30999899</v>
      </c>
      <c r="G86" s="527">
        <f t="shared" si="6"/>
        <v>748968847.79999995</v>
      </c>
      <c r="H86" s="527">
        <f t="shared" si="6"/>
        <v>95406188.720000029</v>
      </c>
      <c r="I86" s="527">
        <f t="shared" si="6"/>
        <v>280713764.77999997</v>
      </c>
      <c r="J86" s="527">
        <f t="shared" si="6"/>
        <v>6320595.0200000033</v>
      </c>
      <c r="K86" s="527">
        <f t="shared" si="6"/>
        <v>18780052.719999999</v>
      </c>
      <c r="L86" s="527">
        <f t="shared" si="6"/>
        <v>33437775.209999993</v>
      </c>
      <c r="M86" s="527">
        <f>SUM(M74:M85)</f>
        <v>2017767766.0699992</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557">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717</v>
      </c>
      <c r="C94" s="270">
        <v>0</v>
      </c>
      <c r="D94" s="270">
        <v>17925848.719999999</v>
      </c>
      <c r="E94" s="558">
        <v>-350721.00999999046</v>
      </c>
      <c r="F94" s="558">
        <v>1795771.3999999762</v>
      </c>
      <c r="G94" s="526">
        <v>66140112.230000019</v>
      </c>
      <c r="H94" s="526">
        <v>-22136.25</v>
      </c>
      <c r="I94" s="526">
        <v>36615008.250000015</v>
      </c>
      <c r="J94" s="526">
        <v>0</v>
      </c>
      <c r="K94" s="526">
        <v>0</v>
      </c>
      <c r="L94" s="526">
        <v>6344008.4299999997</v>
      </c>
      <c r="M94" s="527">
        <f t="shared" ref="M94:M105" si="7">SUM(C94:L94)</f>
        <v>128447891.77000001</v>
      </c>
    </row>
    <row r="95" spans="1:13" ht="13.5" thickBot="1" x14ac:dyDescent="0.25">
      <c r="A95" s="166">
        <f t="shared" ref="A95:A106" si="8">A94+1</f>
        <v>42</v>
      </c>
      <c r="B95" s="531" t="s">
        <v>718</v>
      </c>
      <c r="C95" s="270">
        <v>0</v>
      </c>
      <c r="D95" s="270">
        <v>28230.320000000298</v>
      </c>
      <c r="E95" s="558">
        <v>633135.84999999404</v>
      </c>
      <c r="F95" s="558">
        <v>6452572.9700000286</v>
      </c>
      <c r="G95" s="526">
        <v>10399128.550000012</v>
      </c>
      <c r="H95" s="526">
        <v>0</v>
      </c>
      <c r="I95" s="526">
        <v>3401510.6599999964</v>
      </c>
      <c r="J95" s="526">
        <v>0</v>
      </c>
      <c r="K95" s="526">
        <v>0</v>
      </c>
      <c r="L95" s="526">
        <v>139875.3599999994</v>
      </c>
      <c r="M95" s="529">
        <f t="shared" si="7"/>
        <v>21054453.710000031</v>
      </c>
    </row>
    <row r="96" spans="1:13" ht="13.5" thickBot="1" x14ac:dyDescent="0.25">
      <c r="A96" s="166">
        <f t="shared" si="8"/>
        <v>43</v>
      </c>
      <c r="B96" s="531" t="s">
        <v>719</v>
      </c>
      <c r="C96" s="270">
        <v>0</v>
      </c>
      <c r="D96" s="270">
        <v>114523.64999999851</v>
      </c>
      <c r="E96" s="558">
        <v>-191334.90999999642</v>
      </c>
      <c r="F96" s="559">
        <v>8624853.8200000525</v>
      </c>
      <c r="G96" s="526">
        <v>2444943.7300000191</v>
      </c>
      <c r="H96" s="526">
        <v>0</v>
      </c>
      <c r="I96" s="526">
        <v>213903.25</v>
      </c>
      <c r="J96" s="526">
        <v>0</v>
      </c>
      <c r="K96" s="526">
        <v>0</v>
      </c>
      <c r="L96" s="526">
        <v>-79110.730000000447</v>
      </c>
      <c r="M96" s="529">
        <f t="shared" si="7"/>
        <v>11127778.810000073</v>
      </c>
    </row>
    <row r="97" spans="1:13" x14ac:dyDescent="0.2">
      <c r="A97" s="166">
        <f t="shared" si="8"/>
        <v>44</v>
      </c>
      <c r="B97" s="528" t="s">
        <v>756</v>
      </c>
      <c r="C97" s="270">
        <v>0</v>
      </c>
      <c r="D97" s="270">
        <v>-4168.3800000026822</v>
      </c>
      <c r="E97" s="558">
        <v>322223.25</v>
      </c>
      <c r="F97" s="558">
        <v>1644590.189999938</v>
      </c>
      <c r="G97" s="526">
        <v>3967081.5299999714</v>
      </c>
      <c r="H97" s="526">
        <v>0</v>
      </c>
      <c r="I97" s="526">
        <v>2156044.25</v>
      </c>
      <c r="J97" s="526">
        <v>0</v>
      </c>
      <c r="K97" s="526">
        <v>0</v>
      </c>
      <c r="L97" s="526">
        <v>599749.26000000164</v>
      </c>
      <c r="M97" s="529">
        <f t="shared" si="7"/>
        <v>8685520.0999999084</v>
      </c>
    </row>
    <row r="98" spans="1:13" ht="13.5" thickBot="1" x14ac:dyDescent="0.25">
      <c r="A98" s="166">
        <f t="shared" si="8"/>
        <v>45</v>
      </c>
      <c r="B98" s="531" t="s">
        <v>721</v>
      </c>
      <c r="C98" s="270">
        <v>0</v>
      </c>
      <c r="D98" s="270">
        <v>15595.5</v>
      </c>
      <c r="E98" s="558">
        <v>-270703.25</v>
      </c>
      <c r="F98" s="558">
        <v>817817.65000009537</v>
      </c>
      <c r="G98" s="526">
        <v>146124996.72000003</v>
      </c>
      <c r="H98" s="526">
        <v>0</v>
      </c>
      <c r="I98" s="526">
        <v>68280070.849999994</v>
      </c>
      <c r="J98" s="526">
        <v>0</v>
      </c>
      <c r="K98" s="526">
        <v>0</v>
      </c>
      <c r="L98" s="526">
        <v>3728582.0700000003</v>
      </c>
      <c r="M98" s="529">
        <f t="shared" si="7"/>
        <v>218696359.54000011</v>
      </c>
    </row>
    <row r="99" spans="1:13" ht="13.5" thickBot="1" x14ac:dyDescent="0.25">
      <c r="A99" s="166">
        <f t="shared" si="8"/>
        <v>46</v>
      </c>
      <c r="B99" s="531" t="s">
        <v>722</v>
      </c>
      <c r="C99" s="270">
        <v>0</v>
      </c>
      <c r="D99" s="270">
        <v>13254.619999997318</v>
      </c>
      <c r="E99" s="559">
        <v>95300522.020000011</v>
      </c>
      <c r="F99" s="559">
        <v>241802694.79000008</v>
      </c>
      <c r="G99" s="526">
        <v>253872221.25999987</v>
      </c>
      <c r="H99" s="526">
        <v>904244.71999999881</v>
      </c>
      <c r="I99" s="526">
        <v>93973025.190000027</v>
      </c>
      <c r="J99" s="526">
        <v>0</v>
      </c>
      <c r="K99" s="526">
        <v>0</v>
      </c>
      <c r="L99" s="526">
        <v>15735521.609999999</v>
      </c>
      <c r="M99" s="529">
        <f t="shared" si="7"/>
        <v>701601484.21000004</v>
      </c>
    </row>
    <row r="100" spans="1:13" x14ac:dyDescent="0.2">
      <c r="A100" s="166">
        <f t="shared" si="8"/>
        <v>47</v>
      </c>
      <c r="B100" s="528" t="s">
        <v>723</v>
      </c>
      <c r="C100" s="270">
        <v>0</v>
      </c>
      <c r="D100" s="270">
        <v>-55.119999997317791</v>
      </c>
      <c r="E100" s="558">
        <v>10105529.089999974</v>
      </c>
      <c r="F100" s="558">
        <v>48096453.330000162</v>
      </c>
      <c r="G100" s="526">
        <v>5305387.1400001049</v>
      </c>
      <c r="H100" s="526">
        <v>-300.69999999552965</v>
      </c>
      <c r="I100" s="526">
        <v>2344424.2099999785</v>
      </c>
      <c r="J100" s="526">
        <v>0</v>
      </c>
      <c r="K100" s="526">
        <v>0</v>
      </c>
      <c r="L100" s="526">
        <v>313361.63000000268</v>
      </c>
      <c r="M100" s="529">
        <f t="shared" si="7"/>
        <v>66164799.580000229</v>
      </c>
    </row>
    <row r="101" spans="1:13" x14ac:dyDescent="0.2">
      <c r="A101" s="166">
        <f t="shared" si="8"/>
        <v>48</v>
      </c>
      <c r="B101" s="531" t="s">
        <v>724</v>
      </c>
      <c r="C101" s="270">
        <v>0</v>
      </c>
      <c r="D101" s="270">
        <v>3318456.549999997</v>
      </c>
      <c r="E101" s="558">
        <v>12852849.958224267</v>
      </c>
      <c r="F101" s="558">
        <v>73934245.072775602</v>
      </c>
      <c r="G101" s="526">
        <v>1098998.1100000143</v>
      </c>
      <c r="H101" s="526">
        <v>5127.859999999404</v>
      </c>
      <c r="I101" s="526">
        <v>421182.75999999046</v>
      </c>
      <c r="J101" s="526">
        <v>0</v>
      </c>
      <c r="K101" s="526">
        <v>0</v>
      </c>
      <c r="L101" s="526">
        <v>167647.00999999791</v>
      </c>
      <c r="M101" s="529">
        <f t="shared" si="7"/>
        <v>91798507.320999861</v>
      </c>
    </row>
    <row r="102" spans="1:13" x14ac:dyDescent="0.2">
      <c r="A102" s="166">
        <f t="shared" si="8"/>
        <v>49</v>
      </c>
      <c r="B102" s="531" t="s">
        <v>725</v>
      </c>
      <c r="C102" s="270">
        <v>0</v>
      </c>
      <c r="D102" s="270">
        <v>3338726.8200000003</v>
      </c>
      <c r="E102" s="558">
        <v>3358978.9300000072</v>
      </c>
      <c r="F102" s="558">
        <v>9400273.7100000381</v>
      </c>
      <c r="G102" s="526">
        <v>186612695.94999993</v>
      </c>
      <c r="H102" s="526">
        <v>0</v>
      </c>
      <c r="I102" s="526">
        <v>42887551.620000064</v>
      </c>
      <c r="J102" s="526">
        <v>0</v>
      </c>
      <c r="K102" s="526">
        <v>0</v>
      </c>
      <c r="L102" s="526">
        <v>2504027.3000000045</v>
      </c>
      <c r="M102" s="529">
        <f t="shared" si="7"/>
        <v>248102254.33000004</v>
      </c>
    </row>
    <row r="103" spans="1:13" x14ac:dyDescent="0.2">
      <c r="A103" s="166">
        <f t="shared" si="8"/>
        <v>50</v>
      </c>
      <c r="B103" s="528" t="s">
        <v>726</v>
      </c>
      <c r="C103" s="270">
        <v>0</v>
      </c>
      <c r="D103" s="270">
        <v>32344.060000002384</v>
      </c>
      <c r="E103" s="558">
        <v>562858.21999999881</v>
      </c>
      <c r="F103" s="558">
        <v>1232972.5099999905</v>
      </c>
      <c r="G103" s="526">
        <v>15826597.000000238</v>
      </c>
      <c r="H103" s="526">
        <v>4082.429999999702</v>
      </c>
      <c r="I103" s="526">
        <v>7412497.3799999952</v>
      </c>
      <c r="J103" s="526">
        <v>0</v>
      </c>
      <c r="K103" s="526">
        <v>0</v>
      </c>
      <c r="L103" s="526">
        <v>600902.9299999997</v>
      </c>
      <c r="M103" s="529">
        <f t="shared" si="7"/>
        <v>25672254.530000225</v>
      </c>
    </row>
    <row r="104" spans="1:13" x14ac:dyDescent="0.2">
      <c r="A104" s="166">
        <f t="shared" si="8"/>
        <v>51</v>
      </c>
      <c r="B104" s="528" t="s">
        <v>727</v>
      </c>
      <c r="C104" s="270">
        <v>0</v>
      </c>
      <c r="D104" s="270">
        <v>4172601.5600000024</v>
      </c>
      <c r="E104" s="558">
        <v>663488.95999997854</v>
      </c>
      <c r="F104" s="558">
        <v>1443701.2699998617</v>
      </c>
      <c r="G104" s="526">
        <v>12875895.819999933</v>
      </c>
      <c r="H104" s="526">
        <v>1637.5</v>
      </c>
      <c r="I104" s="526">
        <v>3280682.3700000048</v>
      </c>
      <c r="J104" s="526">
        <v>0</v>
      </c>
      <c r="K104" s="526">
        <v>0</v>
      </c>
      <c r="L104" s="526">
        <v>218855.72999999672</v>
      </c>
      <c r="M104" s="529">
        <f t="shared" si="7"/>
        <v>22656863.209999777</v>
      </c>
    </row>
    <row r="105" spans="1:13" x14ac:dyDescent="0.2">
      <c r="A105" s="166">
        <f t="shared" si="8"/>
        <v>52</v>
      </c>
      <c r="B105" s="531" t="s">
        <v>728</v>
      </c>
      <c r="C105" s="533">
        <v>0</v>
      </c>
      <c r="D105" s="533">
        <v>173265.07999999821</v>
      </c>
      <c r="E105" s="560">
        <v>25820757.649999976</v>
      </c>
      <c r="F105" s="560">
        <v>25751324.419999838</v>
      </c>
      <c r="G105" s="538">
        <v>4456534.9800000191</v>
      </c>
      <c r="H105" s="538">
        <v>1062.890000000596</v>
      </c>
      <c r="I105" s="538">
        <v>12910364.689999938</v>
      </c>
      <c r="J105" s="538">
        <v>0</v>
      </c>
      <c r="K105" s="538">
        <v>0</v>
      </c>
      <c r="L105" s="538">
        <v>-1982559.4499999955</v>
      </c>
      <c r="M105" s="534">
        <f t="shared" si="7"/>
        <v>67130750.259999782</v>
      </c>
    </row>
    <row r="106" spans="1:13" x14ac:dyDescent="0.2">
      <c r="A106" s="166">
        <f t="shared" si="8"/>
        <v>53</v>
      </c>
      <c r="B106" s="535" t="s">
        <v>166</v>
      </c>
      <c r="C106" s="267">
        <f>SUM(C94:C105)</f>
        <v>0</v>
      </c>
      <c r="D106" s="267">
        <f t="shared" ref="D106:L106" si="9">SUM(D94:D105)</f>
        <v>29128623.379999995</v>
      </c>
      <c r="E106" s="561">
        <f t="shared" si="9"/>
        <v>148807584.75822422</v>
      </c>
      <c r="F106" s="561">
        <f t="shared" si="9"/>
        <v>420997271.13277566</v>
      </c>
      <c r="G106" s="527">
        <f t="shared" si="9"/>
        <v>709124593.02000022</v>
      </c>
      <c r="H106" s="527">
        <f t="shared" si="9"/>
        <v>893718.45000000298</v>
      </c>
      <c r="I106" s="527">
        <f t="shared" si="9"/>
        <v>273896265.48000002</v>
      </c>
      <c r="J106" s="527">
        <f t="shared" si="9"/>
        <v>0</v>
      </c>
      <c r="K106" s="527">
        <f t="shared" si="9"/>
        <v>0</v>
      </c>
      <c r="L106" s="527">
        <f t="shared" si="9"/>
        <v>28290861.150000006</v>
      </c>
      <c r="M106" s="529">
        <f>SUM(M94:M105)</f>
        <v>1611138917.3710001</v>
      </c>
    </row>
    <row r="107" spans="1:13" x14ac:dyDescent="0.2">
      <c r="C107" s="253"/>
      <c r="D107" s="253"/>
      <c r="E107" s="253"/>
      <c r="F107" s="253"/>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717</v>
      </c>
      <c r="C114" s="188">
        <f t="shared" ref="C114:L125" si="10">C74-C94</f>
        <v>0</v>
      </c>
      <c r="D114" s="188">
        <f t="shared" si="10"/>
        <v>16024.269999980927</v>
      </c>
      <c r="E114" s="188">
        <f t="shared" si="10"/>
        <v>513720.31999993324</v>
      </c>
      <c r="F114" s="188">
        <f t="shared" si="10"/>
        <v>576153.38999998569</v>
      </c>
      <c r="G114" s="188">
        <f t="shared" si="10"/>
        <v>5620.3099999427795</v>
      </c>
      <c r="H114" s="188">
        <f t="shared" si="10"/>
        <v>1892739.939999938</v>
      </c>
      <c r="I114" s="188">
        <f t="shared" si="10"/>
        <v>220855.28999994695</v>
      </c>
      <c r="J114" s="188">
        <f t="shared" si="10"/>
        <v>-66678.25</v>
      </c>
      <c r="K114" s="188">
        <f t="shared" si="10"/>
        <v>3626045.0700000226</v>
      </c>
      <c r="L114" s="188">
        <f t="shared" si="10"/>
        <v>0</v>
      </c>
      <c r="M114" s="529">
        <f t="shared" ref="M114:M125" si="11">SUM(C114:L114)</f>
        <v>6784480.3399997503</v>
      </c>
    </row>
    <row r="115" spans="1:13" x14ac:dyDescent="0.2">
      <c r="A115" s="166">
        <f t="shared" ref="A115:A126" si="12">A114+1</f>
        <v>55</v>
      </c>
      <c r="B115" s="531" t="s">
        <v>718</v>
      </c>
      <c r="C115" s="188">
        <f t="shared" si="10"/>
        <v>0</v>
      </c>
      <c r="D115" s="188">
        <f t="shared" si="10"/>
        <v>5443.0400000140071</v>
      </c>
      <c r="E115" s="188">
        <f t="shared" si="10"/>
        <v>1366319.4500000179</v>
      </c>
      <c r="F115" s="188">
        <f t="shared" si="10"/>
        <v>20216834.160000086</v>
      </c>
      <c r="G115" s="188">
        <f t="shared" si="10"/>
        <v>-3287.5799999833107</v>
      </c>
      <c r="H115" s="188">
        <f t="shared" si="10"/>
        <v>105400.51999998093</v>
      </c>
      <c r="I115" s="188">
        <f t="shared" si="10"/>
        <v>480550.48999997973</v>
      </c>
      <c r="J115" s="188">
        <f t="shared" si="10"/>
        <v>5446.7700000032783</v>
      </c>
      <c r="K115" s="188">
        <f t="shared" si="10"/>
        <v>-18846.969999998808</v>
      </c>
      <c r="L115" s="188">
        <f t="shared" si="10"/>
        <v>0</v>
      </c>
      <c r="M115" s="529">
        <f t="shared" si="11"/>
        <v>22157859.8800001</v>
      </c>
    </row>
    <row r="116" spans="1:13" x14ac:dyDescent="0.2">
      <c r="A116" s="166">
        <f t="shared" si="12"/>
        <v>56</v>
      </c>
      <c r="B116" s="531" t="s">
        <v>719</v>
      </c>
      <c r="C116" s="188">
        <f t="shared" si="10"/>
        <v>-46342.75</v>
      </c>
      <c r="D116" s="188">
        <f t="shared" si="10"/>
        <v>2926.6699999943376</v>
      </c>
      <c r="E116" s="188">
        <f t="shared" si="10"/>
        <v>154462.63000002503</v>
      </c>
      <c r="F116" s="188">
        <f t="shared" si="10"/>
        <v>9173483.7099996805</v>
      </c>
      <c r="G116" s="188">
        <f t="shared" si="10"/>
        <v>577626.70000004768</v>
      </c>
      <c r="H116" s="188">
        <f t="shared" si="10"/>
        <v>622049.93000006676</v>
      </c>
      <c r="I116" s="188">
        <f t="shared" si="10"/>
        <v>1402920.3600000143</v>
      </c>
      <c r="J116" s="188">
        <f t="shared" si="10"/>
        <v>23074.130000002682</v>
      </c>
      <c r="K116" s="188">
        <f t="shared" si="10"/>
        <v>-443904.41000002623</v>
      </c>
      <c r="L116" s="188">
        <f t="shared" si="10"/>
        <v>-37995.940000001341</v>
      </c>
      <c r="M116" s="529">
        <f t="shared" si="11"/>
        <v>11428301.029999804</v>
      </c>
    </row>
    <row r="117" spans="1:13" x14ac:dyDescent="0.2">
      <c r="A117" s="166">
        <f t="shared" si="12"/>
        <v>57</v>
      </c>
      <c r="B117" s="528" t="s">
        <v>756</v>
      </c>
      <c r="C117" s="188">
        <f t="shared" si="10"/>
        <v>0</v>
      </c>
      <c r="D117" s="188">
        <f t="shared" si="10"/>
        <v>33977.510000027716</v>
      </c>
      <c r="E117" s="188">
        <f t="shared" si="10"/>
        <v>11481086.479999959</v>
      </c>
      <c r="F117" s="188">
        <f t="shared" si="10"/>
        <v>43154078.710000157</v>
      </c>
      <c r="G117" s="188">
        <f t="shared" si="10"/>
        <v>8398.1000000238419</v>
      </c>
      <c r="H117" s="188">
        <f t="shared" si="10"/>
        <v>2208394.0099999905</v>
      </c>
      <c r="I117" s="188">
        <f t="shared" si="10"/>
        <v>1995934.4200000763</v>
      </c>
      <c r="J117" s="188">
        <f t="shared" si="10"/>
        <v>1333359.9799999967</v>
      </c>
      <c r="K117" s="188">
        <f t="shared" si="10"/>
        <v>-1181684.8399999738</v>
      </c>
      <c r="L117" s="188">
        <f t="shared" si="10"/>
        <v>-12965.399999994785</v>
      </c>
      <c r="M117" s="529">
        <f t="shared" si="11"/>
        <v>59020578.970000267</v>
      </c>
    </row>
    <row r="118" spans="1:13" x14ac:dyDescent="0.2">
      <c r="A118" s="166">
        <f t="shared" si="12"/>
        <v>58</v>
      </c>
      <c r="B118" s="531" t="s">
        <v>721</v>
      </c>
      <c r="C118" s="188">
        <f t="shared" si="10"/>
        <v>-548.10999999940395</v>
      </c>
      <c r="D118" s="188">
        <f t="shared" si="10"/>
        <v>0</v>
      </c>
      <c r="E118" s="188">
        <f t="shared" si="10"/>
        <v>1787065.3799999952</v>
      </c>
      <c r="F118" s="188">
        <f t="shared" si="10"/>
        <v>42835866.620000362</v>
      </c>
      <c r="G118" s="188">
        <f t="shared" si="10"/>
        <v>-4056.870000243187</v>
      </c>
      <c r="H118" s="188">
        <f t="shared" si="10"/>
        <v>3994215.0699999332</v>
      </c>
      <c r="I118" s="188">
        <f t="shared" si="10"/>
        <v>839182.81999996305</v>
      </c>
      <c r="J118" s="188">
        <f t="shared" si="10"/>
        <v>1175972.8999999985</v>
      </c>
      <c r="K118" s="188">
        <f t="shared" si="10"/>
        <v>-334100.41000002623</v>
      </c>
      <c r="L118" s="188">
        <f t="shared" si="10"/>
        <v>0.45999999344348907</v>
      </c>
      <c r="M118" s="529">
        <f t="shared" si="11"/>
        <v>50293597.859999977</v>
      </c>
    </row>
    <row r="119" spans="1:13" x14ac:dyDescent="0.2">
      <c r="A119" s="166">
        <f t="shared" si="12"/>
        <v>59</v>
      </c>
      <c r="B119" s="531" t="s">
        <v>722</v>
      </c>
      <c r="C119" s="188">
        <f t="shared" si="10"/>
        <v>13060.870000004768</v>
      </c>
      <c r="D119" s="188">
        <f t="shared" si="10"/>
        <v>-8523.2200000211596</v>
      </c>
      <c r="E119" s="188">
        <f t="shared" si="10"/>
        <v>1799222.6200000346</v>
      </c>
      <c r="F119" s="188">
        <f t="shared" si="10"/>
        <v>20425733.140000224</v>
      </c>
      <c r="G119" s="188">
        <f t="shared" si="10"/>
        <v>13708350.960000396</v>
      </c>
      <c r="H119" s="188">
        <f t="shared" si="10"/>
        <v>47262737.860000044</v>
      </c>
      <c r="I119" s="188">
        <f t="shared" si="10"/>
        <v>9576659.9799999297</v>
      </c>
      <c r="J119" s="188">
        <f t="shared" si="10"/>
        <v>2249550.8599999994</v>
      </c>
      <c r="K119" s="188">
        <f t="shared" si="10"/>
        <v>4721136.8100000024</v>
      </c>
      <c r="L119" s="188">
        <f t="shared" si="10"/>
        <v>4228244.8499999866</v>
      </c>
      <c r="M119" s="529">
        <f t="shared" si="11"/>
        <v>103976174.73000059</v>
      </c>
    </row>
    <row r="120" spans="1:13" x14ac:dyDescent="0.2">
      <c r="A120" s="166">
        <f t="shared" si="12"/>
        <v>60</v>
      </c>
      <c r="B120" s="528" t="s">
        <v>723</v>
      </c>
      <c r="C120" s="188">
        <f t="shared" si="10"/>
        <v>-67.219999998807907</v>
      </c>
      <c r="D120" s="188">
        <f t="shared" si="10"/>
        <v>30874.939999990165</v>
      </c>
      <c r="E120" s="188">
        <f t="shared" si="10"/>
        <v>329901.35000002384</v>
      </c>
      <c r="F120" s="188">
        <f t="shared" si="10"/>
        <v>8231702.5899989605</v>
      </c>
      <c r="G120" s="188">
        <f t="shared" si="10"/>
        <v>679502.78999972343</v>
      </c>
      <c r="H120" s="188">
        <f t="shared" si="10"/>
        <v>11543038.099999972</v>
      </c>
      <c r="I120" s="188">
        <f t="shared" si="10"/>
        <v>2742695.4799999595</v>
      </c>
      <c r="J120" s="188">
        <f t="shared" si="10"/>
        <v>710487.88000000268</v>
      </c>
      <c r="K120" s="188">
        <f t="shared" si="10"/>
        <v>222664.05000001192</v>
      </c>
      <c r="L120" s="188">
        <f t="shared" si="10"/>
        <v>65252.590000011027</v>
      </c>
      <c r="M120" s="529">
        <f t="shared" si="11"/>
        <v>24556052.549998656</v>
      </c>
    </row>
    <row r="121" spans="1:13" x14ac:dyDescent="0.2">
      <c r="A121" s="166">
        <f t="shared" si="12"/>
        <v>61</v>
      </c>
      <c r="B121" s="531" t="s">
        <v>724</v>
      </c>
      <c r="C121" s="188">
        <f t="shared" si="10"/>
        <v>0</v>
      </c>
      <c r="D121" s="188">
        <f t="shared" si="10"/>
        <v>1145644.2400000244</v>
      </c>
      <c r="E121" s="188">
        <f t="shared" si="10"/>
        <v>1625435.5217758119</v>
      </c>
      <c r="F121" s="188">
        <f t="shared" si="10"/>
        <v>30131500.277223825</v>
      </c>
      <c r="G121" s="188">
        <f t="shared" si="10"/>
        <v>-1102261.5999997854</v>
      </c>
      <c r="H121" s="188">
        <f t="shared" si="10"/>
        <v>760338.31000007689</v>
      </c>
      <c r="I121" s="188">
        <f t="shared" si="10"/>
        <v>-678119.76999986172</v>
      </c>
      <c r="J121" s="188">
        <f t="shared" si="10"/>
        <v>505075.33999999613</v>
      </c>
      <c r="K121" s="188">
        <f t="shared" si="10"/>
        <v>1927942.7400000095</v>
      </c>
      <c r="L121" s="188">
        <f t="shared" si="10"/>
        <v>-55916.349999986589</v>
      </c>
      <c r="M121" s="529">
        <f t="shared" si="11"/>
        <v>34259638.709000111</v>
      </c>
    </row>
    <row r="122" spans="1:13" x14ac:dyDescent="0.2">
      <c r="A122" s="166">
        <f t="shared" si="12"/>
        <v>62</v>
      </c>
      <c r="B122" s="531" t="s">
        <v>725</v>
      </c>
      <c r="C122" s="188">
        <f t="shared" si="10"/>
        <v>-6560.8400000035763</v>
      </c>
      <c r="D122" s="188">
        <f t="shared" si="10"/>
        <v>-3391.5300000086427</v>
      </c>
      <c r="E122" s="188">
        <f t="shared" si="10"/>
        <v>3362770.9899998307</v>
      </c>
      <c r="F122" s="188">
        <f t="shared" si="10"/>
        <v>11174042.340000153</v>
      </c>
      <c r="G122" s="188">
        <f t="shared" si="10"/>
        <v>2593520.5299998522</v>
      </c>
      <c r="H122" s="188">
        <f t="shared" si="10"/>
        <v>17321351.279999971</v>
      </c>
      <c r="I122" s="188">
        <f t="shared" si="10"/>
        <v>-12480660.860000193</v>
      </c>
      <c r="J122" s="188">
        <f t="shared" si="10"/>
        <v>379371.80000000447</v>
      </c>
      <c r="K122" s="188">
        <f t="shared" si="10"/>
        <v>-429774.27000001073</v>
      </c>
      <c r="L122" s="188">
        <f t="shared" si="10"/>
        <v>5963.7599999830127</v>
      </c>
      <c r="M122" s="529">
        <f t="shared" si="11"/>
        <v>21916633.199999578</v>
      </c>
    </row>
    <row r="123" spans="1:13" x14ac:dyDescent="0.2">
      <c r="A123" s="166">
        <f t="shared" si="12"/>
        <v>63</v>
      </c>
      <c r="B123" s="528" t="s">
        <v>726</v>
      </c>
      <c r="C123" s="188">
        <f t="shared" si="10"/>
        <v>0</v>
      </c>
      <c r="D123" s="188">
        <f t="shared" si="10"/>
        <v>11586.919999986887</v>
      </c>
      <c r="E123" s="188">
        <f t="shared" si="10"/>
        <v>5578402.6500001252</v>
      </c>
      <c r="F123" s="188">
        <f t="shared" si="10"/>
        <v>32526588.490000963</v>
      </c>
      <c r="G123" s="188">
        <f t="shared" si="10"/>
        <v>3438610.5699996948</v>
      </c>
      <c r="H123" s="188">
        <f t="shared" si="10"/>
        <v>-1546596.2200000808</v>
      </c>
      <c r="I123" s="188">
        <f t="shared" si="10"/>
        <v>3246363.4800000191</v>
      </c>
      <c r="J123" s="188">
        <f t="shared" si="10"/>
        <v>2951.6499999985099</v>
      </c>
      <c r="K123" s="188">
        <f t="shared" si="10"/>
        <v>20457.310000002384</v>
      </c>
      <c r="L123" s="188">
        <f t="shared" si="10"/>
        <v>671173.53999999911</v>
      </c>
      <c r="M123" s="529">
        <f t="shared" si="11"/>
        <v>43949538.390000708</v>
      </c>
    </row>
    <row r="124" spans="1:13" x14ac:dyDescent="0.2">
      <c r="A124" s="166">
        <f t="shared" si="12"/>
        <v>64</v>
      </c>
      <c r="B124" s="528" t="s">
        <v>727</v>
      </c>
      <c r="C124" s="188">
        <f t="shared" si="10"/>
        <v>0</v>
      </c>
      <c r="D124" s="188">
        <f t="shared" si="10"/>
        <v>11220.829999983311</v>
      </c>
      <c r="E124" s="188">
        <f t="shared" si="10"/>
        <v>6350145.3000000119</v>
      </c>
      <c r="F124" s="188">
        <f t="shared" si="10"/>
        <v>5868190.980001092</v>
      </c>
      <c r="G124" s="188">
        <f t="shared" si="10"/>
        <v>254546.93000006676</v>
      </c>
      <c r="H124" s="188">
        <f t="shared" si="10"/>
        <v>4025542.6699999571</v>
      </c>
      <c r="I124" s="188">
        <f t="shared" si="10"/>
        <v>-908655.77999985218</v>
      </c>
      <c r="J124" s="188">
        <f t="shared" si="10"/>
        <v>1826.5200000032783</v>
      </c>
      <c r="K124" s="188">
        <f t="shared" si="10"/>
        <v>363972.71000000834</v>
      </c>
      <c r="L124" s="188">
        <f t="shared" si="10"/>
        <v>293853.5700000003</v>
      </c>
      <c r="M124" s="529">
        <f t="shared" si="11"/>
        <v>16260643.730001271</v>
      </c>
    </row>
    <row r="125" spans="1:13" x14ac:dyDescent="0.2">
      <c r="A125" s="166">
        <f t="shared" si="12"/>
        <v>65</v>
      </c>
      <c r="B125" s="531" t="s">
        <v>728</v>
      </c>
      <c r="C125" s="181">
        <f t="shared" si="10"/>
        <v>-1210.6899999976158</v>
      </c>
      <c r="D125" s="181">
        <f t="shared" si="10"/>
        <v>97482.200000032783</v>
      </c>
      <c r="E125" s="181">
        <f t="shared" si="10"/>
        <v>2926584.5499998927</v>
      </c>
      <c r="F125" s="181">
        <f t="shared" si="10"/>
        <v>-27683826.230002165</v>
      </c>
      <c r="G125" s="181">
        <f t="shared" si="10"/>
        <v>19687683.940000057</v>
      </c>
      <c r="H125" s="181">
        <f t="shared" si="10"/>
        <v>6323258.8000001758</v>
      </c>
      <c r="I125" s="181">
        <f t="shared" si="10"/>
        <v>379773.38999998569</v>
      </c>
      <c r="J125" s="181">
        <f t="shared" si="10"/>
        <v>155.43999999761581</v>
      </c>
      <c r="K125" s="181">
        <f t="shared" si="10"/>
        <v>10306144.929999977</v>
      </c>
      <c r="L125" s="181">
        <f t="shared" si="10"/>
        <v>-10697.020000003278</v>
      </c>
      <c r="M125" s="534">
        <f t="shared" si="11"/>
        <v>12025349.309997953</v>
      </c>
    </row>
    <row r="126" spans="1:13" x14ac:dyDescent="0.2">
      <c r="A126" s="166">
        <f t="shared" si="12"/>
        <v>66</v>
      </c>
      <c r="B126" s="535" t="s">
        <v>166</v>
      </c>
      <c r="C126" s="529">
        <f>SUM(C114:C125)</f>
        <v>-41668.739999994636</v>
      </c>
      <c r="D126" s="529">
        <f t="shared" ref="D126:L126" si="13">SUM(D114:D125)</f>
        <v>1343265.8700000048</v>
      </c>
      <c r="E126" s="529">
        <f t="shared" si="13"/>
        <v>37275117.241775662</v>
      </c>
      <c r="F126" s="529">
        <f t="shared" si="13"/>
        <v>196630348.17722332</v>
      </c>
      <c r="G126" s="529">
        <f t="shared" si="13"/>
        <v>39844254.779999793</v>
      </c>
      <c r="H126" s="529">
        <f t="shared" si="13"/>
        <v>94512470.270000026</v>
      </c>
      <c r="I126" s="529">
        <f t="shared" si="13"/>
        <v>6817499.2999999672</v>
      </c>
      <c r="J126" s="529">
        <f t="shared" si="13"/>
        <v>6320595.0200000033</v>
      </c>
      <c r="K126" s="529">
        <f t="shared" si="13"/>
        <v>18780052.719999999</v>
      </c>
      <c r="L126" s="529">
        <f t="shared" si="13"/>
        <v>5146914.0599999875</v>
      </c>
      <c r="M126" s="529">
        <f>SUM(M114:M125)</f>
        <v>406628848.69899875</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173">
        <f t="shared" ref="C131:M131" si="14">C23-C11</f>
        <v>-1525580.6264260858</v>
      </c>
      <c r="D131" s="173">
        <f t="shared" si="14"/>
        <v>28561130.172207475</v>
      </c>
      <c r="E131" s="173">
        <f t="shared" si="14"/>
        <v>168838414.37222165</v>
      </c>
      <c r="F131" s="173">
        <f t="shared" si="14"/>
        <v>477163634.11060047</v>
      </c>
      <c r="G131" s="173">
        <f t="shared" si="14"/>
        <v>715001050.31131315</v>
      </c>
      <c r="H131" s="173">
        <f t="shared" si="14"/>
        <v>-4640929.3739981949</v>
      </c>
      <c r="I131" s="173">
        <f t="shared" si="14"/>
        <v>269838130.747325</v>
      </c>
      <c r="J131" s="173">
        <f t="shared" si="14"/>
        <v>-438076.38561243587</v>
      </c>
      <c r="K131" s="173">
        <f t="shared" si="14"/>
        <v>8379826.8535616891</v>
      </c>
      <c r="L131" s="173">
        <f t="shared" si="14"/>
        <v>30021372.659496754</v>
      </c>
      <c r="M131" s="173">
        <f t="shared" si="14"/>
        <v>1691198972.8406882</v>
      </c>
    </row>
    <row r="132" spans="1:13" x14ac:dyDescent="0.2">
      <c r="B132" s="168"/>
      <c r="C132" s="173"/>
      <c r="D132" s="173"/>
      <c r="E132" s="173"/>
      <c r="F132" s="173"/>
      <c r="G132" s="173"/>
      <c r="H132" s="173"/>
      <c r="I132" s="173"/>
      <c r="J132" s="173"/>
      <c r="K132" s="173"/>
      <c r="L132" s="173"/>
      <c r="M132" s="173"/>
    </row>
    <row r="133" spans="1:13" x14ac:dyDescent="0.2">
      <c r="B133" s="247" t="s">
        <v>761</v>
      </c>
      <c r="C133" s="173"/>
      <c r="D133" s="173"/>
      <c r="E133" s="173"/>
      <c r="F133" s="173"/>
      <c r="G133" s="173"/>
      <c r="H133" s="173"/>
      <c r="I133" s="173"/>
      <c r="J133" s="173"/>
      <c r="K133" s="173"/>
      <c r="L133" s="173"/>
      <c r="M133" s="173"/>
    </row>
    <row r="134" spans="1:13" x14ac:dyDescent="0.2">
      <c r="B134" s="168"/>
      <c r="C134" s="241">
        <v>350.1</v>
      </c>
      <c r="D134" s="241">
        <v>350.2</v>
      </c>
      <c r="E134" s="241">
        <v>352</v>
      </c>
      <c r="F134" s="241">
        <v>353</v>
      </c>
      <c r="G134" s="241">
        <v>354</v>
      </c>
      <c r="H134" s="241">
        <v>355</v>
      </c>
      <c r="I134" s="241">
        <v>356</v>
      </c>
      <c r="J134" s="241">
        <v>357</v>
      </c>
      <c r="K134" s="241">
        <v>358</v>
      </c>
      <c r="L134" s="241">
        <v>359</v>
      </c>
      <c r="M134" s="207" t="s">
        <v>325</v>
      </c>
    </row>
    <row r="135" spans="1:13" x14ac:dyDescent="0.2">
      <c r="A135" s="166">
        <f>A131+1</f>
        <v>68</v>
      </c>
      <c r="B135" s="168"/>
      <c r="C135" s="173">
        <f t="shared" ref="C135:M135" si="15">C106</f>
        <v>0</v>
      </c>
      <c r="D135" s="173">
        <f t="shared" si="15"/>
        <v>29128623.379999995</v>
      </c>
      <c r="E135" s="173">
        <f t="shared" si="15"/>
        <v>148807584.75822422</v>
      </c>
      <c r="F135" s="173">
        <f t="shared" si="15"/>
        <v>420997271.13277566</v>
      </c>
      <c r="G135" s="173">
        <f t="shared" si="15"/>
        <v>709124593.02000022</v>
      </c>
      <c r="H135" s="173">
        <f t="shared" si="15"/>
        <v>893718.45000000298</v>
      </c>
      <c r="I135" s="173">
        <f t="shared" si="15"/>
        <v>273896265.48000002</v>
      </c>
      <c r="J135" s="173">
        <f t="shared" si="15"/>
        <v>0</v>
      </c>
      <c r="K135" s="173">
        <f t="shared" si="15"/>
        <v>0</v>
      </c>
      <c r="L135" s="173">
        <f t="shared" si="15"/>
        <v>28290861.150000006</v>
      </c>
      <c r="M135" s="173">
        <f t="shared" si="15"/>
        <v>1611138917.3710001</v>
      </c>
    </row>
    <row r="136" spans="1:13" x14ac:dyDescent="0.2">
      <c r="B136" s="168"/>
      <c r="C136" s="173"/>
      <c r="D136" s="173"/>
      <c r="E136" s="173"/>
      <c r="F136" s="173"/>
      <c r="G136" s="173"/>
      <c r="H136" s="173"/>
      <c r="I136" s="173"/>
      <c r="J136" s="173"/>
      <c r="K136" s="173"/>
      <c r="L136" s="173"/>
      <c r="M136" s="173"/>
    </row>
    <row r="137" spans="1:13" x14ac:dyDescent="0.2">
      <c r="B137" s="247" t="s">
        <v>762</v>
      </c>
      <c r="C137" s="173"/>
      <c r="D137" s="173"/>
      <c r="E137" s="173"/>
      <c r="F137" s="173"/>
      <c r="G137" s="173"/>
      <c r="H137" s="173"/>
      <c r="I137" s="173"/>
      <c r="J137" s="173"/>
      <c r="K137" s="173"/>
      <c r="L137" s="173"/>
      <c r="M137" s="173"/>
    </row>
    <row r="138" spans="1:13" x14ac:dyDescent="0.2">
      <c r="C138" s="241">
        <v>350.1</v>
      </c>
      <c r="D138" s="241">
        <v>350.2</v>
      </c>
      <c r="E138" s="241">
        <v>352</v>
      </c>
      <c r="F138" s="241">
        <v>353</v>
      </c>
      <c r="G138" s="241">
        <v>354</v>
      </c>
      <c r="H138" s="241">
        <v>355</v>
      </c>
      <c r="I138" s="241">
        <v>356</v>
      </c>
      <c r="J138" s="241">
        <v>357</v>
      </c>
      <c r="K138" s="241">
        <v>358</v>
      </c>
      <c r="L138" s="241">
        <v>359</v>
      </c>
      <c r="M138" s="207" t="s">
        <v>325</v>
      </c>
    </row>
    <row r="139" spans="1:13" x14ac:dyDescent="0.2">
      <c r="A139" s="166">
        <f>A135+1</f>
        <v>69</v>
      </c>
      <c r="C139" s="173">
        <f t="shared" ref="C139:M139" si="16">C131-C135</f>
        <v>-1525580.6264260858</v>
      </c>
      <c r="D139" s="173">
        <f t="shared" si="16"/>
        <v>-567493.20779252052</v>
      </c>
      <c r="E139" s="173">
        <f t="shared" si="16"/>
        <v>20030829.61399743</v>
      </c>
      <c r="F139" s="173">
        <f t="shared" si="16"/>
        <v>56166362.977824807</v>
      </c>
      <c r="G139" s="173">
        <f t="shared" si="16"/>
        <v>5876457.291312933</v>
      </c>
      <c r="H139" s="173">
        <f t="shared" si="16"/>
        <v>-5534647.8239981979</v>
      </c>
      <c r="I139" s="173">
        <f t="shared" si="16"/>
        <v>-4058134.7326750159</v>
      </c>
      <c r="J139" s="173">
        <f t="shared" si="16"/>
        <v>-438076.38561243587</v>
      </c>
      <c r="K139" s="173">
        <f t="shared" si="16"/>
        <v>8379826.8535616891</v>
      </c>
      <c r="L139" s="173">
        <f t="shared" si="16"/>
        <v>1730511.5094967484</v>
      </c>
      <c r="M139" s="173">
        <f t="shared" si="16"/>
        <v>80060055.469688177</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717</v>
      </c>
      <c r="C146" s="188">
        <f t="shared" ref="C146:C157" si="17">C114*($C$139/$C$126)</f>
        <v>0</v>
      </c>
      <c r="D146" s="188">
        <f t="shared" ref="D146:D157" si="18">D114*($D$139/$D$126)</f>
        <v>-6769.817195476423</v>
      </c>
      <c r="E146" s="188">
        <f t="shared" ref="E146:E157" si="19">E114*($E$139/$E$126)</f>
        <v>276062.0210104725</v>
      </c>
      <c r="F146" s="188">
        <f t="shared" ref="F146:F157" si="20">F114*($F$139/$F$126)</f>
        <v>164575.00448749104</v>
      </c>
      <c r="G146" s="188">
        <f t="shared" ref="G146:G157" si="21">G114*($G$139/$G$126)</f>
        <v>828.91528178815918</v>
      </c>
      <c r="H146" s="188">
        <f t="shared" ref="H146:H157" si="22">H114*($H$139/$H$126)</f>
        <v>-110838.80212197034</v>
      </c>
      <c r="I146" s="188">
        <f t="shared" ref="I146:I157" si="23">I114*($I$139/$I$126)</f>
        <v>-131464.70337647153</v>
      </c>
      <c r="J146" s="188">
        <f t="shared" ref="J146:J157" si="24">J114*($J$139/$J$126)</f>
        <v>4621.4267274732601</v>
      </c>
      <c r="K146" s="188">
        <f t="shared" ref="K146:K157" si="25">K114*($K$139/$K$126)</f>
        <v>1617973.6182237493</v>
      </c>
      <c r="L146" s="188">
        <f t="shared" ref="L146:L157" si="26">L114*($L$139/$L$126)</f>
        <v>0</v>
      </c>
      <c r="M146" s="529">
        <f t="shared" ref="M146:M157" si="27">SUM(C146:L146)</f>
        <v>1814987.6630370561</v>
      </c>
    </row>
    <row r="147" spans="1:13" x14ac:dyDescent="0.2">
      <c r="A147" s="166">
        <f t="shared" ref="A147:A158" si="28">A146+1</f>
        <v>71</v>
      </c>
      <c r="B147" s="531" t="s">
        <v>718</v>
      </c>
      <c r="C147" s="188">
        <f t="shared" si="17"/>
        <v>0</v>
      </c>
      <c r="D147" s="188">
        <f t="shared" si="18"/>
        <v>-2299.5360030631455</v>
      </c>
      <c r="E147" s="188">
        <f t="shared" si="19"/>
        <v>734230.07428043964</v>
      </c>
      <c r="F147" s="188">
        <f t="shared" si="20"/>
        <v>5774825.9931351943</v>
      </c>
      <c r="G147" s="188">
        <f t="shared" si="21"/>
        <v>-484.8709950367554</v>
      </c>
      <c r="H147" s="188">
        <f t="shared" si="22"/>
        <v>-6172.2517356668895</v>
      </c>
      <c r="I147" s="188">
        <f t="shared" si="23"/>
        <v>-286048.96729111875</v>
      </c>
      <c r="J147" s="188">
        <f t="shared" si="24"/>
        <v>-377.51213411291809</v>
      </c>
      <c r="K147" s="188">
        <f t="shared" si="25"/>
        <v>-8409.6859401287966</v>
      </c>
      <c r="L147" s="188">
        <f t="shared" si="26"/>
        <v>0</v>
      </c>
      <c r="M147" s="529">
        <f t="shared" si="27"/>
        <v>6205263.243316507</v>
      </c>
    </row>
    <row r="148" spans="1:13" x14ac:dyDescent="0.2">
      <c r="A148" s="166">
        <f t="shared" si="28"/>
        <v>72</v>
      </c>
      <c r="B148" s="531" t="s">
        <v>719</v>
      </c>
      <c r="C148" s="188">
        <f t="shared" si="17"/>
        <v>-1696706.0097165548</v>
      </c>
      <c r="D148" s="188">
        <f t="shared" si="18"/>
        <v>-1236.4382833957636</v>
      </c>
      <c r="E148" s="188">
        <f t="shared" si="19"/>
        <v>83004.826066458292</v>
      </c>
      <c r="F148" s="188">
        <f t="shared" si="20"/>
        <v>2620354.4905622457</v>
      </c>
      <c r="G148" s="188">
        <f t="shared" si="21"/>
        <v>85191.670709227546</v>
      </c>
      <c r="H148" s="188">
        <f t="shared" si="22"/>
        <v>-36427.22787435085</v>
      </c>
      <c r="I148" s="188">
        <f t="shared" si="23"/>
        <v>-835092.10482691543</v>
      </c>
      <c r="J148" s="188">
        <f t="shared" si="24"/>
        <v>-1599.2531461939234</v>
      </c>
      <c r="K148" s="188">
        <f t="shared" si="25"/>
        <v>-198074.10292151076</v>
      </c>
      <c r="L148" s="188">
        <f t="shared" si="26"/>
        <v>-12775.113537479654</v>
      </c>
      <c r="M148" s="529">
        <f t="shared" si="27"/>
        <v>6640.7370315305343</v>
      </c>
    </row>
    <row r="149" spans="1:13" x14ac:dyDescent="0.2">
      <c r="A149" s="166">
        <f t="shared" si="28"/>
        <v>73</v>
      </c>
      <c r="B149" s="528" t="s">
        <v>756</v>
      </c>
      <c r="C149" s="188">
        <f t="shared" si="17"/>
        <v>0</v>
      </c>
      <c r="D149" s="188">
        <f t="shared" si="18"/>
        <v>-14354.571625286739</v>
      </c>
      <c r="E149" s="188">
        <f t="shared" si="19"/>
        <v>6169683.8020057539</v>
      </c>
      <c r="F149" s="188">
        <f t="shared" si="20"/>
        <v>12326722.051139878</v>
      </c>
      <c r="G149" s="188">
        <f t="shared" si="21"/>
        <v>1238.599548436968</v>
      </c>
      <c r="H149" s="188">
        <f t="shared" si="22"/>
        <v>-129323.49632868292</v>
      </c>
      <c r="I149" s="188">
        <f t="shared" si="23"/>
        <v>-1188085.3136198947</v>
      </c>
      <c r="J149" s="188">
        <f t="shared" si="24"/>
        <v>-92414.32474480354</v>
      </c>
      <c r="K149" s="188">
        <f t="shared" si="25"/>
        <v>-527278.30439650267</v>
      </c>
      <c r="L149" s="188">
        <f t="shared" si="26"/>
        <v>-4359.2672548373912</v>
      </c>
      <c r="M149" s="529">
        <f t="shared" si="27"/>
        <v>16541829.174724065</v>
      </c>
    </row>
    <row r="150" spans="1:13" x14ac:dyDescent="0.2">
      <c r="A150" s="166">
        <f t="shared" si="28"/>
        <v>74</v>
      </c>
      <c r="B150" s="531" t="s">
        <v>721</v>
      </c>
      <c r="C150" s="188">
        <f t="shared" si="17"/>
        <v>-20067.465374513369</v>
      </c>
      <c r="D150" s="188">
        <f t="shared" si="18"/>
        <v>0</v>
      </c>
      <c r="E150" s="188">
        <f t="shared" si="19"/>
        <v>960329.69939890807</v>
      </c>
      <c r="F150" s="188">
        <f t="shared" si="20"/>
        <v>12235826.54128322</v>
      </c>
      <c r="G150" s="188">
        <f t="shared" si="21"/>
        <v>-598.3302592675044</v>
      </c>
      <c r="H150" s="188">
        <f t="shared" si="22"/>
        <v>-233901.13159250445</v>
      </c>
      <c r="I150" s="188">
        <f t="shared" si="23"/>
        <v>-499525.82303983992</v>
      </c>
      <c r="J150" s="188">
        <f t="shared" si="24"/>
        <v>-81505.927207811139</v>
      </c>
      <c r="K150" s="188">
        <f t="shared" si="25"/>
        <v>-149078.57977004605</v>
      </c>
      <c r="L150" s="188">
        <f t="shared" si="26"/>
        <v>0.15466263352032511</v>
      </c>
      <c r="M150" s="529">
        <f t="shared" si="27"/>
        <v>12211479.138100781</v>
      </c>
    </row>
    <row r="151" spans="1:13" x14ac:dyDescent="0.2">
      <c r="A151" s="166">
        <f t="shared" si="28"/>
        <v>75</v>
      </c>
      <c r="B151" s="531" t="s">
        <v>722</v>
      </c>
      <c r="C151" s="188">
        <f t="shared" si="17"/>
        <v>478186.0511328039</v>
      </c>
      <c r="D151" s="188">
        <f t="shared" si="18"/>
        <v>3600.8280762269037</v>
      </c>
      <c r="E151" s="188">
        <f t="shared" si="19"/>
        <v>966862.73325733247</v>
      </c>
      <c r="F151" s="188">
        <f t="shared" si="20"/>
        <v>5834496.8224102873</v>
      </c>
      <c r="G151" s="188">
        <f t="shared" si="21"/>
        <v>2021785.559688949</v>
      </c>
      <c r="H151" s="188">
        <f t="shared" si="22"/>
        <v>-2767704.711407565</v>
      </c>
      <c r="I151" s="188">
        <f t="shared" si="23"/>
        <v>-5700532.5233926652</v>
      </c>
      <c r="J151" s="188">
        <f t="shared" si="24"/>
        <v>-155914.92681968192</v>
      </c>
      <c r="K151" s="188">
        <f t="shared" si="25"/>
        <v>2106613.309857449</v>
      </c>
      <c r="L151" s="188">
        <f t="shared" si="26"/>
        <v>1421633.6804145798</v>
      </c>
      <c r="M151" s="529">
        <f t="shared" si="27"/>
        <v>4209026.8232177161</v>
      </c>
    </row>
    <row r="152" spans="1:13" x14ac:dyDescent="0.2">
      <c r="A152" s="166">
        <f t="shared" si="28"/>
        <v>76</v>
      </c>
      <c r="B152" s="528" t="s">
        <v>723</v>
      </c>
      <c r="C152" s="188">
        <f t="shared" si="17"/>
        <v>-2461.0662503007306</v>
      </c>
      <c r="D152" s="188">
        <f t="shared" si="18"/>
        <v>-13043.820387542461</v>
      </c>
      <c r="E152" s="188">
        <f t="shared" si="19"/>
        <v>177281.74235954238</v>
      </c>
      <c r="F152" s="188">
        <f t="shared" si="20"/>
        <v>2351339.9629373075</v>
      </c>
      <c r="G152" s="188">
        <f t="shared" si="21"/>
        <v>100216.93583702599</v>
      </c>
      <c r="H152" s="188">
        <f t="shared" si="22"/>
        <v>-675960.01374193176</v>
      </c>
      <c r="I152" s="188">
        <f t="shared" si="23"/>
        <v>-1632596.8362825741</v>
      </c>
      <c r="J152" s="188">
        <f t="shared" si="24"/>
        <v>-49243.459121645021</v>
      </c>
      <c r="K152" s="188">
        <f t="shared" si="25"/>
        <v>99354.683042279692</v>
      </c>
      <c r="L152" s="188">
        <f t="shared" si="26"/>
        <v>21939.429472325752</v>
      </c>
      <c r="M152" s="529">
        <f t="shared" si="27"/>
        <v>376827.55786448682</v>
      </c>
    </row>
    <row r="153" spans="1:13" x14ac:dyDescent="0.2">
      <c r="A153" s="166">
        <f t="shared" si="28"/>
        <v>77</v>
      </c>
      <c r="B153" s="531" t="s">
        <v>724</v>
      </c>
      <c r="C153" s="188">
        <f t="shared" si="17"/>
        <v>0</v>
      </c>
      <c r="D153" s="188">
        <f t="shared" si="18"/>
        <v>-484003.45699741173</v>
      </c>
      <c r="E153" s="188">
        <f t="shared" si="19"/>
        <v>873473.3622444619</v>
      </c>
      <c r="F153" s="188">
        <f t="shared" si="20"/>
        <v>8606895.1071156096</v>
      </c>
      <c r="G153" s="188">
        <f t="shared" si="21"/>
        <v>-162567.80938727429</v>
      </c>
      <c r="H153" s="188">
        <f t="shared" si="22"/>
        <v>-44525.391844298807</v>
      </c>
      <c r="I153" s="188">
        <f t="shared" si="23"/>
        <v>403652.61079675436</v>
      </c>
      <c r="J153" s="188">
        <f t="shared" si="24"/>
        <v>-35006.447764655284</v>
      </c>
      <c r="K153" s="188">
        <f t="shared" si="25"/>
        <v>860265.22851962375</v>
      </c>
      <c r="L153" s="188">
        <f t="shared" si="26"/>
        <v>-18800.369719797796</v>
      </c>
      <c r="M153" s="529">
        <f t="shared" si="27"/>
        <v>9999382.8329630122</v>
      </c>
    </row>
    <row r="154" spans="1:13" x14ac:dyDescent="0.2">
      <c r="A154" s="166">
        <f t="shared" si="28"/>
        <v>78</v>
      </c>
      <c r="B154" s="531" t="s">
        <v>725</v>
      </c>
      <c r="C154" s="188">
        <f t="shared" si="17"/>
        <v>-240206.21686876219</v>
      </c>
      <c r="D154" s="188">
        <f t="shared" si="18"/>
        <v>1432.8289596380982</v>
      </c>
      <c r="E154" s="188">
        <f t="shared" si="19"/>
        <v>1807079.2988972315</v>
      </c>
      <c r="F154" s="188">
        <f t="shared" si="20"/>
        <v>3191802.9125004117</v>
      </c>
      <c r="G154" s="188">
        <f t="shared" si="21"/>
        <v>382507.15725112858</v>
      </c>
      <c r="H154" s="188">
        <f t="shared" si="22"/>
        <v>-1014337.8846906549</v>
      </c>
      <c r="I154" s="188">
        <f t="shared" si="23"/>
        <v>7429146.8314055661</v>
      </c>
      <c r="J154" s="188">
        <f t="shared" si="24"/>
        <v>-26294.016057254965</v>
      </c>
      <c r="K154" s="188">
        <f t="shared" si="25"/>
        <v>-191769.10855423636</v>
      </c>
      <c r="L154" s="188">
        <f t="shared" si="26"/>
        <v>2005.1540009290454</v>
      </c>
      <c r="M154" s="529">
        <f t="shared" si="27"/>
        <v>11341366.956843996</v>
      </c>
    </row>
    <row r="155" spans="1:13" x14ac:dyDescent="0.2">
      <c r="A155" s="166">
        <f t="shared" si="28"/>
        <v>79</v>
      </c>
      <c r="B155" s="528" t="s">
        <v>726</v>
      </c>
      <c r="C155" s="188">
        <f t="shared" si="17"/>
        <v>0</v>
      </c>
      <c r="D155" s="188">
        <f t="shared" si="18"/>
        <v>-4895.1577986775228</v>
      </c>
      <c r="E155" s="188">
        <f t="shared" si="19"/>
        <v>2997711.1078055277</v>
      </c>
      <c r="F155" s="188">
        <f t="shared" si="20"/>
        <v>9291038.7053434085</v>
      </c>
      <c r="G155" s="188">
        <f t="shared" si="21"/>
        <v>507145.84242151387</v>
      </c>
      <c r="H155" s="188">
        <f t="shared" si="22"/>
        <v>90568.634796802493</v>
      </c>
      <c r="I155" s="188">
        <f t="shared" si="23"/>
        <v>-1932406.5633678725</v>
      </c>
      <c r="J155" s="188">
        <f t="shared" si="24"/>
        <v>-204.57696775394618</v>
      </c>
      <c r="K155" s="188">
        <f t="shared" si="25"/>
        <v>9128.2339962278911</v>
      </c>
      <c r="L155" s="188">
        <f t="shared" si="26"/>
        <v>225664.0624459305</v>
      </c>
      <c r="M155" s="529">
        <f t="shared" si="27"/>
        <v>11183750.288675107</v>
      </c>
    </row>
    <row r="156" spans="1:13" x14ac:dyDescent="0.2">
      <c r="A156" s="166">
        <f t="shared" si="28"/>
        <v>80</v>
      </c>
      <c r="B156" s="528" t="s">
        <v>727</v>
      </c>
      <c r="C156" s="188">
        <f t="shared" si="17"/>
        <v>0</v>
      </c>
      <c r="D156" s="188">
        <f t="shared" si="18"/>
        <v>-4740.4947546125431</v>
      </c>
      <c r="E156" s="188">
        <f t="shared" si="19"/>
        <v>3412428.6639632718</v>
      </c>
      <c r="F156" s="188">
        <f t="shared" si="20"/>
        <v>1676216.0452916161</v>
      </c>
      <c r="G156" s="188">
        <f t="shared" si="21"/>
        <v>37542.028858099344</v>
      </c>
      <c r="H156" s="188">
        <f t="shared" si="22"/>
        <v>-235735.67504138366</v>
      </c>
      <c r="I156" s="188">
        <f t="shared" si="23"/>
        <v>540879.78870248306</v>
      </c>
      <c r="J156" s="188">
        <f t="shared" si="24"/>
        <v>-126.59492932522389</v>
      </c>
      <c r="K156" s="188">
        <f t="shared" si="25"/>
        <v>162407.86619163927</v>
      </c>
      <c r="L156" s="188">
        <f t="shared" si="26"/>
        <v>98800.364463771562</v>
      </c>
      <c r="M156" s="529">
        <f t="shared" si="27"/>
        <v>5687671.9927455597</v>
      </c>
    </row>
    <row r="157" spans="1:13" x14ac:dyDescent="0.2">
      <c r="A157" s="166">
        <f t="shared" si="28"/>
        <v>81</v>
      </c>
      <c r="B157" s="531" t="s">
        <v>728</v>
      </c>
      <c r="C157" s="181">
        <f t="shared" si="17"/>
        <v>-44325.919348758769</v>
      </c>
      <c r="D157" s="181">
        <f t="shared" si="18"/>
        <v>-41183.571782919236</v>
      </c>
      <c r="E157" s="181">
        <f t="shared" si="19"/>
        <v>1572682.28270803</v>
      </c>
      <c r="F157" s="181">
        <f t="shared" si="20"/>
        <v>-7907730.6583818616</v>
      </c>
      <c r="G157" s="181">
        <f t="shared" si="21"/>
        <v>2903651.5923583419</v>
      </c>
      <c r="H157" s="181">
        <f t="shared" si="22"/>
        <v>-370289.87241599074</v>
      </c>
      <c r="I157" s="181">
        <f t="shared" si="23"/>
        <v>-226061.12838246775</v>
      </c>
      <c r="J157" s="181">
        <f t="shared" si="24"/>
        <v>-10.773446671252248</v>
      </c>
      <c r="K157" s="181">
        <f t="shared" si="25"/>
        <v>4598693.6953131445</v>
      </c>
      <c r="L157" s="181">
        <f t="shared" si="26"/>
        <v>-3596.5854513068412</v>
      </c>
      <c r="M157" s="534">
        <f t="shared" si="27"/>
        <v>481829.06116954045</v>
      </c>
    </row>
    <row r="158" spans="1:13" x14ac:dyDescent="0.2">
      <c r="A158" s="166">
        <f t="shared" si="28"/>
        <v>82</v>
      </c>
      <c r="B158" s="535" t="s">
        <v>166</v>
      </c>
      <c r="C158" s="529">
        <f>SUM(C146:C157)</f>
        <v>-1525580.6264260861</v>
      </c>
      <c r="D158" s="529">
        <f t="shared" ref="D158:L158" si="29">SUM(D146:D157)</f>
        <v>-567493.20779252052</v>
      </c>
      <c r="E158" s="529">
        <f t="shared" si="29"/>
        <v>20030829.61399743</v>
      </c>
      <c r="F158" s="529">
        <f t="shared" si="29"/>
        <v>56166362.977824815</v>
      </c>
      <c r="G158" s="529">
        <f t="shared" si="29"/>
        <v>5876457.291312933</v>
      </c>
      <c r="H158" s="529">
        <f t="shared" si="29"/>
        <v>-5534647.8239981979</v>
      </c>
      <c r="I158" s="529">
        <f t="shared" si="29"/>
        <v>-4058134.7326750141</v>
      </c>
      <c r="J158" s="529">
        <f t="shared" si="29"/>
        <v>-438076.38561243587</v>
      </c>
      <c r="K158" s="529">
        <f t="shared" si="29"/>
        <v>8379826.8535616882</v>
      </c>
      <c r="L158" s="529">
        <f t="shared" si="29"/>
        <v>1730511.5094967487</v>
      </c>
      <c r="M158" s="529">
        <f>SUM(M146:M157)</f>
        <v>80060055.469689354</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2013 True Up TRR)&amp;RTO12 Draft Annual Update
Attachment 4
WP-Schedule 3-One Time Adj True Up Adj
Page &amp;P of &amp;N</oddHeader>
    <oddFooter>&amp;R&amp;A</oddFooter>
  </headerFooter>
  <rowBreaks count="3" manualBreakCount="3">
    <brk id="37" max="16383" man="1"/>
    <brk id="87" max="16383" man="1"/>
    <brk id="127" max="16383"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dimension ref="A1:I54"/>
  <sheetViews>
    <sheetView zoomScaleNormal="100" workbookViewId="0">
      <selection activeCell="D6" sqref="D6"/>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2013</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564337780</v>
      </c>
      <c r="D10" s="565" t="s">
        <v>334</v>
      </c>
      <c r="E10" s="566">
        <v>376495330.511078</v>
      </c>
      <c r="F10" s="323">
        <f>E10/C10</f>
        <v>0.6671453584253707</v>
      </c>
      <c r="G10" s="223"/>
      <c r="H10" s="268"/>
    </row>
    <row r="11" spans="1:8" x14ac:dyDescent="0.2">
      <c r="A11" s="166">
        <f t="shared" si="0"/>
        <v>4</v>
      </c>
      <c r="B11" s="320">
        <v>353</v>
      </c>
      <c r="C11" s="555">
        <v>4639419681</v>
      </c>
      <c r="D11" s="565" t="s">
        <v>335</v>
      </c>
      <c r="E11" s="555">
        <v>2708882934.2757502</v>
      </c>
      <c r="F11" s="327">
        <f>E11/C11</f>
        <v>0.58388400285698361</v>
      </c>
      <c r="G11" s="223"/>
      <c r="H11" s="223"/>
    </row>
    <row r="12" spans="1:8" x14ac:dyDescent="0.2">
      <c r="A12" s="166">
        <f t="shared" si="0"/>
        <v>5</v>
      </c>
      <c r="B12" s="328" t="s">
        <v>336</v>
      </c>
      <c r="C12" s="329">
        <f>SUM(C10:C11)</f>
        <v>5203757461</v>
      </c>
      <c r="D12" s="247" t="str">
        <f>"L "&amp;A10&amp;" + L "&amp;A11&amp;""</f>
        <v>L 3 + L 4</v>
      </c>
      <c r="E12" s="329">
        <f>SUM(E10:E11)</f>
        <v>3085378264.786828</v>
      </c>
      <c r="F12" s="323">
        <f>E12/C12</f>
        <v>0.59291354139973973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298877370</v>
      </c>
      <c r="D15" s="565" t="s">
        <v>338</v>
      </c>
      <c r="E15" s="336">
        <v>212931314.64915743</v>
      </c>
      <c r="F15" s="337">
        <f>E15/C15</f>
        <v>0.71243705955107084</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5502634831</v>
      </c>
      <c r="D17" s="247" t="str">
        <f>"L "&amp;A12&amp;" + L "&amp;A15&amp;""</f>
        <v>L 5 + L 8</v>
      </c>
      <c r="E17" s="338">
        <f>E12+E15</f>
        <v>3298309579.4359856</v>
      </c>
      <c r="F17" s="323">
        <f>E17/C17</f>
        <v>0.59940549949897004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1521172513</v>
      </c>
      <c r="D20" s="565" t="s">
        <v>341</v>
      </c>
      <c r="E20" s="340">
        <v>1443243701.0795474</v>
      </c>
      <c r="F20" s="337">
        <f>E20/C20</f>
        <v>0.94877056267157744</v>
      </c>
      <c r="G20" s="223"/>
      <c r="H20" s="223"/>
    </row>
    <row r="21" spans="1:8" ht="13.5" thickBot="1" x14ac:dyDescent="0.25">
      <c r="A21" s="166">
        <f t="shared" si="0"/>
        <v>14</v>
      </c>
      <c r="B21" s="320">
        <v>355</v>
      </c>
      <c r="C21" s="339">
        <v>699098443</v>
      </c>
      <c r="D21" s="565" t="s">
        <v>342</v>
      </c>
      <c r="E21" s="339">
        <v>143991959.274189</v>
      </c>
      <c r="F21" s="341">
        <f t="shared" ref="F21:F26" si="1">E21/C21</f>
        <v>0.20596807318907015</v>
      </c>
      <c r="G21" s="223"/>
      <c r="H21" s="223"/>
    </row>
    <row r="22" spans="1:8" ht="13.5" thickBot="1" x14ac:dyDescent="0.25">
      <c r="A22" s="166">
        <f t="shared" si="0"/>
        <v>15</v>
      </c>
      <c r="B22" s="320">
        <v>356</v>
      </c>
      <c r="C22" s="339">
        <v>986734477</v>
      </c>
      <c r="D22" s="565" t="s">
        <v>343</v>
      </c>
      <c r="E22" s="340">
        <v>764792063.54818738</v>
      </c>
      <c r="F22" s="337">
        <f t="shared" si="1"/>
        <v>0.77507382317622964</v>
      </c>
      <c r="G22" s="223"/>
      <c r="H22" s="223"/>
    </row>
    <row r="23" spans="1:8" x14ac:dyDescent="0.2">
      <c r="A23" s="166">
        <f t="shared" si="0"/>
        <v>16</v>
      </c>
      <c r="B23" s="320">
        <v>357</v>
      </c>
      <c r="C23" s="339">
        <v>54837628</v>
      </c>
      <c r="D23" s="565" t="s">
        <v>344</v>
      </c>
      <c r="E23" s="339">
        <v>207785.262638988</v>
      </c>
      <c r="F23" s="341">
        <f t="shared" si="1"/>
        <v>3.7891001164198422E-3</v>
      </c>
      <c r="G23" s="223"/>
      <c r="H23" s="223"/>
    </row>
    <row r="24" spans="1:8" ht="13.5" thickBot="1" x14ac:dyDescent="0.25">
      <c r="A24" s="166">
        <f t="shared" si="0"/>
        <v>17</v>
      </c>
      <c r="B24" s="320">
        <v>358</v>
      </c>
      <c r="C24" s="339">
        <v>226947418</v>
      </c>
      <c r="D24" s="565" t="s">
        <v>345</v>
      </c>
      <c r="E24" s="339">
        <v>12339133.5415364</v>
      </c>
      <c r="F24" s="341">
        <f t="shared" si="1"/>
        <v>5.4370010684749892E-2</v>
      </c>
      <c r="G24" s="223"/>
      <c r="H24" s="223"/>
    </row>
    <row r="25" spans="1:8" ht="13.5" thickBot="1" x14ac:dyDescent="0.25">
      <c r="A25" s="166">
        <f t="shared" si="0"/>
        <v>18</v>
      </c>
      <c r="B25" s="320">
        <v>359</v>
      </c>
      <c r="C25" s="342">
        <v>76476358</v>
      </c>
      <c r="D25" s="565" t="s">
        <v>346</v>
      </c>
      <c r="E25" s="343">
        <v>68768727.877921402</v>
      </c>
      <c r="F25" s="344">
        <f t="shared" si="1"/>
        <v>0.89921551805489219</v>
      </c>
      <c r="G25" s="223"/>
      <c r="H25" s="223"/>
    </row>
    <row r="26" spans="1:8" x14ac:dyDescent="0.2">
      <c r="A26" s="166">
        <f t="shared" si="0"/>
        <v>19</v>
      </c>
      <c r="B26" s="328" t="s">
        <v>347</v>
      </c>
      <c r="C26" s="329">
        <f>SUM(C20:C25)</f>
        <v>3565266837</v>
      </c>
      <c r="D26" s="345" t="str">
        <f>"Sum L"&amp;A20&amp;" to L"&amp;A25&amp;""</f>
        <v>Sum L13 to L18</v>
      </c>
      <c r="E26" s="338">
        <f>SUM(E20:E25)</f>
        <v>2433343370.5840206</v>
      </c>
      <c r="F26" s="337">
        <f t="shared" si="1"/>
        <v>0.68251367480577185</v>
      </c>
      <c r="G26" s="223"/>
    </row>
    <row r="27" spans="1:8" x14ac:dyDescent="0.2">
      <c r="A27" s="166">
        <f t="shared" si="0"/>
        <v>20</v>
      </c>
      <c r="B27" s="346"/>
      <c r="C27" s="329"/>
      <c r="D27" s="329"/>
      <c r="E27" s="329"/>
      <c r="F27" s="323"/>
      <c r="G27" s="223"/>
    </row>
    <row r="28" spans="1:8" x14ac:dyDescent="0.2">
      <c r="A28" s="166">
        <f t="shared" si="0"/>
        <v>21</v>
      </c>
      <c r="B28" s="347" t="s">
        <v>348</v>
      </c>
      <c r="C28" s="348">
        <f>C17+C26</f>
        <v>9067901668</v>
      </c>
      <c r="D28" s="247" t="str">
        <f>"L "&amp;A17&amp;" + L "&amp;A26&amp;""</f>
        <v>L 10 + L 19</v>
      </c>
      <c r="E28" s="349">
        <f>E17+E26</f>
        <v>5731652950.0200062</v>
      </c>
      <c r="F28" s="567">
        <f>E28/C28</f>
        <v>0.63208150682165143</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106703690</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479848347</v>
      </c>
      <c r="D38" s="565" t="s">
        <v>355</v>
      </c>
      <c r="E38" s="335">
        <v>0</v>
      </c>
      <c r="F38" s="323">
        <f>E38/C38</f>
        <v>0</v>
      </c>
      <c r="H38" s="223"/>
    </row>
    <row r="39" spans="1:9" x14ac:dyDescent="0.2">
      <c r="A39" s="166">
        <f t="shared" si="2"/>
        <v>27</v>
      </c>
      <c r="B39" s="320">
        <v>362</v>
      </c>
      <c r="C39" s="359">
        <v>1894725397</v>
      </c>
      <c r="D39" s="565" t="s">
        <v>356</v>
      </c>
      <c r="E39" s="359">
        <v>0</v>
      </c>
      <c r="F39" s="327">
        <f>E39/C39</f>
        <v>0</v>
      </c>
      <c r="H39" s="223"/>
    </row>
    <row r="40" spans="1:9" x14ac:dyDescent="0.2">
      <c r="A40" s="166">
        <f t="shared" si="2"/>
        <v>28</v>
      </c>
      <c r="B40" s="328" t="s">
        <v>357</v>
      </c>
      <c r="C40" s="329">
        <f>SUM(C38:C39)</f>
        <v>2374573744</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2481277434</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2013 True Up TRR)&amp;RTO12 Draft Annual Update
Attachment 4
WP-Schedule 3-One Time Adj True Up Adj
Page &amp;P of &amp;N</oddHeader>
    <oddFooter>&amp;R7-PlantStudy</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8"/>
  <dimension ref="A1:W179"/>
  <sheetViews>
    <sheetView topLeftCell="A151" zoomScale="120" zoomScaleNormal="120" workbookViewId="0">
      <selection activeCell="E146" sqref="E146"/>
    </sheetView>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2013</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x14ac:dyDescent="0.2">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x14ac:dyDescent="0.2">
      <c r="A12" s="166">
        <v>1</v>
      </c>
      <c r="B12" s="166"/>
      <c r="C12" s="531" t="s">
        <v>716</v>
      </c>
      <c r="D12" s="243">
        <v>0</v>
      </c>
      <c r="E12" s="243">
        <v>8231994.0941873183</v>
      </c>
      <c r="F12" s="243">
        <v>42523725.49049975</v>
      </c>
      <c r="G12" s="243">
        <v>271683763.17867076</v>
      </c>
      <c r="H12" s="243">
        <v>347983565.91622216</v>
      </c>
      <c r="I12" s="243">
        <v>34194091.977554627</v>
      </c>
      <c r="J12" s="243">
        <v>318973818.09779328</v>
      </c>
      <c r="K12" s="243">
        <v>264938.05872218398</v>
      </c>
      <c r="L12" s="243">
        <v>1566128.8426273782</v>
      </c>
      <c r="M12" s="243">
        <v>1034624.4293442698</v>
      </c>
      <c r="N12" s="529">
        <f>SUM(D12:M12)</f>
        <v>1026456650.0856217</v>
      </c>
      <c r="O12" s="536"/>
      <c r="P12" s="536"/>
      <c r="Q12" s="536"/>
      <c r="R12" s="536"/>
    </row>
    <row r="13" spans="1:18" ht="12.75" customHeight="1" x14ac:dyDescent="0.2">
      <c r="A13" s="166">
        <f>A12+1</f>
        <v>2</v>
      </c>
      <c r="B13" s="166"/>
      <c r="C13" s="528" t="s">
        <v>717</v>
      </c>
      <c r="D13" s="529">
        <v>0</v>
      </c>
      <c r="E13" s="529">
        <f t="shared" ref="E13:M23" si="0">E144+E91+E12</f>
        <v>8374915.5627238099</v>
      </c>
      <c r="F13" s="573">
        <f t="shared" si="0"/>
        <v>43630971.16620858</v>
      </c>
      <c r="G13" s="573">
        <f t="shared" si="0"/>
        <v>295854356.93402094</v>
      </c>
      <c r="H13" s="573">
        <f t="shared" si="0"/>
        <v>331246000.60439801</v>
      </c>
      <c r="I13" s="529">
        <f t="shared" si="0"/>
        <v>37492773.920389198</v>
      </c>
      <c r="J13" s="573">
        <f t="shared" si="0"/>
        <v>341597608.84898549</v>
      </c>
      <c r="K13" s="529">
        <f t="shared" si="0"/>
        <v>256158.08018704614</v>
      </c>
      <c r="L13" s="529">
        <f t="shared" si="0"/>
        <v>1820852.7573243456</v>
      </c>
      <c r="M13" s="573">
        <f t="shared" si="0"/>
        <v>-2881288.424875279</v>
      </c>
      <c r="N13" s="573">
        <f t="shared" ref="N13:N24" si="1">SUM(D13:M13)</f>
        <v>1057392349.4493622</v>
      </c>
      <c r="O13" s="536"/>
      <c r="P13" s="536"/>
      <c r="Q13" s="536"/>
      <c r="R13" s="536"/>
    </row>
    <row r="14" spans="1:18" ht="12.75" customHeight="1" x14ac:dyDescent="0.2">
      <c r="A14" s="166">
        <f t="shared" ref="A14:A25" si="2">A13+1</f>
        <v>3</v>
      </c>
      <c r="B14" s="166"/>
      <c r="C14" s="531" t="s">
        <v>718</v>
      </c>
      <c r="D14" s="529">
        <v>0</v>
      </c>
      <c r="E14" s="529">
        <f t="shared" si="0"/>
        <v>8541169.1959074065</v>
      </c>
      <c r="F14" s="573">
        <f t="shared" si="0"/>
        <v>43963928.230772793</v>
      </c>
      <c r="G14" s="573">
        <f t="shared" si="0"/>
        <v>304458891.99027473</v>
      </c>
      <c r="H14" s="573">
        <f t="shared" si="0"/>
        <v>321950304.12542695</v>
      </c>
      <c r="I14" s="529">
        <f t="shared" si="0"/>
        <v>34753286.271510139</v>
      </c>
      <c r="J14" s="573">
        <f t="shared" si="0"/>
        <v>356349563.12346709</v>
      </c>
      <c r="K14" s="529">
        <f t="shared" si="0"/>
        <v>244306.37562077923</v>
      </c>
      <c r="L14" s="529">
        <f t="shared" si="0"/>
        <v>2112998.5819042232</v>
      </c>
      <c r="M14" s="573">
        <f t="shared" si="0"/>
        <v>-4016804.7238849038</v>
      </c>
      <c r="N14" s="573">
        <f t="shared" si="1"/>
        <v>1068357643.1709991</v>
      </c>
      <c r="O14" s="536"/>
      <c r="P14" s="536"/>
      <c r="Q14" s="536"/>
      <c r="R14" s="536"/>
    </row>
    <row r="15" spans="1:18" ht="12.75" customHeight="1" x14ac:dyDescent="0.2">
      <c r="A15" s="166">
        <f t="shared" si="2"/>
        <v>4</v>
      </c>
      <c r="B15" s="166"/>
      <c r="C15" s="531" t="s">
        <v>719</v>
      </c>
      <c r="D15" s="529">
        <v>0</v>
      </c>
      <c r="E15" s="529">
        <f t="shared" si="0"/>
        <v>8711141.6343149152</v>
      </c>
      <c r="F15" s="573">
        <f t="shared" si="0"/>
        <v>44085165.610226534</v>
      </c>
      <c r="G15" s="573">
        <f t="shared" si="0"/>
        <v>314518756.432217</v>
      </c>
      <c r="H15" s="573">
        <f t="shared" si="0"/>
        <v>327062750.30984789</v>
      </c>
      <c r="I15" s="529">
        <f t="shared" si="0"/>
        <v>28606586.983674619</v>
      </c>
      <c r="J15" s="573">
        <f t="shared" si="0"/>
        <v>328846152.33405477</v>
      </c>
      <c r="K15" s="529">
        <f t="shared" si="0"/>
        <v>230759.15832577602</v>
      </c>
      <c r="L15" s="529">
        <f t="shared" si="0"/>
        <v>2535147.335969164</v>
      </c>
      <c r="M15" s="573">
        <f t="shared" si="0"/>
        <v>-44121.333161323331</v>
      </c>
      <c r="N15" s="573">
        <f t="shared" si="1"/>
        <v>1054552338.4654695</v>
      </c>
      <c r="O15" s="536"/>
      <c r="P15" s="536"/>
      <c r="Q15" s="536"/>
      <c r="R15" s="536"/>
    </row>
    <row r="16" spans="1:18" ht="12.75" customHeight="1" x14ac:dyDescent="0.2">
      <c r="A16" s="166">
        <f t="shared" si="2"/>
        <v>5</v>
      </c>
      <c r="B16" s="166"/>
      <c r="C16" s="528" t="s">
        <v>756</v>
      </c>
      <c r="D16" s="529">
        <v>0</v>
      </c>
      <c r="E16" s="529">
        <f t="shared" si="0"/>
        <v>8881273.8456209656</v>
      </c>
      <c r="F16" s="573">
        <f t="shared" si="0"/>
        <v>44775412.529418536</v>
      </c>
      <c r="G16" s="573">
        <f t="shared" si="0"/>
        <v>323656327.71501905</v>
      </c>
      <c r="H16" s="573">
        <f t="shared" si="0"/>
        <v>326333745.94631213</v>
      </c>
      <c r="I16" s="529">
        <f t="shared" si="0"/>
        <v>29941569.033940159</v>
      </c>
      <c r="J16" s="573">
        <f t="shared" si="0"/>
        <v>330826419.0277167</v>
      </c>
      <c r="K16" s="529">
        <f t="shared" si="0"/>
        <v>220240.55618673368</v>
      </c>
      <c r="L16" s="529">
        <f t="shared" si="0"/>
        <v>2805039.1344047412</v>
      </c>
      <c r="M16" s="573">
        <f t="shared" si="0"/>
        <v>-269555.54436726985</v>
      </c>
      <c r="N16" s="573">
        <f t="shared" si="1"/>
        <v>1067170472.2442518</v>
      </c>
      <c r="O16" s="536"/>
      <c r="P16" s="536"/>
      <c r="Q16" s="536"/>
      <c r="R16" s="536"/>
    </row>
    <row r="17" spans="1:18" ht="12.75" customHeight="1" x14ac:dyDescent="0.2">
      <c r="A17" s="166">
        <f t="shared" si="2"/>
        <v>6</v>
      </c>
      <c r="B17" s="166"/>
      <c r="C17" s="531" t="s">
        <v>721</v>
      </c>
      <c r="D17" s="529">
        <v>0</v>
      </c>
      <c r="E17" s="529">
        <f t="shared" si="0"/>
        <v>9051370.0790139884</v>
      </c>
      <c r="F17" s="573">
        <f t="shared" si="0"/>
        <v>45526618.852866419</v>
      </c>
      <c r="G17" s="573">
        <f t="shared" si="0"/>
        <v>331186739.35188979</v>
      </c>
      <c r="H17" s="573">
        <f t="shared" si="0"/>
        <v>325995800.00655276</v>
      </c>
      <c r="I17" s="529">
        <f t="shared" si="0"/>
        <v>28892209.130921822</v>
      </c>
      <c r="J17" s="573">
        <f t="shared" si="0"/>
        <v>311055765.70547354</v>
      </c>
      <c r="K17" s="529">
        <f t="shared" si="0"/>
        <v>219371.42053701502</v>
      </c>
      <c r="L17" s="529">
        <f t="shared" si="0"/>
        <v>2832537.6341112871</v>
      </c>
      <c r="M17" s="573">
        <f t="shared" si="0"/>
        <v>-430866.84208597208</v>
      </c>
      <c r="N17" s="573">
        <f t="shared" si="1"/>
        <v>1054329545.3392807</v>
      </c>
      <c r="O17" s="536"/>
      <c r="P17" s="536"/>
      <c r="Q17" s="536"/>
      <c r="R17" s="536"/>
    </row>
    <row r="18" spans="1:18" ht="12.75" customHeight="1" x14ac:dyDescent="0.2">
      <c r="A18" s="166">
        <f t="shared" si="2"/>
        <v>7</v>
      </c>
      <c r="B18" s="166"/>
      <c r="C18" s="531" t="s">
        <v>722</v>
      </c>
      <c r="D18" s="529">
        <v>0</v>
      </c>
      <c r="E18" s="529">
        <f t="shared" si="0"/>
        <v>9226524.8951351922</v>
      </c>
      <c r="F18" s="573">
        <f t="shared" si="0"/>
        <v>46167894.042654514</v>
      </c>
      <c r="G18" s="573">
        <f t="shared" si="0"/>
        <v>349408396.82417977</v>
      </c>
      <c r="H18" s="573">
        <f t="shared" si="0"/>
        <v>324477556.60950929</v>
      </c>
      <c r="I18" s="529">
        <f t="shared" si="0"/>
        <v>27718300.023017947</v>
      </c>
      <c r="J18" s="573">
        <f t="shared" si="0"/>
        <v>319074363.95011157</v>
      </c>
      <c r="K18" s="529">
        <f t="shared" si="0"/>
        <v>212423.10624017491</v>
      </c>
      <c r="L18" s="529">
        <f t="shared" si="0"/>
        <v>3050723.0353450356</v>
      </c>
      <c r="M18" s="573">
        <f t="shared" si="0"/>
        <v>-1031907.3034568726</v>
      </c>
      <c r="N18" s="573">
        <f t="shared" si="1"/>
        <v>1078304275.1827369</v>
      </c>
      <c r="O18" s="536"/>
      <c r="P18" s="536"/>
      <c r="Q18" s="536"/>
      <c r="R18" s="536"/>
    </row>
    <row r="19" spans="1:18" ht="12.75" customHeight="1" x14ac:dyDescent="0.2">
      <c r="A19" s="166">
        <f t="shared" si="2"/>
        <v>8</v>
      </c>
      <c r="B19" s="166"/>
      <c r="C19" s="528" t="s">
        <v>723</v>
      </c>
      <c r="D19" s="529">
        <v>0</v>
      </c>
      <c r="E19" s="529">
        <f t="shared" si="0"/>
        <v>9391263.6985959634</v>
      </c>
      <c r="F19" s="573">
        <f t="shared" si="0"/>
        <v>47605411.494595066</v>
      </c>
      <c r="G19" s="573">
        <f t="shared" si="0"/>
        <v>358714832.93448144</v>
      </c>
      <c r="H19" s="573">
        <f t="shared" si="0"/>
        <v>322728840.20355141</v>
      </c>
      <c r="I19" s="529">
        <f t="shared" si="0"/>
        <v>27993400.789484013</v>
      </c>
      <c r="J19" s="573">
        <f t="shared" si="0"/>
        <v>318431514.12087154</v>
      </c>
      <c r="K19" s="529">
        <f t="shared" si="0"/>
        <v>198126.66798733058</v>
      </c>
      <c r="L19" s="529">
        <f t="shared" si="0"/>
        <v>3352999.9776396812</v>
      </c>
      <c r="M19" s="573">
        <f t="shared" si="0"/>
        <v>-1043110.2160385706</v>
      </c>
      <c r="N19" s="573">
        <f t="shared" si="1"/>
        <v>1087373279.6711681</v>
      </c>
      <c r="O19" s="536"/>
      <c r="P19" s="536"/>
      <c r="Q19" s="536"/>
      <c r="R19" s="536"/>
    </row>
    <row r="20" spans="1:18" ht="12.75" customHeight="1" x14ac:dyDescent="0.2">
      <c r="A20" s="166">
        <f t="shared" si="2"/>
        <v>9</v>
      </c>
      <c r="B20" s="166"/>
      <c r="C20" s="531" t="s">
        <v>724</v>
      </c>
      <c r="D20" s="529">
        <v>0</v>
      </c>
      <c r="E20" s="529">
        <f t="shared" si="0"/>
        <v>9539290.7736309208</v>
      </c>
      <c r="F20" s="573">
        <f t="shared" si="0"/>
        <v>48093375.542841762</v>
      </c>
      <c r="G20" s="573">
        <f t="shared" si="0"/>
        <v>344715965.74383795</v>
      </c>
      <c r="H20" s="573">
        <f t="shared" si="0"/>
        <v>323208597.10382146</v>
      </c>
      <c r="I20" s="529">
        <f t="shared" si="0"/>
        <v>24593611.220099419</v>
      </c>
      <c r="J20" s="573">
        <f t="shared" si="0"/>
        <v>319091611.33886248</v>
      </c>
      <c r="K20" s="529">
        <f t="shared" si="0"/>
        <v>185556.36167917497</v>
      </c>
      <c r="L20" s="529">
        <f t="shared" si="0"/>
        <v>3604137.8852978195</v>
      </c>
      <c r="M20" s="573">
        <f t="shared" si="0"/>
        <v>-1357914.5459910478</v>
      </c>
      <c r="N20" s="573">
        <f t="shared" si="1"/>
        <v>1071674231.4240799</v>
      </c>
      <c r="O20" s="536"/>
      <c r="P20" s="536"/>
      <c r="Q20" s="536"/>
      <c r="R20" s="536"/>
    </row>
    <row r="21" spans="1:18" ht="12.75" customHeight="1" x14ac:dyDescent="0.2">
      <c r="A21" s="166">
        <f t="shared" si="2"/>
        <v>10</v>
      </c>
      <c r="B21" s="166"/>
      <c r="C21" s="531" t="s">
        <v>725</v>
      </c>
      <c r="D21" s="529">
        <v>0</v>
      </c>
      <c r="E21" s="529">
        <f t="shared" si="0"/>
        <v>9709760.4799383264</v>
      </c>
      <c r="F21" s="573">
        <f t="shared" si="0"/>
        <v>48639333.845935822</v>
      </c>
      <c r="G21" s="573">
        <f t="shared" si="0"/>
        <v>354186177.56459093</v>
      </c>
      <c r="H21" s="573">
        <f t="shared" si="0"/>
        <v>322918876.86904114</v>
      </c>
      <c r="I21" s="529">
        <f t="shared" si="0"/>
        <v>26588718.866780035</v>
      </c>
      <c r="J21" s="573">
        <f t="shared" si="0"/>
        <v>315657791.57550007</v>
      </c>
      <c r="K21" s="529">
        <f t="shared" si="0"/>
        <v>170373.17653748509</v>
      </c>
      <c r="L21" s="529">
        <f t="shared" si="0"/>
        <v>3849967.9712831378</v>
      </c>
      <c r="M21" s="573">
        <f t="shared" si="0"/>
        <v>2157407.7635664414</v>
      </c>
      <c r="N21" s="573">
        <f t="shared" si="1"/>
        <v>1083878408.1131735</v>
      </c>
      <c r="O21" s="536"/>
      <c r="P21" s="536"/>
      <c r="Q21" s="536"/>
      <c r="R21" s="536"/>
    </row>
    <row r="22" spans="1:18" ht="12.75" customHeight="1" x14ac:dyDescent="0.2">
      <c r="A22" s="166">
        <f t="shared" si="2"/>
        <v>11</v>
      </c>
      <c r="B22" s="166"/>
      <c r="C22" s="528" t="s">
        <v>726</v>
      </c>
      <c r="D22" s="529">
        <v>0</v>
      </c>
      <c r="E22" s="529">
        <f t="shared" si="0"/>
        <v>9884279.716878457</v>
      </c>
      <c r="F22" s="573">
        <f t="shared" si="0"/>
        <v>49692176.043523528</v>
      </c>
      <c r="G22" s="573">
        <f t="shared" si="0"/>
        <v>370333156.07887655</v>
      </c>
      <c r="H22" s="573">
        <f t="shared" si="0"/>
        <v>339717447.61342531</v>
      </c>
      <c r="I22" s="529">
        <f t="shared" si="0"/>
        <v>21367036.538173113</v>
      </c>
      <c r="J22" s="573">
        <f t="shared" si="0"/>
        <v>306733352.5459677</v>
      </c>
      <c r="K22" s="529">
        <f t="shared" si="0"/>
        <v>155993.44191871281</v>
      </c>
      <c r="L22" s="529">
        <f t="shared" si="0"/>
        <v>4118223.5812858189</v>
      </c>
      <c r="M22" s="573">
        <f t="shared" si="0"/>
        <v>2263808.8574349601</v>
      </c>
      <c r="N22" s="573">
        <f t="shared" si="1"/>
        <v>1104265474.417484</v>
      </c>
      <c r="O22" s="536"/>
      <c r="P22" s="536"/>
      <c r="Q22" s="536"/>
      <c r="R22" s="536"/>
    </row>
    <row r="23" spans="1:18" ht="12.75" customHeight="1" thickBot="1" x14ac:dyDescent="0.25">
      <c r="A23" s="166">
        <f t="shared" si="2"/>
        <v>12</v>
      </c>
      <c r="B23" s="166"/>
      <c r="C23" s="528" t="s">
        <v>727</v>
      </c>
      <c r="D23" s="529">
        <v>0</v>
      </c>
      <c r="E23" s="529">
        <f t="shared" si="0"/>
        <v>10050821.634269817</v>
      </c>
      <c r="F23" s="573">
        <f t="shared" si="0"/>
        <v>50173921.062519751</v>
      </c>
      <c r="G23" s="573">
        <f t="shared" si="0"/>
        <v>360533860.81255698</v>
      </c>
      <c r="H23" s="573">
        <f t="shared" si="0"/>
        <v>339067416.90697229</v>
      </c>
      <c r="I23" s="529">
        <f t="shared" si="0"/>
        <v>24548277.369308274</v>
      </c>
      <c r="J23" s="573">
        <f t="shared" si="0"/>
        <v>324628769.15746659</v>
      </c>
      <c r="K23" s="529">
        <f t="shared" si="0"/>
        <v>140643.66466006701</v>
      </c>
      <c r="L23" s="529">
        <f t="shared" si="0"/>
        <v>4415229.414145818</v>
      </c>
      <c r="M23" s="573">
        <f t="shared" si="0"/>
        <v>2358629.8175888676</v>
      </c>
      <c r="N23" s="573">
        <f t="shared" si="1"/>
        <v>1115917569.8394883</v>
      </c>
      <c r="O23" s="536"/>
      <c r="P23" s="536"/>
      <c r="Q23" s="536"/>
      <c r="R23" s="536"/>
    </row>
    <row r="24" spans="1:18" ht="13.5" thickBot="1" x14ac:dyDescent="0.25">
      <c r="A24" s="166">
        <f t="shared" si="2"/>
        <v>13</v>
      </c>
      <c r="B24" s="166"/>
      <c r="C24" s="531" t="s">
        <v>728</v>
      </c>
      <c r="D24" s="555">
        <v>0</v>
      </c>
      <c r="E24" s="555">
        <v>10232181.18436276</v>
      </c>
      <c r="F24" s="574">
        <v>47073316.985078461</v>
      </c>
      <c r="G24" s="574">
        <v>298312979.38345039</v>
      </c>
      <c r="H24" s="555">
        <v>339298041.40666431</v>
      </c>
      <c r="I24" s="555">
        <v>30570487.939980671</v>
      </c>
      <c r="J24" s="555">
        <v>328550027.61558199</v>
      </c>
      <c r="K24" s="555">
        <v>126173.83034882502</v>
      </c>
      <c r="L24" s="555">
        <v>4575381.3621812938</v>
      </c>
      <c r="M24" s="555">
        <v>2419397.1271384661</v>
      </c>
      <c r="N24" s="575">
        <f t="shared" si="1"/>
        <v>1061157986.8347871</v>
      </c>
      <c r="O24" s="536"/>
      <c r="P24" s="536"/>
      <c r="Q24" s="536"/>
      <c r="R24" s="536"/>
    </row>
    <row r="25" spans="1:18" x14ac:dyDescent="0.2">
      <c r="A25" s="166">
        <f t="shared" si="2"/>
        <v>14</v>
      </c>
      <c r="B25" s="518"/>
      <c r="C25" s="535" t="s">
        <v>729</v>
      </c>
      <c r="D25" s="527">
        <f t="shared" ref="D25:M25" si="3">AVERAGE(D12:D24)</f>
        <v>0</v>
      </c>
      <c r="E25" s="529">
        <f>AVERAGE(E12:E24)</f>
        <v>9217383.5995830651</v>
      </c>
      <c r="F25" s="573">
        <f t="shared" si="3"/>
        <v>46303942.376703195</v>
      </c>
      <c r="G25" s="573">
        <f t="shared" si="3"/>
        <v>329043400.3803128</v>
      </c>
      <c r="H25" s="573">
        <f t="shared" si="3"/>
        <v>330152995.66321111</v>
      </c>
      <c r="I25" s="529">
        <f t="shared" si="3"/>
        <v>29020026.928064164</v>
      </c>
      <c r="J25" s="573">
        <f t="shared" si="3"/>
        <v>324601289.0339886</v>
      </c>
      <c r="K25" s="529">
        <f t="shared" si="3"/>
        <v>201927.99222702344</v>
      </c>
      <c r="L25" s="529">
        <f t="shared" si="3"/>
        <v>3126105.1933476725</v>
      </c>
      <c r="M25" s="573">
        <f t="shared" si="3"/>
        <v>-64746.2260606333</v>
      </c>
      <c r="N25" s="573">
        <f>AVERAGE(N12:N24)</f>
        <v>1071602324.9413774</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716</v>
      </c>
      <c r="D33" s="526">
        <v>4598.1400000000003</v>
      </c>
      <c r="E33" s="526">
        <v>260420.81</v>
      </c>
      <c r="F33" s="526">
        <v>897200.87</v>
      </c>
      <c r="G33" s="527">
        <f>SUM(D33:F33)</f>
        <v>1162219.82</v>
      </c>
      <c r="H33" s="176" t="s">
        <v>782</v>
      </c>
      <c r="I33" s="536"/>
      <c r="J33" s="536"/>
      <c r="K33" s="518"/>
      <c r="L33" s="518"/>
      <c r="M33" s="518"/>
      <c r="N33" s="518"/>
      <c r="O33" s="577"/>
      <c r="P33" s="536"/>
      <c r="Q33" s="536"/>
      <c r="R33" s="536"/>
    </row>
    <row r="34" spans="1:18" x14ac:dyDescent="0.2">
      <c r="A34" s="166">
        <v>16</v>
      </c>
      <c r="C34" s="531" t="s">
        <v>728</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2299.0700000000002</v>
      </c>
      <c r="E35" s="527">
        <f>AVERAGE(E33:E34)</f>
        <v>130210.405</v>
      </c>
      <c r="F35" s="527">
        <f>AVERAGE(F33:F34)</f>
        <v>448600.435</v>
      </c>
      <c r="G35" s="527">
        <f>AVERAGE(G33:G34)</f>
        <v>581109.91</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716</v>
      </c>
      <c r="D44" s="56" t="s">
        <v>790</v>
      </c>
      <c r="E44" s="529">
        <f>SUM(F44:G44)</f>
        <v>1491437244</v>
      </c>
      <c r="F44" s="526">
        <v>790830008</v>
      </c>
      <c r="G44" s="584">
        <v>700607236</v>
      </c>
      <c r="H44" s="577" t="s">
        <v>791</v>
      </c>
      <c r="I44" s="163"/>
      <c r="J44" s="536"/>
      <c r="L44" s="518"/>
      <c r="O44" s="536"/>
      <c r="P44" s="536"/>
      <c r="Q44" s="536"/>
      <c r="R44" s="536"/>
    </row>
    <row r="45" spans="1:18" x14ac:dyDescent="0.2">
      <c r="A45" s="166">
        <f>A44+1</f>
        <v>19</v>
      </c>
      <c r="B45" s="518"/>
      <c r="C45" s="531" t="s">
        <v>728</v>
      </c>
      <c r="D45" s="579" t="s">
        <v>792</v>
      </c>
      <c r="E45" s="534">
        <f>SUM(F45:G45)</f>
        <v>1737446477</v>
      </c>
      <c r="F45" s="526">
        <v>855592937</v>
      </c>
      <c r="G45" s="584">
        <v>881853540</v>
      </c>
      <c r="H45" s="577" t="s">
        <v>793</v>
      </c>
      <c r="I45" s="163"/>
      <c r="J45" s="536"/>
      <c r="K45" s="585"/>
      <c r="L45" s="518"/>
      <c r="O45" s="536"/>
      <c r="P45" s="536"/>
      <c r="Q45" s="536"/>
      <c r="R45" s="536"/>
    </row>
    <row r="46" spans="1:18" x14ac:dyDescent="0.2">
      <c r="A46" s="166">
        <f>A45+1</f>
        <v>20</v>
      </c>
      <c r="B46" s="518"/>
      <c r="D46" s="579" t="s">
        <v>784</v>
      </c>
      <c r="E46" s="527">
        <f>AVERAGE(E44:E45)</f>
        <v>1614441860.5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1614441860.5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4.253403191269526E-2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68668721.615698114</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1737446477</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4.253403191269526E-2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73900603.89931795</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717</v>
      </c>
      <c r="D71" s="243">
        <v>0</v>
      </c>
      <c r="E71" s="590">
        <v>200482.78999999911</v>
      </c>
      <c r="F71" s="590">
        <v>1117218.2080015242</v>
      </c>
      <c r="G71" s="590">
        <v>13956430.474212945</v>
      </c>
      <c r="H71" s="590">
        <v>-5439601.5231068134</v>
      </c>
      <c r="I71" s="590">
        <v>1777537.728589505</v>
      </c>
      <c r="J71" s="590">
        <v>-3853107.1966820955</v>
      </c>
      <c r="K71" s="590">
        <v>52482.542199606076</v>
      </c>
      <c r="L71" s="590">
        <v>454163.17762254179</v>
      </c>
      <c r="M71" s="590">
        <v>-4872821.2442170363</v>
      </c>
      <c r="N71" s="527">
        <f t="shared" ref="N71:N82" si="4">SUM(D71:M71)</f>
        <v>3392784.9566201754</v>
      </c>
      <c r="O71" s="536"/>
      <c r="P71" s="536"/>
      <c r="Q71" s="536"/>
      <c r="R71" s="536"/>
    </row>
    <row r="72" spans="1:18" x14ac:dyDescent="0.2">
      <c r="A72" s="166">
        <f t="shared" ref="A72:A83" si="5">A71+1</f>
        <v>28</v>
      </c>
      <c r="C72" s="531" t="s">
        <v>718</v>
      </c>
      <c r="D72" s="243">
        <v>0</v>
      </c>
      <c r="E72" s="590">
        <v>235310.53000000119</v>
      </c>
      <c r="F72" s="590">
        <v>331276.97338975966</v>
      </c>
      <c r="G72" s="590">
        <v>6513971.4637391567</v>
      </c>
      <c r="H72" s="590">
        <v>-2529353.3749186993</v>
      </c>
      <c r="I72" s="590">
        <v>-1031397.2876545191</v>
      </c>
      <c r="J72" s="590">
        <v>-1855097.6166887283</v>
      </c>
      <c r="K72" s="590">
        <v>68915.390326948836</v>
      </c>
      <c r="L72" s="590">
        <v>518130.21799871325</v>
      </c>
      <c r="M72" s="590">
        <v>-1423614.1127568483</v>
      </c>
      <c r="N72" s="527">
        <f t="shared" si="4"/>
        <v>828142.18343578465</v>
      </c>
      <c r="P72" s="536"/>
      <c r="Q72" s="536"/>
      <c r="R72" s="536"/>
    </row>
    <row r="73" spans="1:18" x14ac:dyDescent="0.2">
      <c r="A73" s="166">
        <f t="shared" si="5"/>
        <v>29</v>
      </c>
      <c r="C73" s="531" t="s">
        <v>719</v>
      </c>
      <c r="D73" s="243">
        <v>0</v>
      </c>
      <c r="E73" s="590">
        <v>209949.31000000052</v>
      </c>
      <c r="F73" s="590">
        <v>116326.28321494162</v>
      </c>
      <c r="G73" s="590">
        <v>7223123.0635578036</v>
      </c>
      <c r="H73" s="590">
        <v>2956795.2154284716</v>
      </c>
      <c r="I73" s="590">
        <v>-2616307.382574439</v>
      </c>
      <c r="J73" s="590">
        <v>8263028.7749050856</v>
      </c>
      <c r="K73" s="590">
        <v>77960.379483170807</v>
      </c>
      <c r="L73" s="590">
        <v>755314.57101155818</v>
      </c>
      <c r="M73" s="590">
        <v>4916949.327515509</v>
      </c>
      <c r="N73" s="527">
        <f t="shared" si="4"/>
        <v>21903139.542542104</v>
      </c>
      <c r="P73" s="536"/>
      <c r="Q73" s="536"/>
      <c r="R73" s="536"/>
    </row>
    <row r="74" spans="1:18" x14ac:dyDescent="0.2">
      <c r="A74" s="166">
        <f t="shared" si="5"/>
        <v>30</v>
      </c>
      <c r="C74" s="528" t="s">
        <v>756</v>
      </c>
      <c r="D74" s="243">
        <v>0</v>
      </c>
      <c r="E74" s="590">
        <v>210084.9299999997</v>
      </c>
      <c r="F74" s="590">
        <v>693904.36880868673</v>
      </c>
      <c r="G74" s="590">
        <v>6794107.1145013571</v>
      </c>
      <c r="H74" s="590">
        <v>741068.71350479126</v>
      </c>
      <c r="I74" s="590">
        <v>863815.07036879659</v>
      </c>
      <c r="J74" s="590">
        <v>1207997.1956650019</v>
      </c>
      <c r="K74" s="590">
        <v>61783.928664704785</v>
      </c>
      <c r="L74" s="590">
        <v>478081.49760261178</v>
      </c>
      <c r="M74" s="590">
        <v>-293980.07253897749</v>
      </c>
      <c r="N74" s="527">
        <f t="shared" si="4"/>
        <v>10756862.746576972</v>
      </c>
      <c r="P74" s="536"/>
      <c r="Q74" s="536"/>
      <c r="R74" s="536"/>
    </row>
    <row r="75" spans="1:18" x14ac:dyDescent="0.2">
      <c r="A75" s="166">
        <f t="shared" si="5"/>
        <v>31</v>
      </c>
      <c r="C75" s="531" t="s">
        <v>721</v>
      </c>
      <c r="D75" s="243">
        <v>0</v>
      </c>
      <c r="E75" s="590">
        <v>210130.71000000276</v>
      </c>
      <c r="F75" s="590">
        <v>755572.0851470679</v>
      </c>
      <c r="G75" s="590">
        <v>6040477.1383773088</v>
      </c>
      <c r="H75" s="590">
        <v>894618.94238501787</v>
      </c>
      <c r="I75" s="590">
        <v>-245497.97207450867</v>
      </c>
      <c r="J75" s="590">
        <v>6414293.4500015378</v>
      </c>
      <c r="K75" s="590">
        <v>9483.3663971535861</v>
      </c>
      <c r="L75" s="590">
        <v>37289.447189107537</v>
      </c>
      <c r="M75" s="590">
        <v>-214573.56015518308</v>
      </c>
      <c r="N75" s="527">
        <f t="shared" si="4"/>
        <v>13901793.607267505</v>
      </c>
    </row>
    <row r="76" spans="1:18" x14ac:dyDescent="0.2">
      <c r="A76" s="166">
        <f t="shared" si="5"/>
        <v>32</v>
      </c>
      <c r="C76" s="531" t="s">
        <v>722</v>
      </c>
      <c r="D76" s="243">
        <v>0</v>
      </c>
      <c r="E76" s="590">
        <v>175417.64999999851</v>
      </c>
      <c r="F76" s="590">
        <v>643963.97397409379</v>
      </c>
      <c r="G76" s="590">
        <v>11167650.478214741</v>
      </c>
      <c r="H76" s="590">
        <v>630531.08121681213</v>
      </c>
      <c r="I76" s="590">
        <v>-303815.92882168293</v>
      </c>
      <c r="J76" s="590">
        <v>-19954.355835318565</v>
      </c>
      <c r="K76" s="590">
        <v>41215.382328096777</v>
      </c>
      <c r="L76" s="590">
        <v>385552.41636693478</v>
      </c>
      <c r="M76" s="590">
        <v>-761561.49965474568</v>
      </c>
      <c r="N76" s="527">
        <f t="shared" si="4"/>
        <v>11958999.19778893</v>
      </c>
    </row>
    <row r="77" spans="1:18" x14ac:dyDescent="0.2">
      <c r="A77" s="166">
        <f t="shared" si="5"/>
        <v>33</v>
      </c>
      <c r="C77" s="528" t="s">
        <v>723</v>
      </c>
      <c r="D77" s="243">
        <v>0</v>
      </c>
      <c r="E77" s="590">
        <v>247429.38000000268</v>
      </c>
      <c r="F77" s="590">
        <v>1449088.297823742</v>
      </c>
      <c r="G77" s="590">
        <v>7169833.6636717319</v>
      </c>
      <c r="H77" s="590">
        <v>865655.61527973413</v>
      </c>
      <c r="I77" s="590">
        <v>367158.01919525862</v>
      </c>
      <c r="J77" s="590">
        <v>2330064.6217641234</v>
      </c>
      <c r="K77" s="590">
        <v>79070.942729966715</v>
      </c>
      <c r="L77" s="590">
        <v>533359.06699986756</v>
      </c>
      <c r="M77" s="590">
        <v>-34800.50599582307</v>
      </c>
      <c r="N77" s="527">
        <f t="shared" si="4"/>
        <v>13006859.101468604</v>
      </c>
    </row>
    <row r="78" spans="1:18" x14ac:dyDescent="0.2">
      <c r="A78" s="166">
        <f t="shared" si="5"/>
        <v>34</v>
      </c>
      <c r="C78" s="531" t="s">
        <v>724</v>
      </c>
      <c r="D78" s="243">
        <v>0</v>
      </c>
      <c r="E78" s="590">
        <v>362528.45999999903</v>
      </c>
      <c r="F78" s="590">
        <v>484910.18608856201</v>
      </c>
      <c r="G78" s="590">
        <v>-3921895.3881510496</v>
      </c>
      <c r="H78" s="590">
        <v>1718973.4212562442</v>
      </c>
      <c r="I78" s="590">
        <v>-1343361.6865096986</v>
      </c>
      <c r="J78" s="590">
        <v>2020616.1149225831</v>
      </c>
      <c r="K78" s="590">
        <v>69430.211928121746</v>
      </c>
      <c r="L78" s="590">
        <v>439802.93379028141</v>
      </c>
      <c r="M78" s="590">
        <v>-411754.16468328983</v>
      </c>
      <c r="N78" s="527">
        <f t="shared" si="4"/>
        <v>-580749.91135824658</v>
      </c>
    </row>
    <row r="79" spans="1:18" x14ac:dyDescent="0.2">
      <c r="A79" s="166">
        <f t="shared" si="5"/>
        <v>35</v>
      </c>
      <c r="C79" s="531" t="s">
        <v>725</v>
      </c>
      <c r="D79" s="243">
        <v>0</v>
      </c>
      <c r="E79" s="590">
        <v>238726.37158890814</v>
      </c>
      <c r="F79" s="590">
        <v>543334.89984945953</v>
      </c>
      <c r="G79" s="590">
        <v>7390980.2397941351</v>
      </c>
      <c r="H79" s="590">
        <v>1427862.8101094961</v>
      </c>
      <c r="I79" s="590">
        <v>1166066.5280645788</v>
      </c>
      <c r="J79" s="590">
        <v>3002559.4756829143</v>
      </c>
      <c r="K79" s="590">
        <v>83069.10381301865</v>
      </c>
      <c r="L79" s="590">
        <v>427833.11948589981</v>
      </c>
      <c r="M79" s="590">
        <v>4342384.6659176517</v>
      </c>
      <c r="N79" s="527">
        <f t="shared" si="4"/>
        <v>18622817.214306064</v>
      </c>
    </row>
    <row r="80" spans="1:18" x14ac:dyDescent="0.2">
      <c r="A80" s="166">
        <f t="shared" si="5"/>
        <v>36</v>
      </c>
      <c r="C80" s="528" t="s">
        <v>726</v>
      </c>
      <c r="D80" s="243">
        <v>0</v>
      </c>
      <c r="E80" s="590">
        <v>247284.63841108792</v>
      </c>
      <c r="F80" s="590">
        <v>1057682.1563264728</v>
      </c>
      <c r="G80" s="590">
        <v>10597708.303799272</v>
      </c>
      <c r="H80" s="590">
        <v>8154765.6461732984</v>
      </c>
      <c r="I80" s="590">
        <v>-2192557.7022616267</v>
      </c>
      <c r="J80" s="590">
        <v>4474505.1628493071</v>
      </c>
      <c r="K80" s="590">
        <v>78552.312053222209</v>
      </c>
      <c r="L80" s="590">
        <v>469253.3797300756</v>
      </c>
      <c r="M80" s="590">
        <v>110238.88380983844</v>
      </c>
      <c r="N80" s="527">
        <f t="shared" si="4"/>
        <v>22997432.780890949</v>
      </c>
    </row>
    <row r="81" spans="1:15" x14ac:dyDescent="0.2">
      <c r="A81" s="166">
        <f t="shared" si="5"/>
        <v>37</v>
      </c>
      <c r="C81" s="528" t="s">
        <v>727</v>
      </c>
      <c r="D81" s="243">
        <v>0</v>
      </c>
      <c r="E81" s="590">
        <v>302595.13000000082</v>
      </c>
      <c r="F81" s="590">
        <v>477873.71572464705</v>
      </c>
      <c r="G81" s="590">
        <v>-1799956.3389595747</v>
      </c>
      <c r="H81" s="590">
        <v>1547385.3668618798</v>
      </c>
      <c r="I81" s="590">
        <v>1716304.3909438252</v>
      </c>
      <c r="J81" s="590">
        <v>-1924070.7870459557</v>
      </c>
      <c r="K81" s="590">
        <v>83727.262094151229</v>
      </c>
      <c r="L81" s="590">
        <v>521677.62662489712</v>
      </c>
      <c r="M81" s="590">
        <v>95605.675883781165</v>
      </c>
      <c r="N81" s="527">
        <f t="shared" si="4"/>
        <v>1021142.0421276521</v>
      </c>
    </row>
    <row r="82" spans="1:15" x14ac:dyDescent="0.2">
      <c r="A82" s="166">
        <f t="shared" si="5"/>
        <v>38</v>
      </c>
      <c r="C82" s="531" t="s">
        <v>728</v>
      </c>
      <c r="D82" s="555">
        <v>0</v>
      </c>
      <c r="E82" s="590">
        <v>245938.49000000022</v>
      </c>
      <c r="F82" s="590">
        <v>-3158530.324034214</v>
      </c>
      <c r="G82" s="590">
        <v>-26867555.019922733</v>
      </c>
      <c r="H82" s="590">
        <v>1898191.8551545739</v>
      </c>
      <c r="I82" s="590">
        <v>3037428.1512072384</v>
      </c>
      <c r="J82" s="590">
        <v>1430859.156725049</v>
      </c>
      <c r="K82" s="590">
        <v>79030.252900332212</v>
      </c>
      <c r="L82" s="590">
        <v>271585.8246665746</v>
      </c>
      <c r="M82" s="590">
        <v>53236.589816313237</v>
      </c>
      <c r="N82" s="539">
        <f t="shared" si="4"/>
        <v>-23009815.023486864</v>
      </c>
      <c r="O82" s="536"/>
    </row>
    <row r="83" spans="1:15" x14ac:dyDescent="0.2">
      <c r="A83" s="166">
        <f t="shared" si="5"/>
        <v>39</v>
      </c>
      <c r="C83" s="535" t="s">
        <v>166</v>
      </c>
      <c r="D83" s="527">
        <f>SUM(D71:D82)</f>
        <v>0</v>
      </c>
      <c r="E83" s="527">
        <f t="shared" ref="E83:M83" si="6">SUM(E71:E82)</f>
        <v>2885878.3900000006</v>
      </c>
      <c r="F83" s="527">
        <f t="shared" si="6"/>
        <v>4512620.8243147433</v>
      </c>
      <c r="G83" s="527">
        <f t="shared" si="6"/>
        <v>44264875.192835093</v>
      </c>
      <c r="H83" s="527">
        <f t="shared" si="6"/>
        <v>12866893.769344807</v>
      </c>
      <c r="I83" s="527">
        <f t="shared" si="6"/>
        <v>1195371.9284727275</v>
      </c>
      <c r="J83" s="527">
        <f t="shared" si="6"/>
        <v>21491693.996263504</v>
      </c>
      <c r="K83" s="527">
        <f t="shared" si="6"/>
        <v>784721.07491849363</v>
      </c>
      <c r="L83" s="527">
        <f t="shared" si="6"/>
        <v>5292043.2790890634</v>
      </c>
      <c r="M83" s="527">
        <f t="shared" si="6"/>
        <v>1505309.9829411898</v>
      </c>
      <c r="N83" s="527">
        <f>SUM(N71:N82)</f>
        <v>94799408.438179612</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717</v>
      </c>
      <c r="D91" s="188">
        <v>0</v>
      </c>
      <c r="E91" s="188">
        <v>150211.50917047163</v>
      </c>
      <c r="F91" s="188">
        <v>444731.89539738401</v>
      </c>
      <c r="G91" s="188">
        <v>4593622.2261732658</v>
      </c>
      <c r="H91" s="188">
        <v>1480760.0565620763</v>
      </c>
      <c r="I91" s="188">
        <v>454568.91778237256</v>
      </c>
      <c r="J91" s="188">
        <v>1258007.9125355252</v>
      </c>
      <c r="K91" s="188">
        <v>888.05976634570789</v>
      </c>
      <c r="L91" s="188">
        <v>12768.764068718441</v>
      </c>
      <c r="M91" s="188">
        <v>50371.561783952035</v>
      </c>
      <c r="N91" s="529">
        <f t="shared" ref="N91:N102" si="7">SUM(D91:M91)</f>
        <v>8445930.9032401126</v>
      </c>
    </row>
    <row r="92" spans="1:15" x14ac:dyDescent="0.2">
      <c r="A92" s="166">
        <f t="shared" ref="A92:A103" si="8">A91+1</f>
        <v>41</v>
      </c>
      <c r="C92" s="531" t="s">
        <v>718</v>
      </c>
      <c r="D92" s="188">
        <v>0</v>
      </c>
      <c r="E92" s="188">
        <v>174999.56831935121</v>
      </c>
      <c r="F92" s="186">
        <v>444572.00072929816</v>
      </c>
      <c r="G92" s="186">
        <v>4597657.2725225035</v>
      </c>
      <c r="H92" s="188">
        <v>1615246.6368908163</v>
      </c>
      <c r="I92" s="188">
        <v>454162.23574796622</v>
      </c>
      <c r="J92" s="186">
        <v>1350736.91904986</v>
      </c>
      <c r="K92" s="188">
        <v>894.41422809598362</v>
      </c>
      <c r="L92" s="188">
        <v>17986.728987490034</v>
      </c>
      <c r="M92" s="188">
        <v>58618.772742952038</v>
      </c>
      <c r="N92" s="573">
        <f t="shared" si="7"/>
        <v>8714874.5492183343</v>
      </c>
    </row>
    <row r="93" spans="1:15" x14ac:dyDescent="0.2">
      <c r="A93" s="166">
        <f t="shared" si="8"/>
        <v>42</v>
      </c>
      <c r="C93" s="531" t="s">
        <v>719</v>
      </c>
      <c r="D93" s="188">
        <v>0</v>
      </c>
      <c r="E93" s="188">
        <v>175035.43923721366</v>
      </c>
      <c r="F93" s="186">
        <v>447500.44275046536</v>
      </c>
      <c r="G93" s="186">
        <v>4622825.3353882907</v>
      </c>
      <c r="H93" s="188">
        <v>1636390.545704793</v>
      </c>
      <c r="I93" s="188">
        <v>454143.35894474131</v>
      </c>
      <c r="J93" s="186">
        <v>1358655.3841854951</v>
      </c>
      <c r="K93" s="188">
        <v>893.89514891157842</v>
      </c>
      <c r="L93" s="188">
        <v>17959.607750333118</v>
      </c>
      <c r="M93" s="188">
        <v>58800.610710952045</v>
      </c>
      <c r="N93" s="573">
        <f t="shared" si="7"/>
        <v>8772204.6198211983</v>
      </c>
    </row>
    <row r="94" spans="1:15" x14ac:dyDescent="0.2">
      <c r="A94" s="166">
        <f t="shared" si="8"/>
        <v>43</v>
      </c>
      <c r="C94" s="528" t="s">
        <v>756</v>
      </c>
      <c r="D94" s="188">
        <v>0</v>
      </c>
      <c r="E94" s="188">
        <v>175192.15321342161</v>
      </c>
      <c r="F94" s="186">
        <v>447268.43582070776</v>
      </c>
      <c r="G94" s="186">
        <v>4645971.7224941971</v>
      </c>
      <c r="H94" s="186">
        <v>1641535.1543529017</v>
      </c>
      <c r="I94" s="188">
        <v>454031.95233949227</v>
      </c>
      <c r="J94" s="186">
        <v>1357076.5291794764</v>
      </c>
      <c r="K94" s="188">
        <v>891.6961758355618</v>
      </c>
      <c r="L94" s="188">
        <v>17320.818768411245</v>
      </c>
      <c r="M94" s="188">
        <v>58681.159114353308</v>
      </c>
      <c r="N94" s="573">
        <f t="shared" si="7"/>
        <v>8797969.6214587986</v>
      </c>
    </row>
    <row r="95" spans="1:15" x14ac:dyDescent="0.2">
      <c r="A95" s="166">
        <f t="shared" si="8"/>
        <v>44</v>
      </c>
      <c r="C95" s="531" t="s">
        <v>721</v>
      </c>
      <c r="D95" s="188">
        <v>0</v>
      </c>
      <c r="E95" s="188">
        <v>175166.52979700666</v>
      </c>
      <c r="F95" s="186">
        <v>461171.93675708678</v>
      </c>
      <c r="G95" s="186">
        <v>4674729.3401905438</v>
      </c>
      <c r="H95" s="186">
        <v>1649604.0719496503</v>
      </c>
      <c r="I95" s="188">
        <v>453636.43797988707</v>
      </c>
      <c r="J95" s="186">
        <v>1359536.7581427759</v>
      </c>
      <c r="K95" s="188">
        <v>764.62647931145682</v>
      </c>
      <c r="L95" s="188">
        <v>15620.346236732525</v>
      </c>
      <c r="M95" s="188">
        <v>59455.16610492202</v>
      </c>
      <c r="N95" s="573">
        <f t="shared" si="7"/>
        <v>8849685.2136379145</v>
      </c>
    </row>
    <row r="96" spans="1:15" x14ac:dyDescent="0.2">
      <c r="A96" s="166">
        <f t="shared" si="8"/>
        <v>45</v>
      </c>
      <c r="C96" s="531" t="s">
        <v>722</v>
      </c>
      <c r="D96" s="188">
        <v>0</v>
      </c>
      <c r="E96" s="188">
        <v>175188.10357200666</v>
      </c>
      <c r="F96" s="186">
        <v>462648.88673621608</v>
      </c>
      <c r="G96" s="186">
        <v>4701598.0911509348</v>
      </c>
      <c r="H96" s="186">
        <v>1946723.6820087899</v>
      </c>
      <c r="I96" s="188">
        <v>452921.09035243327</v>
      </c>
      <c r="J96" s="186">
        <v>1531812.3100862997</v>
      </c>
      <c r="K96" s="188">
        <v>652.55582940071645</v>
      </c>
      <c r="L96" s="188">
        <v>15139.567816974124</v>
      </c>
      <c r="M96" s="188">
        <v>64302.32299698345</v>
      </c>
      <c r="N96" s="573">
        <f t="shared" si="7"/>
        <v>9350986.6105500367</v>
      </c>
    </row>
    <row r="97" spans="1:14" x14ac:dyDescent="0.2">
      <c r="A97" s="166">
        <f t="shared" si="8"/>
        <v>46</v>
      </c>
      <c r="C97" s="528" t="s">
        <v>723</v>
      </c>
      <c r="D97" s="188">
        <v>0</v>
      </c>
      <c r="E97" s="188">
        <v>175211.42027517874</v>
      </c>
      <c r="F97" s="186">
        <v>668821.53574944218</v>
      </c>
      <c r="G97" s="186">
        <v>5211317.9772198135</v>
      </c>
      <c r="H97" s="186">
        <v>2467041.4958754904</v>
      </c>
      <c r="I97" s="188">
        <v>447222.00854537846</v>
      </c>
      <c r="J97" s="186">
        <v>1756171.5622805934</v>
      </c>
      <c r="K97" s="188">
        <v>438.17280502365384</v>
      </c>
      <c r="L97" s="188">
        <v>21933.395741264394</v>
      </c>
      <c r="M97" s="186">
        <v>86606.6248745224</v>
      </c>
      <c r="N97" s="573">
        <f t="shared" si="7"/>
        <v>10834764.193366708</v>
      </c>
    </row>
    <row r="98" spans="1:14" x14ac:dyDescent="0.2">
      <c r="A98" s="166">
        <f t="shared" si="8"/>
        <v>47</v>
      </c>
      <c r="C98" s="531" t="s">
        <v>724</v>
      </c>
      <c r="D98" s="188">
        <v>0</v>
      </c>
      <c r="E98" s="188">
        <v>175193.30007430931</v>
      </c>
      <c r="F98" s="186">
        <v>690843.88894874544</v>
      </c>
      <c r="G98" s="186">
        <v>5315156.3517477755</v>
      </c>
      <c r="H98" s="186">
        <v>2478032.8908296926</v>
      </c>
      <c r="I98" s="188">
        <v>445153.77786251769</v>
      </c>
      <c r="J98" s="186">
        <v>1757980.7901887919</v>
      </c>
      <c r="K98" s="188">
        <v>370.46304873139189</v>
      </c>
      <c r="L98" s="188">
        <v>22253.814594075749</v>
      </c>
      <c r="M98" s="186">
        <v>87042.516251836423</v>
      </c>
      <c r="N98" s="573">
        <f t="shared" si="7"/>
        <v>10972027.793546474</v>
      </c>
    </row>
    <row r="99" spans="1:14" x14ac:dyDescent="0.2">
      <c r="A99" s="166">
        <f t="shared" si="8"/>
        <v>48</v>
      </c>
      <c r="C99" s="531" t="s">
        <v>725</v>
      </c>
      <c r="D99" s="188">
        <v>0</v>
      </c>
      <c r="E99" s="188">
        <v>179114.29351962954</v>
      </c>
      <c r="F99" s="186">
        <v>720241.09806008264</v>
      </c>
      <c r="G99" s="186">
        <v>5485053.5319513846</v>
      </c>
      <c r="H99" s="186">
        <v>2479936.9657742721</v>
      </c>
      <c r="I99" s="188">
        <v>445033.28707762732</v>
      </c>
      <c r="J99" s="186">
        <v>1760077.246756234</v>
      </c>
      <c r="K99" s="188">
        <v>322.32918305499089</v>
      </c>
      <c r="L99" s="188">
        <v>25028.169956051537</v>
      </c>
      <c r="M99" s="186">
        <v>87236.016884200697</v>
      </c>
      <c r="N99" s="573">
        <f t="shared" si="7"/>
        <v>11182042.939162536</v>
      </c>
    </row>
    <row r="100" spans="1:14" x14ac:dyDescent="0.2">
      <c r="A100" s="166">
        <f t="shared" si="8"/>
        <v>49</v>
      </c>
      <c r="C100" s="528" t="s">
        <v>726</v>
      </c>
      <c r="D100" s="188">
        <v>0</v>
      </c>
      <c r="E100" s="188">
        <v>183734.84770069038</v>
      </c>
      <c r="F100" s="186">
        <v>731305.07276697084</v>
      </c>
      <c r="G100" s="186">
        <v>5510972.2229993651</v>
      </c>
      <c r="H100" s="186">
        <v>2860160.5454256828</v>
      </c>
      <c r="I100" s="188">
        <v>441931.1037136151</v>
      </c>
      <c r="J100" s="186">
        <v>1887965.5219868899</v>
      </c>
      <c r="K100" s="188">
        <v>286.17491097626527</v>
      </c>
      <c r="L100" s="188">
        <v>24409.714580964122</v>
      </c>
      <c r="M100" s="186">
        <v>90493.859074401902</v>
      </c>
      <c r="N100" s="573">
        <f t="shared" si="7"/>
        <v>11731259.063159557</v>
      </c>
    </row>
    <row r="101" spans="1:14" x14ac:dyDescent="0.2">
      <c r="A101" s="166">
        <f t="shared" si="8"/>
        <v>50</v>
      </c>
      <c r="C101" s="528" t="s">
        <v>727</v>
      </c>
      <c r="D101" s="188">
        <v>0</v>
      </c>
      <c r="E101" s="188">
        <v>183772.81868206887</v>
      </c>
      <c r="F101" s="186">
        <v>738930.62541068764</v>
      </c>
      <c r="G101" s="186">
        <v>5532634.1460842798</v>
      </c>
      <c r="H101" s="186">
        <v>2893372.4892052733</v>
      </c>
      <c r="I101" s="188">
        <v>442220.57822011859</v>
      </c>
      <c r="J101" s="186">
        <v>1901894.0861458296</v>
      </c>
      <c r="K101" s="188">
        <v>285.89361764560363</v>
      </c>
      <c r="L101" s="188">
        <v>24439.153135601959</v>
      </c>
      <c r="M101" s="186">
        <v>91568.396164581602</v>
      </c>
      <c r="N101" s="573">
        <f t="shared" si="7"/>
        <v>11809118.186666084</v>
      </c>
    </row>
    <row r="102" spans="1:14" x14ac:dyDescent="0.2">
      <c r="A102" s="166">
        <f t="shared" si="8"/>
        <v>51</v>
      </c>
      <c r="C102" s="531" t="s">
        <v>728</v>
      </c>
      <c r="D102" s="181">
        <v>0</v>
      </c>
      <c r="E102" s="181">
        <v>189538.35982232503</v>
      </c>
      <c r="F102" s="178">
        <v>747659.88232200884</v>
      </c>
      <c r="G102" s="178">
        <v>5539055.9758915883</v>
      </c>
      <c r="H102" s="178">
        <v>2919629.8128312849</v>
      </c>
      <c r="I102" s="181">
        <v>441504.62796811707</v>
      </c>
      <c r="J102" s="178">
        <v>1911607.2232991988</v>
      </c>
      <c r="K102" s="181">
        <v>285.71954961778147</v>
      </c>
      <c r="L102" s="181">
        <v>24962.918504069996</v>
      </c>
      <c r="M102" s="178">
        <v>91981.349087384486</v>
      </c>
      <c r="N102" s="575">
        <f t="shared" si="7"/>
        <v>11866225.869275596</v>
      </c>
    </row>
    <row r="103" spans="1:14" x14ac:dyDescent="0.2">
      <c r="A103" s="166">
        <f t="shared" si="8"/>
        <v>52</v>
      </c>
      <c r="C103" s="535" t="s">
        <v>166</v>
      </c>
      <c r="D103" s="527">
        <f>SUM(D91:D102)</f>
        <v>0</v>
      </c>
      <c r="E103" s="529">
        <f t="shared" ref="E103:M103" si="9">SUM(E91:E102)</f>
        <v>2112358.3433836736</v>
      </c>
      <c r="F103" s="573">
        <f t="shared" si="9"/>
        <v>7005695.7014490953</v>
      </c>
      <c r="G103" s="573">
        <f t="shared" si="9"/>
        <v>60430594.193813942</v>
      </c>
      <c r="H103" s="573">
        <f t="shared" si="9"/>
        <v>26068434.347410727</v>
      </c>
      <c r="I103" s="529">
        <f t="shared" si="9"/>
        <v>5386529.3765342664</v>
      </c>
      <c r="J103" s="573">
        <f t="shared" si="9"/>
        <v>19191522.243836969</v>
      </c>
      <c r="K103" s="529">
        <f t="shared" si="9"/>
        <v>6974.0007429506913</v>
      </c>
      <c r="L103" s="529">
        <f t="shared" si="9"/>
        <v>239823.00014068725</v>
      </c>
      <c r="M103" s="573">
        <f t="shared" si="9"/>
        <v>885158.35579104244</v>
      </c>
      <c r="N103" s="573">
        <f>SUM(N91:N102)</f>
        <v>121327089.56310336</v>
      </c>
    </row>
    <row r="104" spans="1:14" x14ac:dyDescent="0.2">
      <c r="E104" s="163"/>
      <c r="F104" s="163"/>
      <c r="G104" s="163"/>
      <c r="H104" s="163"/>
      <c r="I104" s="163"/>
      <c r="J104" s="163"/>
      <c r="K104" s="163"/>
      <c r="L104" s="163"/>
      <c r="M104" s="163"/>
      <c r="N104" s="163"/>
    </row>
    <row r="105" spans="1:14" x14ac:dyDescent="0.2">
      <c r="C105" s="162" t="s">
        <v>802</v>
      </c>
      <c r="D105" s="223"/>
      <c r="E105" s="174"/>
      <c r="F105" s="174"/>
      <c r="G105" s="174"/>
      <c r="H105" s="174"/>
      <c r="I105" s="174"/>
      <c r="J105" s="174"/>
      <c r="K105" s="174"/>
      <c r="L105" s="174"/>
      <c r="M105" s="163"/>
      <c r="N105" s="163"/>
    </row>
    <row r="106" spans="1:14" x14ac:dyDescent="0.2">
      <c r="C106" s="223"/>
      <c r="D106" s="223"/>
      <c r="E106" s="174"/>
      <c r="F106" s="174"/>
      <c r="G106" s="174"/>
      <c r="H106" s="174"/>
      <c r="I106" s="174"/>
      <c r="J106" s="174"/>
      <c r="K106" s="174"/>
      <c r="L106" s="174"/>
      <c r="M106" s="163"/>
      <c r="N106" s="163"/>
    </row>
    <row r="107" spans="1:14" x14ac:dyDescent="0.2">
      <c r="C107" s="227" t="s">
        <v>152</v>
      </c>
      <c r="D107" s="227" t="s">
        <v>153</v>
      </c>
      <c r="E107" s="241" t="s">
        <v>154</v>
      </c>
      <c r="F107" s="241" t="s">
        <v>155</v>
      </c>
      <c r="G107" s="241" t="s">
        <v>371</v>
      </c>
      <c r="H107" s="241" t="s">
        <v>372</v>
      </c>
      <c r="I107" s="241" t="s">
        <v>386</v>
      </c>
      <c r="J107" s="241" t="s">
        <v>387</v>
      </c>
      <c r="K107" s="241" t="s">
        <v>388</v>
      </c>
      <c r="L107" s="241" t="s">
        <v>389</v>
      </c>
      <c r="M107" s="241" t="s">
        <v>390</v>
      </c>
      <c r="N107" s="241" t="s">
        <v>391</v>
      </c>
    </row>
    <row r="108" spans="1:14" x14ac:dyDescent="0.2">
      <c r="C108" s="523"/>
      <c r="D108" s="518"/>
      <c r="E108" s="536"/>
      <c r="F108" s="536"/>
      <c r="G108" s="536"/>
      <c r="H108" s="536"/>
      <c r="I108" s="536"/>
      <c r="J108" s="536"/>
      <c r="K108" s="536"/>
      <c r="L108" s="536"/>
      <c r="M108" s="163"/>
      <c r="N108" s="556" t="s">
        <v>714</v>
      </c>
    </row>
    <row r="109" spans="1:14" x14ac:dyDescent="0.2">
      <c r="C109" s="171"/>
      <c r="D109" s="227"/>
      <c r="E109" s="241"/>
      <c r="F109" s="536"/>
      <c r="G109" s="536"/>
      <c r="H109" s="536"/>
      <c r="I109" s="536"/>
      <c r="J109" s="536"/>
      <c r="K109" s="536"/>
      <c r="L109" s="536"/>
      <c r="M109" s="536"/>
      <c r="N109" s="163"/>
    </row>
    <row r="110" spans="1:14" x14ac:dyDescent="0.2">
      <c r="C110" s="207" t="s">
        <v>715</v>
      </c>
      <c r="D110" s="227">
        <v>350.1</v>
      </c>
      <c r="E110" s="241">
        <v>350.2</v>
      </c>
      <c r="F110" s="241">
        <v>352</v>
      </c>
      <c r="G110" s="241">
        <v>353</v>
      </c>
      <c r="H110" s="241">
        <v>354</v>
      </c>
      <c r="I110" s="241">
        <v>355</v>
      </c>
      <c r="J110" s="241">
        <v>356</v>
      </c>
      <c r="K110" s="241">
        <v>357</v>
      </c>
      <c r="L110" s="241">
        <v>358</v>
      </c>
      <c r="M110" s="241">
        <v>359</v>
      </c>
      <c r="N110" s="207" t="s">
        <v>325</v>
      </c>
    </row>
    <row r="111" spans="1:14" x14ac:dyDescent="0.2">
      <c r="A111" s="166">
        <f>A103+1</f>
        <v>53</v>
      </c>
      <c r="C111" s="528" t="s">
        <v>717</v>
      </c>
      <c r="D111" s="188">
        <f t="shared" ref="D111:M122" si="10">D71-D91</f>
        <v>0</v>
      </c>
      <c r="E111" s="188">
        <f t="shared" si="10"/>
        <v>50271.280829527474</v>
      </c>
      <c r="F111" s="188">
        <f t="shared" si="10"/>
        <v>672486.31260414026</v>
      </c>
      <c r="G111" s="188">
        <f t="shared" si="10"/>
        <v>9362808.2480396777</v>
      </c>
      <c r="H111" s="188">
        <f t="shared" si="10"/>
        <v>-6920361.5796688898</v>
      </c>
      <c r="I111" s="188">
        <f t="shared" si="10"/>
        <v>1322968.8108071324</v>
      </c>
      <c r="J111" s="188">
        <f t="shared" si="10"/>
        <v>-5111115.1092176205</v>
      </c>
      <c r="K111" s="188">
        <f t="shared" si="10"/>
        <v>51594.482433260368</v>
      </c>
      <c r="L111" s="188">
        <f t="shared" si="10"/>
        <v>441394.41355382337</v>
      </c>
      <c r="M111" s="188">
        <f t="shared" si="10"/>
        <v>-4923192.806000988</v>
      </c>
      <c r="N111" s="529">
        <f t="shared" ref="N111:N122" si="11">SUM(D111:M111)</f>
        <v>-5053145.9466199372</v>
      </c>
    </row>
    <row r="112" spans="1:14" x14ac:dyDescent="0.2">
      <c r="A112" s="166">
        <f t="shared" ref="A112:A123" si="12">A111+1</f>
        <v>54</v>
      </c>
      <c r="C112" s="531" t="s">
        <v>718</v>
      </c>
      <c r="D112" s="188">
        <f t="shared" si="10"/>
        <v>0</v>
      </c>
      <c r="E112" s="188">
        <f t="shared" si="10"/>
        <v>60310.961680649983</v>
      </c>
      <c r="F112" s="186">
        <f t="shared" si="10"/>
        <v>-113295.0273395385</v>
      </c>
      <c r="G112" s="186">
        <f t="shared" si="10"/>
        <v>1916314.1912166532</v>
      </c>
      <c r="H112" s="188">
        <f t="shared" si="10"/>
        <v>-4144600.0118095158</v>
      </c>
      <c r="I112" s="188">
        <f t="shared" si="10"/>
        <v>-1485559.5234024853</v>
      </c>
      <c r="J112" s="186">
        <f t="shared" si="10"/>
        <v>-3205834.5357385883</v>
      </c>
      <c r="K112" s="188">
        <f t="shared" si="10"/>
        <v>68020.976098852858</v>
      </c>
      <c r="L112" s="188">
        <f t="shared" si="10"/>
        <v>500143.4890112232</v>
      </c>
      <c r="M112" s="188">
        <f t="shared" si="10"/>
        <v>-1482232.8854998003</v>
      </c>
      <c r="N112" s="573">
        <f t="shared" si="11"/>
        <v>-7886732.3657825487</v>
      </c>
    </row>
    <row r="113" spans="1:14" x14ac:dyDescent="0.2">
      <c r="A113" s="166">
        <f t="shared" si="12"/>
        <v>55</v>
      </c>
      <c r="C113" s="531" t="s">
        <v>719</v>
      </c>
      <c r="D113" s="188">
        <f t="shared" si="10"/>
        <v>0</v>
      </c>
      <c r="E113" s="188">
        <f t="shared" si="10"/>
        <v>34913.870762786857</v>
      </c>
      <c r="F113" s="186">
        <f t="shared" si="10"/>
        <v>-331174.15953552374</v>
      </c>
      <c r="G113" s="186">
        <f t="shared" si="10"/>
        <v>2600297.7281695129</v>
      </c>
      <c r="H113" s="188">
        <f t="shared" si="10"/>
        <v>1320404.6697236786</v>
      </c>
      <c r="I113" s="188">
        <f t="shared" si="10"/>
        <v>-3070450.7415191801</v>
      </c>
      <c r="J113" s="186">
        <f t="shared" si="10"/>
        <v>6904373.3907195907</v>
      </c>
      <c r="K113" s="188">
        <f t="shared" si="10"/>
        <v>77066.484334259236</v>
      </c>
      <c r="L113" s="188">
        <f t="shared" si="10"/>
        <v>737354.96326122503</v>
      </c>
      <c r="M113" s="188">
        <f t="shared" si="10"/>
        <v>4858148.7168045565</v>
      </c>
      <c r="N113" s="573">
        <f t="shared" si="11"/>
        <v>13130934.922720905</v>
      </c>
    </row>
    <row r="114" spans="1:14" x14ac:dyDescent="0.2">
      <c r="A114" s="166">
        <f t="shared" si="12"/>
        <v>56</v>
      </c>
      <c r="C114" s="528" t="s">
        <v>756</v>
      </c>
      <c r="D114" s="188">
        <f t="shared" si="10"/>
        <v>0</v>
      </c>
      <c r="E114" s="188">
        <f t="shared" si="10"/>
        <v>34892.776786578092</v>
      </c>
      <c r="F114" s="186">
        <f t="shared" si="10"/>
        <v>246635.93298797897</v>
      </c>
      <c r="G114" s="186">
        <f t="shared" si="10"/>
        <v>2148135.39200716</v>
      </c>
      <c r="H114" s="186">
        <f t="shared" si="10"/>
        <v>-900466.44084811048</v>
      </c>
      <c r="I114" s="188">
        <f t="shared" si="10"/>
        <v>409783.11802930431</v>
      </c>
      <c r="J114" s="186">
        <f t="shared" si="10"/>
        <v>-149079.33351447457</v>
      </c>
      <c r="K114" s="188">
        <f t="shared" si="10"/>
        <v>60892.232488869224</v>
      </c>
      <c r="L114" s="188">
        <f t="shared" si="10"/>
        <v>460760.67883420055</v>
      </c>
      <c r="M114" s="188">
        <f t="shared" si="10"/>
        <v>-352661.23165333079</v>
      </c>
      <c r="N114" s="573">
        <f t="shared" si="11"/>
        <v>1958893.1251181751</v>
      </c>
    </row>
    <row r="115" spans="1:14" x14ac:dyDescent="0.2">
      <c r="A115" s="166">
        <f t="shared" si="12"/>
        <v>57</v>
      </c>
      <c r="C115" s="531" t="s">
        <v>721</v>
      </c>
      <c r="D115" s="188">
        <f t="shared" si="10"/>
        <v>0</v>
      </c>
      <c r="E115" s="188">
        <f t="shared" si="10"/>
        <v>34964.180202996096</v>
      </c>
      <c r="F115" s="186">
        <f t="shared" si="10"/>
        <v>294400.14838998113</v>
      </c>
      <c r="G115" s="186">
        <f t="shared" si="10"/>
        <v>1365747.7981867651</v>
      </c>
      <c r="H115" s="186">
        <f t="shared" si="10"/>
        <v>-754985.12956463243</v>
      </c>
      <c r="I115" s="188">
        <f t="shared" si="10"/>
        <v>-699134.41005439567</v>
      </c>
      <c r="J115" s="186">
        <f t="shared" si="10"/>
        <v>5054756.6918587619</v>
      </c>
      <c r="K115" s="188">
        <f t="shared" si="10"/>
        <v>8718.7399178421292</v>
      </c>
      <c r="L115" s="188">
        <f t="shared" si="10"/>
        <v>21669.100952375011</v>
      </c>
      <c r="M115" s="188">
        <f t="shared" si="10"/>
        <v>-274028.72626010509</v>
      </c>
      <c r="N115" s="573">
        <f t="shared" si="11"/>
        <v>5052108.3936295873</v>
      </c>
    </row>
    <row r="116" spans="1:14" x14ac:dyDescent="0.2">
      <c r="A116" s="166">
        <f t="shared" si="12"/>
        <v>58</v>
      </c>
      <c r="C116" s="531" t="s">
        <v>722</v>
      </c>
      <c r="D116" s="188">
        <f t="shared" si="10"/>
        <v>0</v>
      </c>
      <c r="E116" s="188">
        <f t="shared" si="10"/>
        <v>229.5464279918524</v>
      </c>
      <c r="F116" s="186">
        <f t="shared" si="10"/>
        <v>181315.08723787771</v>
      </c>
      <c r="G116" s="186">
        <f t="shared" si="10"/>
        <v>6466052.3870638059</v>
      </c>
      <c r="H116" s="186">
        <f t="shared" si="10"/>
        <v>-1316192.6007919777</v>
      </c>
      <c r="I116" s="188">
        <f t="shared" si="10"/>
        <v>-756737.0191741162</v>
      </c>
      <c r="J116" s="186">
        <f t="shared" si="10"/>
        <v>-1551766.6659216182</v>
      </c>
      <c r="K116" s="188">
        <f t="shared" si="10"/>
        <v>40562.826498696064</v>
      </c>
      <c r="L116" s="188">
        <f t="shared" si="10"/>
        <v>370412.84854996065</v>
      </c>
      <c r="M116" s="188">
        <f t="shared" si="10"/>
        <v>-825863.8226517291</v>
      </c>
      <c r="N116" s="573">
        <f t="shared" si="11"/>
        <v>2608012.587238892</v>
      </c>
    </row>
    <row r="117" spans="1:14" x14ac:dyDescent="0.2">
      <c r="A117" s="166">
        <f t="shared" si="12"/>
        <v>59</v>
      </c>
      <c r="C117" s="528" t="s">
        <v>723</v>
      </c>
      <c r="D117" s="188">
        <f t="shared" si="10"/>
        <v>0</v>
      </c>
      <c r="E117" s="188">
        <f t="shared" si="10"/>
        <v>72217.959724823944</v>
      </c>
      <c r="F117" s="186">
        <f t="shared" si="10"/>
        <v>780266.76207429986</v>
      </c>
      <c r="G117" s="186">
        <f t="shared" si="10"/>
        <v>1958515.6864519184</v>
      </c>
      <c r="H117" s="186">
        <f t="shared" si="10"/>
        <v>-1601385.8805957562</v>
      </c>
      <c r="I117" s="188">
        <f t="shared" si="10"/>
        <v>-80063.989350119838</v>
      </c>
      <c r="J117" s="186">
        <f t="shared" si="10"/>
        <v>573893.05948353</v>
      </c>
      <c r="K117" s="188">
        <f t="shared" si="10"/>
        <v>78632.769924943059</v>
      </c>
      <c r="L117" s="188">
        <f t="shared" si="10"/>
        <v>511425.67125860316</v>
      </c>
      <c r="M117" s="186">
        <f t="shared" si="10"/>
        <v>-121407.13087034547</v>
      </c>
      <c r="N117" s="573">
        <f t="shared" si="11"/>
        <v>2172094.9081018972</v>
      </c>
    </row>
    <row r="118" spans="1:14" x14ac:dyDescent="0.2">
      <c r="A118" s="166">
        <f t="shared" si="12"/>
        <v>60</v>
      </c>
      <c r="C118" s="531" t="s">
        <v>724</v>
      </c>
      <c r="D118" s="188">
        <f t="shared" si="10"/>
        <v>0</v>
      </c>
      <c r="E118" s="188">
        <f t="shared" si="10"/>
        <v>187335.15992568972</v>
      </c>
      <c r="F118" s="186">
        <f t="shared" si="10"/>
        <v>-205933.70286018343</v>
      </c>
      <c r="G118" s="186">
        <f t="shared" si="10"/>
        <v>-9237051.7398988251</v>
      </c>
      <c r="H118" s="186">
        <f t="shared" si="10"/>
        <v>-759059.46957344841</v>
      </c>
      <c r="I118" s="188">
        <f t="shared" si="10"/>
        <v>-1788515.4643722163</v>
      </c>
      <c r="J118" s="186">
        <f t="shared" si="10"/>
        <v>262635.32473379117</v>
      </c>
      <c r="K118" s="188">
        <f t="shared" si="10"/>
        <v>69059.748879390347</v>
      </c>
      <c r="L118" s="188">
        <f t="shared" si="10"/>
        <v>417549.11919620569</v>
      </c>
      <c r="M118" s="186">
        <f t="shared" si="10"/>
        <v>-498796.68093512626</v>
      </c>
      <c r="N118" s="573">
        <f t="shared" si="11"/>
        <v>-11552777.704904722</v>
      </c>
    </row>
    <row r="119" spans="1:14" x14ac:dyDescent="0.2">
      <c r="A119" s="166">
        <f t="shared" si="12"/>
        <v>61</v>
      </c>
      <c r="C119" s="531" t="s">
        <v>725</v>
      </c>
      <c r="D119" s="188">
        <f t="shared" si="10"/>
        <v>0</v>
      </c>
      <c r="E119" s="188">
        <f t="shared" si="10"/>
        <v>59612.078069278592</v>
      </c>
      <c r="F119" s="186">
        <f t="shared" si="10"/>
        <v>-176906.19821062312</v>
      </c>
      <c r="G119" s="186">
        <f t="shared" si="10"/>
        <v>1905926.7078427505</v>
      </c>
      <c r="H119" s="186">
        <f t="shared" si="10"/>
        <v>-1052074.155664776</v>
      </c>
      <c r="I119" s="188">
        <f t="shared" si="10"/>
        <v>721033.24098695139</v>
      </c>
      <c r="J119" s="186">
        <f t="shared" si="10"/>
        <v>1242482.2289266803</v>
      </c>
      <c r="K119" s="188">
        <f t="shared" si="10"/>
        <v>82746.774629963664</v>
      </c>
      <c r="L119" s="188">
        <f t="shared" si="10"/>
        <v>402804.94952984829</v>
      </c>
      <c r="M119" s="186">
        <f t="shared" si="10"/>
        <v>4255148.6490334515</v>
      </c>
      <c r="N119" s="573">
        <f t="shared" si="11"/>
        <v>7440774.2751435246</v>
      </c>
    </row>
    <row r="120" spans="1:14" x14ac:dyDescent="0.2">
      <c r="A120" s="166">
        <f t="shared" si="12"/>
        <v>62</v>
      </c>
      <c r="C120" s="528" t="s">
        <v>726</v>
      </c>
      <c r="D120" s="188">
        <f t="shared" si="10"/>
        <v>0</v>
      </c>
      <c r="E120" s="188">
        <f t="shared" si="10"/>
        <v>63549.79071039753</v>
      </c>
      <c r="F120" s="186">
        <f t="shared" si="10"/>
        <v>326377.08355950192</v>
      </c>
      <c r="G120" s="186">
        <f t="shared" si="10"/>
        <v>5086736.0807999065</v>
      </c>
      <c r="H120" s="186">
        <f t="shared" si="10"/>
        <v>5294605.1007476151</v>
      </c>
      <c r="I120" s="188">
        <f t="shared" si="10"/>
        <v>-2634488.8059752416</v>
      </c>
      <c r="J120" s="186">
        <f t="shared" si="10"/>
        <v>2586539.6408624174</v>
      </c>
      <c r="K120" s="188">
        <f t="shared" si="10"/>
        <v>78266.137142245949</v>
      </c>
      <c r="L120" s="188">
        <f t="shared" si="10"/>
        <v>444843.66514911148</v>
      </c>
      <c r="M120" s="186">
        <f t="shared" si="10"/>
        <v>19745.024735436542</v>
      </c>
      <c r="N120" s="573">
        <f t="shared" si="11"/>
        <v>11266173.717731392</v>
      </c>
    </row>
    <row r="121" spans="1:14" x14ac:dyDescent="0.2">
      <c r="A121" s="166">
        <f t="shared" si="12"/>
        <v>63</v>
      </c>
      <c r="C121" s="528" t="s">
        <v>727</v>
      </c>
      <c r="D121" s="188">
        <f t="shared" si="10"/>
        <v>0</v>
      </c>
      <c r="E121" s="188">
        <f t="shared" si="10"/>
        <v>118822.31131793195</v>
      </c>
      <c r="F121" s="186">
        <f t="shared" si="10"/>
        <v>-261056.9096860406</v>
      </c>
      <c r="G121" s="186">
        <f t="shared" si="10"/>
        <v>-7332590.4850438545</v>
      </c>
      <c r="H121" s="186">
        <f t="shared" si="10"/>
        <v>-1345987.1223433935</v>
      </c>
      <c r="I121" s="188">
        <f t="shared" si="10"/>
        <v>1274083.8127237067</v>
      </c>
      <c r="J121" s="186">
        <f t="shared" si="10"/>
        <v>-3825964.8731917851</v>
      </c>
      <c r="K121" s="188">
        <f t="shared" si="10"/>
        <v>83441.368476505624</v>
      </c>
      <c r="L121" s="188">
        <f t="shared" si="10"/>
        <v>497238.47348929517</v>
      </c>
      <c r="M121" s="186">
        <f t="shared" si="10"/>
        <v>4037.2797191995633</v>
      </c>
      <c r="N121" s="573">
        <f t="shared" si="11"/>
        <v>-10787976.144538432</v>
      </c>
    </row>
    <row r="122" spans="1:14" x14ac:dyDescent="0.2">
      <c r="A122" s="166">
        <f t="shared" si="12"/>
        <v>64</v>
      </c>
      <c r="C122" s="531" t="s">
        <v>728</v>
      </c>
      <c r="D122" s="181">
        <f t="shared" si="10"/>
        <v>0</v>
      </c>
      <c r="E122" s="181">
        <f t="shared" si="10"/>
        <v>56400.130177675193</v>
      </c>
      <c r="F122" s="178">
        <f t="shared" si="10"/>
        <v>-3906190.2063562227</v>
      </c>
      <c r="G122" s="178">
        <f t="shared" si="10"/>
        <v>-32406610.995814323</v>
      </c>
      <c r="H122" s="178">
        <f t="shared" si="10"/>
        <v>-1021437.957676711</v>
      </c>
      <c r="I122" s="181">
        <f t="shared" si="10"/>
        <v>2595923.5232391213</v>
      </c>
      <c r="J122" s="178">
        <f t="shared" si="10"/>
        <v>-480748.06657414977</v>
      </c>
      <c r="K122" s="181">
        <f t="shared" si="10"/>
        <v>78744.533350714424</v>
      </c>
      <c r="L122" s="181">
        <f t="shared" si="10"/>
        <v>246622.9061625046</v>
      </c>
      <c r="M122" s="178">
        <f t="shared" si="10"/>
        <v>-38744.759271071249</v>
      </c>
      <c r="N122" s="575">
        <f t="shared" si="11"/>
        <v>-34876040.89276246</v>
      </c>
    </row>
    <row r="123" spans="1:14" x14ac:dyDescent="0.2">
      <c r="A123" s="166">
        <f t="shared" si="12"/>
        <v>65</v>
      </c>
      <c r="C123" s="535" t="s">
        <v>166</v>
      </c>
      <c r="D123" s="527">
        <f>SUM(D111:D122)</f>
        <v>0</v>
      </c>
      <c r="E123" s="529">
        <f t="shared" ref="E123:M123" si="13">SUM(E111:E122)</f>
        <v>773520.04661632725</v>
      </c>
      <c r="F123" s="573">
        <f t="shared" si="13"/>
        <v>-2493074.8771343525</v>
      </c>
      <c r="G123" s="573">
        <f t="shared" si="13"/>
        <v>-16165719.00097885</v>
      </c>
      <c r="H123" s="573">
        <f t="shared" si="13"/>
        <v>-13201540.578065917</v>
      </c>
      <c r="I123" s="529">
        <f t="shared" si="13"/>
        <v>-4191157.4480615384</v>
      </c>
      <c r="J123" s="573">
        <f t="shared" si="13"/>
        <v>2300171.7524265349</v>
      </c>
      <c r="K123" s="529">
        <f t="shared" si="13"/>
        <v>777747.07417554292</v>
      </c>
      <c r="L123" s="529">
        <f t="shared" si="13"/>
        <v>5052220.278948376</v>
      </c>
      <c r="M123" s="573">
        <f t="shared" si="13"/>
        <v>620151.62715014745</v>
      </c>
      <c r="N123" s="573">
        <f>SUM(N111:N122)</f>
        <v>-26527681.124923728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173">
        <f t="shared" si="14"/>
        <v>2000187.0901754415</v>
      </c>
      <c r="F129" s="179">
        <f t="shared" si="14"/>
        <v>4549591.4945787117</v>
      </c>
      <c r="G129" s="179">
        <f t="shared" si="14"/>
        <v>26629216.204779625</v>
      </c>
      <c r="H129" s="173">
        <f t="shared" si="14"/>
        <v>-8685524.5095578432</v>
      </c>
      <c r="I129" s="173">
        <f t="shared" si="14"/>
        <v>-3623604.037573956</v>
      </c>
      <c r="J129" s="173">
        <f t="shared" si="14"/>
        <v>9576209.5177887082</v>
      </c>
      <c r="K129" s="173">
        <f t="shared" si="14"/>
        <v>-138764.22837335896</v>
      </c>
      <c r="L129" s="173">
        <f t="shared" si="14"/>
        <v>3009252.5195539156</v>
      </c>
      <c r="M129" s="173">
        <f t="shared" si="14"/>
        <v>1384772.6977941962</v>
      </c>
      <c r="N129" s="179">
        <f>SUM(D129:M129)</f>
        <v>34701336.749165438</v>
      </c>
    </row>
    <row r="130" spans="1:14" x14ac:dyDescent="0.2">
      <c r="C130" s="168"/>
      <c r="E130" s="163"/>
      <c r="F130" s="163"/>
      <c r="G130" s="163"/>
      <c r="H130" s="163"/>
      <c r="I130" s="163"/>
      <c r="J130" s="163"/>
      <c r="K130" s="163"/>
      <c r="L130" s="163"/>
      <c r="M130" s="163"/>
      <c r="N130" s="163"/>
    </row>
    <row r="131" spans="1:14" x14ac:dyDescent="0.2">
      <c r="C131" s="247" t="s">
        <v>805</v>
      </c>
      <c r="E131" s="163"/>
      <c r="F131" s="163"/>
      <c r="G131" s="163"/>
      <c r="H131" s="163"/>
      <c r="I131" s="163"/>
      <c r="J131" s="163"/>
      <c r="K131" s="163"/>
      <c r="L131" s="163"/>
      <c r="M131" s="163"/>
      <c r="N131" s="163"/>
    </row>
    <row r="132" spans="1:14" x14ac:dyDescent="0.2">
      <c r="C132" s="168"/>
      <c r="D132" s="227">
        <v>350.1</v>
      </c>
      <c r="E132" s="241">
        <v>350.2</v>
      </c>
      <c r="F132" s="241">
        <v>352</v>
      </c>
      <c r="G132" s="241">
        <v>353</v>
      </c>
      <c r="H132" s="241">
        <v>354</v>
      </c>
      <c r="I132" s="241">
        <v>355</v>
      </c>
      <c r="J132" s="241">
        <v>356</v>
      </c>
      <c r="K132" s="241">
        <v>357</v>
      </c>
      <c r="L132" s="241">
        <v>358</v>
      </c>
      <c r="M132" s="241">
        <v>359</v>
      </c>
      <c r="N132" s="207" t="s">
        <v>325</v>
      </c>
    </row>
    <row r="133" spans="1:14" x14ac:dyDescent="0.2">
      <c r="A133" s="166">
        <f>A129+1</f>
        <v>67</v>
      </c>
      <c r="C133" s="168"/>
      <c r="D133" s="221">
        <f t="shared" ref="D133:M133" si="15">D103</f>
        <v>0</v>
      </c>
      <c r="E133" s="173">
        <f t="shared" si="15"/>
        <v>2112358.3433836736</v>
      </c>
      <c r="F133" s="179">
        <f t="shared" si="15"/>
        <v>7005695.7014490953</v>
      </c>
      <c r="G133" s="179">
        <f t="shared" si="15"/>
        <v>60430594.193813942</v>
      </c>
      <c r="H133" s="179">
        <f t="shared" si="15"/>
        <v>26068434.347410727</v>
      </c>
      <c r="I133" s="173">
        <f t="shared" si="15"/>
        <v>5386529.3765342664</v>
      </c>
      <c r="J133" s="179">
        <f t="shared" si="15"/>
        <v>19191522.243836969</v>
      </c>
      <c r="K133" s="173">
        <f t="shared" si="15"/>
        <v>6974.0007429506913</v>
      </c>
      <c r="L133" s="173">
        <f t="shared" si="15"/>
        <v>239823.00014068725</v>
      </c>
      <c r="M133" s="179">
        <f t="shared" si="15"/>
        <v>885158.35579104244</v>
      </c>
      <c r="N133" s="179">
        <f>SUM(D133:M133)</f>
        <v>121327089.56310336</v>
      </c>
    </row>
    <row r="134" spans="1:14" x14ac:dyDescent="0.2">
      <c r="C134" s="247" t="s">
        <v>806</v>
      </c>
      <c r="E134" s="163"/>
      <c r="F134" s="163"/>
      <c r="G134" s="163"/>
      <c r="H134" s="163"/>
      <c r="I134" s="163"/>
      <c r="J134" s="163"/>
      <c r="K134" s="163"/>
      <c r="L134" s="163"/>
      <c r="M134" s="163"/>
      <c r="N134" s="163"/>
    </row>
    <row r="135" spans="1:14" x14ac:dyDescent="0.2">
      <c r="D135" s="227">
        <v>350.1</v>
      </c>
      <c r="E135" s="241">
        <v>350.2</v>
      </c>
      <c r="F135" s="241">
        <v>352</v>
      </c>
      <c r="G135" s="241">
        <v>353</v>
      </c>
      <c r="H135" s="241">
        <v>354</v>
      </c>
      <c r="I135" s="241">
        <v>355</v>
      </c>
      <c r="J135" s="241">
        <v>356</v>
      </c>
      <c r="K135" s="241">
        <v>357</v>
      </c>
      <c r="L135" s="241">
        <v>358</v>
      </c>
      <c r="M135" s="241">
        <v>359</v>
      </c>
      <c r="N135" s="207" t="s">
        <v>325</v>
      </c>
    </row>
    <row r="136" spans="1:14" x14ac:dyDescent="0.2">
      <c r="A136" s="166">
        <f>A133+1</f>
        <v>68</v>
      </c>
      <c r="D136" s="221">
        <f t="shared" ref="D136:M136" si="16">D129-D133</f>
        <v>0</v>
      </c>
      <c r="E136" s="173">
        <f t="shared" si="16"/>
        <v>-112171.25320823211</v>
      </c>
      <c r="F136" s="179">
        <f t="shared" si="16"/>
        <v>-2456104.2068703836</v>
      </c>
      <c r="G136" s="179">
        <f t="shared" si="16"/>
        <v>-33801377.989034317</v>
      </c>
      <c r="H136" s="179">
        <f t="shared" si="16"/>
        <v>-34753958.856968567</v>
      </c>
      <c r="I136" s="173">
        <f t="shared" si="16"/>
        <v>-9010133.4141082224</v>
      </c>
      <c r="J136" s="179">
        <f t="shared" si="16"/>
        <v>-9615312.7260482609</v>
      </c>
      <c r="K136" s="173">
        <f t="shared" si="16"/>
        <v>-145738.22911630964</v>
      </c>
      <c r="L136" s="173">
        <f t="shared" si="16"/>
        <v>2769429.5194132281</v>
      </c>
      <c r="M136" s="179">
        <f t="shared" si="16"/>
        <v>499614.34200315375</v>
      </c>
      <c r="N136" s="179">
        <f>SUM(D136:M136)</f>
        <v>-86625752.813937902</v>
      </c>
    </row>
    <row r="137" spans="1:14" x14ac:dyDescent="0.2">
      <c r="E137" s="163"/>
      <c r="F137" s="163"/>
      <c r="G137" s="163"/>
      <c r="H137" s="163"/>
      <c r="I137" s="163"/>
      <c r="J137" s="163"/>
      <c r="K137" s="163"/>
      <c r="L137" s="163"/>
      <c r="M137" s="163"/>
      <c r="N137" s="163"/>
    </row>
    <row r="138" spans="1:14" x14ac:dyDescent="0.2">
      <c r="C138" s="162" t="s">
        <v>807</v>
      </c>
      <c r="D138" s="223"/>
      <c r="E138" s="174"/>
      <c r="F138" s="174"/>
      <c r="G138" s="174"/>
      <c r="H138" s="174"/>
      <c r="I138" s="174"/>
      <c r="J138" s="174"/>
      <c r="K138" s="174"/>
      <c r="L138" s="174"/>
      <c r="M138" s="163"/>
      <c r="N138" s="163"/>
    </row>
    <row r="139" spans="1:14" x14ac:dyDescent="0.2">
      <c r="C139" s="223"/>
      <c r="D139" s="223"/>
      <c r="E139" s="174"/>
      <c r="F139" s="174"/>
      <c r="G139" s="174"/>
      <c r="H139" s="174"/>
      <c r="I139" s="174"/>
      <c r="J139" s="174"/>
      <c r="K139" s="174"/>
      <c r="L139" s="174"/>
      <c r="M139" s="163"/>
      <c r="N139" s="163"/>
    </row>
    <row r="140" spans="1:14" x14ac:dyDescent="0.2">
      <c r="C140" s="227" t="s">
        <v>152</v>
      </c>
      <c r="D140" s="227" t="s">
        <v>153</v>
      </c>
      <c r="E140" s="241" t="s">
        <v>154</v>
      </c>
      <c r="F140" s="241" t="s">
        <v>155</v>
      </c>
      <c r="G140" s="241" t="s">
        <v>371</v>
      </c>
      <c r="H140" s="241" t="s">
        <v>372</v>
      </c>
      <c r="I140" s="241" t="s">
        <v>386</v>
      </c>
      <c r="J140" s="241" t="s">
        <v>387</v>
      </c>
      <c r="K140" s="241" t="s">
        <v>388</v>
      </c>
      <c r="L140" s="241" t="s">
        <v>389</v>
      </c>
      <c r="M140" s="241" t="s">
        <v>390</v>
      </c>
      <c r="N140" s="241" t="s">
        <v>391</v>
      </c>
    </row>
    <row r="141" spans="1:14" x14ac:dyDescent="0.2">
      <c r="C141" s="523"/>
      <c r="D141" s="518"/>
      <c r="E141" s="536"/>
      <c r="F141" s="536"/>
      <c r="G141" s="536"/>
      <c r="H141" s="536"/>
      <c r="I141" s="536"/>
      <c r="J141" s="536"/>
      <c r="K141" s="536"/>
      <c r="L141" s="536"/>
      <c r="M141" s="163"/>
      <c r="N141" s="556" t="s">
        <v>714</v>
      </c>
    </row>
    <row r="142" spans="1:14" x14ac:dyDescent="0.2">
      <c r="C142" s="171"/>
      <c r="D142" s="227"/>
      <c r="E142" s="241"/>
      <c r="F142" s="536"/>
      <c r="G142" s="536"/>
      <c r="H142" s="536"/>
      <c r="I142" s="536"/>
      <c r="J142" s="536"/>
      <c r="K142" s="536"/>
      <c r="L142" s="536"/>
      <c r="M142" s="536"/>
      <c r="N142" s="163"/>
    </row>
    <row r="143" spans="1:14" x14ac:dyDescent="0.2">
      <c r="C143" s="207" t="s">
        <v>715</v>
      </c>
      <c r="D143" s="227">
        <v>350.1</v>
      </c>
      <c r="E143" s="241">
        <v>350.2</v>
      </c>
      <c r="F143" s="241">
        <v>352</v>
      </c>
      <c r="G143" s="241">
        <v>353</v>
      </c>
      <c r="H143" s="241">
        <v>354</v>
      </c>
      <c r="I143" s="241">
        <v>355</v>
      </c>
      <c r="J143" s="241">
        <v>356</v>
      </c>
      <c r="K143" s="241">
        <v>357</v>
      </c>
      <c r="L143" s="241">
        <v>358</v>
      </c>
      <c r="M143" s="241">
        <v>359</v>
      </c>
      <c r="N143" s="207" t="s">
        <v>325</v>
      </c>
    </row>
    <row r="144" spans="1:14" x14ac:dyDescent="0.2">
      <c r="A144" s="166">
        <f>A136+1</f>
        <v>69</v>
      </c>
      <c r="C144" s="528" t="s">
        <v>717</v>
      </c>
      <c r="D144" s="529">
        <v>0</v>
      </c>
      <c r="E144" s="529">
        <f t="shared" ref="E144:M155" si="17">E111*(E$136/E$123)</f>
        <v>-7290.0406339799238</v>
      </c>
      <c r="F144" s="573">
        <f t="shared" si="17"/>
        <v>662513.78031144885</v>
      </c>
      <c r="G144" s="573">
        <f t="shared" si="17"/>
        <v>19576971.529176921</v>
      </c>
      <c r="H144" s="573">
        <f t="shared" si="17"/>
        <v>-18218325.368386235</v>
      </c>
      <c r="I144" s="529">
        <f t="shared" si="17"/>
        <v>2844113.0250522005</v>
      </c>
      <c r="J144" s="573">
        <f t="shared" si="17"/>
        <v>21365782.838656686</v>
      </c>
      <c r="K144" s="529">
        <f t="shared" si="17"/>
        <v>-9668.0383014835443</v>
      </c>
      <c r="L144" s="529">
        <f t="shared" si="17"/>
        <v>241955.15062824904</v>
      </c>
      <c r="M144" s="573">
        <f t="shared" si="17"/>
        <v>-3966284.416003501</v>
      </c>
      <c r="N144" s="573">
        <f t="shared" ref="N144:N155" si="18">SUM(D144:M144)</f>
        <v>22489768.460500307</v>
      </c>
    </row>
    <row r="145" spans="1:14" x14ac:dyDescent="0.2">
      <c r="A145" s="166">
        <f t="shared" ref="A145:A156" si="19">A144+1</f>
        <v>70</v>
      </c>
      <c r="C145" s="531" t="s">
        <v>718</v>
      </c>
      <c r="D145" s="529">
        <v>0</v>
      </c>
      <c r="E145" s="529">
        <f t="shared" si="17"/>
        <v>-8745.935135754471</v>
      </c>
      <c r="F145" s="573">
        <f t="shared" si="17"/>
        <v>-111614.93616508812</v>
      </c>
      <c r="G145" s="573">
        <f t="shared" si="17"/>
        <v>4006877.7837312743</v>
      </c>
      <c r="H145" s="573">
        <f t="shared" si="17"/>
        <v>-10910943.115861861</v>
      </c>
      <c r="I145" s="529">
        <f t="shared" si="17"/>
        <v>-3193649.8846270228</v>
      </c>
      <c r="J145" s="573">
        <f t="shared" si="17"/>
        <v>13401217.355431717</v>
      </c>
      <c r="K145" s="529">
        <f t="shared" si="17"/>
        <v>-12746.118794362894</v>
      </c>
      <c r="L145" s="529">
        <f t="shared" si="17"/>
        <v>274159.0955923876</v>
      </c>
      <c r="M145" s="573">
        <f t="shared" si="17"/>
        <v>-1194135.0717525769</v>
      </c>
      <c r="N145" s="573">
        <f t="shared" si="18"/>
        <v>2250419.1724187117</v>
      </c>
    </row>
    <row r="146" spans="1:14" x14ac:dyDescent="0.2">
      <c r="A146" s="166">
        <f t="shared" si="19"/>
        <v>71</v>
      </c>
      <c r="C146" s="531" t="s">
        <v>719</v>
      </c>
      <c r="D146" s="529">
        <v>0</v>
      </c>
      <c r="E146" s="529">
        <f t="shared" si="17"/>
        <v>-5063.0008297051827</v>
      </c>
      <c r="F146" s="573">
        <f t="shared" si="17"/>
        <v>-326263.06329672632</v>
      </c>
      <c r="G146" s="573">
        <f t="shared" si="17"/>
        <v>5437039.1065539904</v>
      </c>
      <c r="H146" s="573">
        <f t="shared" si="17"/>
        <v>3476055.6387161347</v>
      </c>
      <c r="I146" s="529">
        <f t="shared" si="17"/>
        <v>-6600842.6467802618</v>
      </c>
      <c r="J146" s="573">
        <f t="shared" si="17"/>
        <v>-28862066.173597798</v>
      </c>
      <c r="K146" s="529">
        <f t="shared" si="17"/>
        <v>-14441.112443914801</v>
      </c>
      <c r="L146" s="529">
        <f t="shared" si="17"/>
        <v>404189.14631460764</v>
      </c>
      <c r="M146" s="573">
        <f t="shared" si="17"/>
        <v>3913882.7800126285</v>
      </c>
      <c r="N146" s="573">
        <f t="shared" si="18"/>
        <v>-22577509.325351045</v>
      </c>
    </row>
    <row r="147" spans="1:14" x14ac:dyDescent="0.2">
      <c r="A147" s="166">
        <f t="shared" si="19"/>
        <v>72</v>
      </c>
      <c r="C147" s="528" t="s">
        <v>756</v>
      </c>
      <c r="D147" s="529">
        <v>0</v>
      </c>
      <c r="E147" s="529">
        <f t="shared" si="17"/>
        <v>-5059.9419073710651</v>
      </c>
      <c r="F147" s="573">
        <f t="shared" si="17"/>
        <v>242978.48337129282</v>
      </c>
      <c r="G147" s="573">
        <f t="shared" si="17"/>
        <v>4491599.5603078231</v>
      </c>
      <c r="H147" s="573">
        <f t="shared" si="17"/>
        <v>-2370539.5178886745</v>
      </c>
      <c r="I147" s="529">
        <f t="shared" si="17"/>
        <v>880950.09792604577</v>
      </c>
      <c r="J147" s="573">
        <f t="shared" si="17"/>
        <v>623190.16448242508</v>
      </c>
      <c r="K147" s="529">
        <f t="shared" si="17"/>
        <v>-11410.298314877902</v>
      </c>
      <c r="L147" s="529">
        <f t="shared" si="17"/>
        <v>252570.97966716575</v>
      </c>
      <c r="M147" s="573">
        <f t="shared" si="17"/>
        <v>-284115.37032029981</v>
      </c>
      <c r="N147" s="573">
        <f t="shared" si="18"/>
        <v>3820164.1573235295</v>
      </c>
    </row>
    <row r="148" spans="1:14" x14ac:dyDescent="0.2">
      <c r="A148" s="166">
        <f t="shared" si="19"/>
        <v>73</v>
      </c>
      <c r="C148" s="531" t="s">
        <v>721</v>
      </c>
      <c r="D148" s="529">
        <v>0</v>
      </c>
      <c r="E148" s="529">
        <f t="shared" si="17"/>
        <v>-5070.2964039842991</v>
      </c>
      <c r="F148" s="573">
        <f t="shared" si="17"/>
        <v>290034.38669079775</v>
      </c>
      <c r="G148" s="573">
        <f t="shared" si="17"/>
        <v>2855682.2966802106</v>
      </c>
      <c r="H148" s="573">
        <f t="shared" si="17"/>
        <v>-1987550.0117090428</v>
      </c>
      <c r="I148" s="529">
        <f t="shared" si="17"/>
        <v>-1502996.3409982249</v>
      </c>
      <c r="J148" s="573">
        <f t="shared" si="17"/>
        <v>-21130190.080385961</v>
      </c>
      <c r="K148" s="529">
        <f t="shared" si="17"/>
        <v>-1633.762129030132</v>
      </c>
      <c r="L148" s="529">
        <f t="shared" si="17"/>
        <v>11878.153469813475</v>
      </c>
      <c r="M148" s="573">
        <f t="shared" si="17"/>
        <v>-220766.46382362425</v>
      </c>
      <c r="N148" s="573">
        <f t="shared" si="18"/>
        <v>-21690612.118609048</v>
      </c>
    </row>
    <row r="149" spans="1:14" x14ac:dyDescent="0.2">
      <c r="A149" s="166">
        <f t="shared" si="19"/>
        <v>74</v>
      </c>
      <c r="C149" s="531" t="s">
        <v>722</v>
      </c>
      <c r="D149" s="529">
        <v>0</v>
      </c>
      <c r="E149" s="529">
        <f t="shared" si="17"/>
        <v>-33.287450803574039</v>
      </c>
      <c r="F149" s="573">
        <f t="shared" si="17"/>
        <v>178626.30305187707</v>
      </c>
      <c r="G149" s="573">
        <f t="shared" si="17"/>
        <v>13520059.381139016</v>
      </c>
      <c r="H149" s="573">
        <f t="shared" si="17"/>
        <v>-3464967.0790522522</v>
      </c>
      <c r="I149" s="529">
        <f t="shared" si="17"/>
        <v>-1626830.1982563091</v>
      </c>
      <c r="J149" s="573">
        <f t="shared" si="17"/>
        <v>6486785.9345517149</v>
      </c>
      <c r="K149" s="529">
        <f t="shared" si="17"/>
        <v>-7600.8701262408149</v>
      </c>
      <c r="L149" s="529">
        <f t="shared" si="17"/>
        <v>203045.83341677458</v>
      </c>
      <c r="M149" s="573">
        <f t="shared" si="17"/>
        <v>-665342.78436788393</v>
      </c>
      <c r="N149" s="573">
        <f t="shared" si="18"/>
        <v>14623743.232905896</v>
      </c>
    </row>
    <row r="150" spans="1:14" x14ac:dyDescent="0.2">
      <c r="A150" s="166">
        <f t="shared" si="19"/>
        <v>75</v>
      </c>
      <c r="C150" s="528" t="s">
        <v>723</v>
      </c>
      <c r="D150" s="529">
        <v>0</v>
      </c>
      <c r="E150" s="529">
        <f t="shared" si="17"/>
        <v>-10472.616814407129</v>
      </c>
      <c r="F150" s="573">
        <f t="shared" si="17"/>
        <v>768695.9161911062</v>
      </c>
      <c r="G150" s="573">
        <f t="shared" si="17"/>
        <v>4095118.1330818511</v>
      </c>
      <c r="H150" s="573">
        <f t="shared" si="17"/>
        <v>-4215757.9018333713</v>
      </c>
      <c r="I150" s="529">
        <f t="shared" si="17"/>
        <v>-172121.24207931393</v>
      </c>
      <c r="J150" s="573">
        <f t="shared" si="17"/>
        <v>-2399021.3915206324</v>
      </c>
      <c r="K150" s="529">
        <f t="shared" si="17"/>
        <v>-14734.611057867969</v>
      </c>
      <c r="L150" s="529">
        <f t="shared" si="17"/>
        <v>280343.54655338125</v>
      </c>
      <c r="M150" s="573">
        <f t="shared" si="17"/>
        <v>-97809.537456220482</v>
      </c>
      <c r="N150" s="573">
        <f t="shared" si="18"/>
        <v>-1765759.704935475</v>
      </c>
    </row>
    <row r="151" spans="1:14" x14ac:dyDescent="0.2">
      <c r="A151" s="166">
        <f t="shared" si="19"/>
        <v>76</v>
      </c>
      <c r="C151" s="531" t="s">
        <v>724</v>
      </c>
      <c r="D151" s="529">
        <v>0</v>
      </c>
      <c r="E151" s="529">
        <f t="shared" si="17"/>
        <v>-27166.225039352001</v>
      </c>
      <c r="F151" s="573">
        <f t="shared" si="17"/>
        <v>-202879.8407020467</v>
      </c>
      <c r="G151" s="573">
        <f t="shared" si="17"/>
        <v>-19314023.542391263</v>
      </c>
      <c r="H151" s="573">
        <f t="shared" si="17"/>
        <v>-1998275.9905596443</v>
      </c>
      <c r="I151" s="529">
        <f t="shared" si="17"/>
        <v>-3844943.3472471107</v>
      </c>
      <c r="J151" s="573">
        <f t="shared" si="17"/>
        <v>-1097883.5721978531</v>
      </c>
      <c r="K151" s="529">
        <f t="shared" si="17"/>
        <v>-12940.769356887015</v>
      </c>
      <c r="L151" s="529">
        <f t="shared" si="17"/>
        <v>228884.09306406265</v>
      </c>
      <c r="M151" s="573">
        <f t="shared" si="17"/>
        <v>-401846.84620431357</v>
      </c>
      <c r="N151" s="573">
        <f t="shared" si="18"/>
        <v>-26671076.040634409</v>
      </c>
    </row>
    <row r="152" spans="1:14" x14ac:dyDescent="0.2">
      <c r="A152" s="166">
        <f t="shared" si="19"/>
        <v>77</v>
      </c>
      <c r="C152" s="531" t="s">
        <v>725</v>
      </c>
      <c r="D152" s="529">
        <v>0</v>
      </c>
      <c r="E152" s="529">
        <f t="shared" si="17"/>
        <v>-8644.5872122233977</v>
      </c>
      <c r="F152" s="573">
        <f t="shared" si="17"/>
        <v>-174282.79496602621</v>
      </c>
      <c r="G152" s="573">
        <f t="shared" si="17"/>
        <v>3985158.2888016123</v>
      </c>
      <c r="H152" s="573">
        <f t="shared" si="17"/>
        <v>-2769657.2005545669</v>
      </c>
      <c r="I152" s="529">
        <f t="shared" si="17"/>
        <v>1550074.3596029866</v>
      </c>
      <c r="J152" s="573">
        <f t="shared" si="17"/>
        <v>-5193897.0101186335</v>
      </c>
      <c r="K152" s="529">
        <f t="shared" si="17"/>
        <v>-15505.514324744858</v>
      </c>
      <c r="L152" s="529">
        <f t="shared" si="17"/>
        <v>220801.91602926663</v>
      </c>
      <c r="M152" s="573">
        <f t="shared" si="17"/>
        <v>3428086.2926732884</v>
      </c>
      <c r="N152" s="573">
        <f t="shared" si="18"/>
        <v>1022133.7499309587</v>
      </c>
    </row>
    <row r="153" spans="1:14" x14ac:dyDescent="0.2">
      <c r="A153" s="166">
        <f t="shared" si="19"/>
        <v>78</v>
      </c>
      <c r="C153" s="528" t="s">
        <v>726</v>
      </c>
      <c r="D153" s="529">
        <v>0</v>
      </c>
      <c r="E153" s="529">
        <f t="shared" si="17"/>
        <v>-9215.610760559819</v>
      </c>
      <c r="F153" s="573">
        <f t="shared" si="17"/>
        <v>321537.12482073199</v>
      </c>
      <c r="G153" s="573">
        <f t="shared" si="17"/>
        <v>10636006.291286245</v>
      </c>
      <c r="H153" s="573">
        <f t="shared" si="17"/>
        <v>13938410.198958503</v>
      </c>
      <c r="I153" s="529">
        <f t="shared" si="17"/>
        <v>-5663613.432320538</v>
      </c>
      <c r="J153" s="573">
        <f t="shared" si="17"/>
        <v>-10812404.551519262</v>
      </c>
      <c r="K153" s="529">
        <f t="shared" si="17"/>
        <v>-14665.909529748556</v>
      </c>
      <c r="L153" s="529">
        <f t="shared" si="17"/>
        <v>243845.89542171685</v>
      </c>
      <c r="M153" s="573">
        <f t="shared" si="17"/>
        <v>15907.234794117039</v>
      </c>
      <c r="N153" s="573">
        <f t="shared" si="18"/>
        <v>8655807.2411512043</v>
      </c>
    </row>
    <row r="154" spans="1:14" x14ac:dyDescent="0.2">
      <c r="A154" s="166">
        <f t="shared" si="19"/>
        <v>79</v>
      </c>
      <c r="C154" s="528" t="s">
        <v>727</v>
      </c>
      <c r="D154" s="529">
        <v>0</v>
      </c>
      <c r="E154" s="529">
        <f t="shared" si="17"/>
        <v>-17230.901290709735</v>
      </c>
      <c r="F154" s="573">
        <f t="shared" si="17"/>
        <v>-257185.60641446494</v>
      </c>
      <c r="G154" s="573">
        <f t="shared" si="17"/>
        <v>-15331929.412403874</v>
      </c>
      <c r="H154" s="573">
        <f t="shared" si="17"/>
        <v>-3543403.1956583243</v>
      </c>
      <c r="I154" s="529">
        <f t="shared" si="17"/>
        <v>2739020.2529150411</v>
      </c>
      <c r="J154" s="573">
        <f t="shared" si="17"/>
        <v>15993522.525353054</v>
      </c>
      <c r="K154" s="529">
        <f t="shared" si="17"/>
        <v>-15635.670876291413</v>
      </c>
      <c r="L154" s="529">
        <f t="shared" si="17"/>
        <v>272566.67972439702</v>
      </c>
      <c r="M154" s="573">
        <f t="shared" si="17"/>
        <v>3252.5639893261182</v>
      </c>
      <c r="N154" s="573">
        <f t="shared" si="18"/>
        <v>-157022.76466184779</v>
      </c>
    </row>
    <row r="155" spans="1:14" x14ac:dyDescent="0.2">
      <c r="A155" s="166">
        <f t="shared" si="19"/>
        <v>80</v>
      </c>
      <c r="C155" s="531" t="s">
        <v>728</v>
      </c>
      <c r="D155" s="181">
        <v>0</v>
      </c>
      <c r="E155" s="534">
        <f t="shared" si="17"/>
        <v>-8178.8097293815108</v>
      </c>
      <c r="F155" s="575">
        <f t="shared" si="17"/>
        <v>-3848263.9597632857</v>
      </c>
      <c r="G155" s="575">
        <f t="shared" si="17"/>
        <v>-67759937.404998124</v>
      </c>
      <c r="H155" s="575">
        <f t="shared" si="17"/>
        <v>-2689005.3131392314</v>
      </c>
      <c r="I155" s="534">
        <f t="shared" si="17"/>
        <v>5580705.9427042846</v>
      </c>
      <c r="J155" s="575">
        <f t="shared" si="17"/>
        <v>2009651.2348162828</v>
      </c>
      <c r="K155" s="534">
        <f t="shared" si="17"/>
        <v>-14755.553860859747</v>
      </c>
      <c r="L155" s="534">
        <f t="shared" si="17"/>
        <v>135189.02953140571</v>
      </c>
      <c r="M155" s="575">
        <f t="shared" si="17"/>
        <v>-31214.03953778572</v>
      </c>
      <c r="N155" s="575">
        <f t="shared" si="18"/>
        <v>-66625808.873976693</v>
      </c>
    </row>
    <row r="156" spans="1:14" x14ac:dyDescent="0.2">
      <c r="A156" s="166">
        <f t="shared" si="19"/>
        <v>81</v>
      </c>
      <c r="C156" s="535" t="s">
        <v>166</v>
      </c>
      <c r="D156" s="527">
        <f>SUM(D144:D155)</f>
        <v>0</v>
      </c>
      <c r="E156" s="529">
        <f t="shared" ref="E156:M156" si="20">SUM(E144:E155)</f>
        <v>-112171.25320823211</v>
      </c>
      <c r="F156" s="573">
        <f t="shared" si="20"/>
        <v>-2456104.2068703836</v>
      </c>
      <c r="G156" s="573">
        <f t="shared" si="20"/>
        <v>-33801377.989034317</v>
      </c>
      <c r="H156" s="573">
        <f t="shared" si="20"/>
        <v>-34753958.856968567</v>
      </c>
      <c r="I156" s="529">
        <f t="shared" si="20"/>
        <v>-9010133.4141082242</v>
      </c>
      <c r="J156" s="573">
        <f t="shared" si="20"/>
        <v>-9615312.7260482591</v>
      </c>
      <c r="K156" s="529">
        <f t="shared" si="20"/>
        <v>-145738.22911630964</v>
      </c>
      <c r="L156" s="529">
        <f t="shared" si="20"/>
        <v>2769429.5194132286</v>
      </c>
      <c r="M156" s="573">
        <f t="shared" si="20"/>
        <v>499614.34200315422</v>
      </c>
      <c r="N156" s="573">
        <f>SUM(N144:N155)</f>
        <v>-86625752.813937902</v>
      </c>
    </row>
    <row r="157" spans="1:14" x14ac:dyDescent="0.2">
      <c r="E157" s="163"/>
      <c r="F157" s="163"/>
      <c r="G157" s="163"/>
      <c r="H157" s="163"/>
      <c r="I157" s="163"/>
      <c r="J157" s="163"/>
      <c r="K157" s="163"/>
      <c r="L157" s="163"/>
      <c r="M157" s="163"/>
      <c r="N157" s="163"/>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2013 True Up TRR)&amp;RTO12 Draft Annual Update
Attachment 4
WP-Schedule 3-One Time Adj True Up Adj
Page &amp;P of &amp;N</oddHeader>
    <oddFooter>&amp;R&amp;A</oddFooter>
  </headerFooter>
  <rowBreaks count="3" manualBreakCount="3">
    <brk id="36" max="16383" man="1"/>
    <brk id="84" max="16383" man="1"/>
    <brk id="124"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6"/>
  <dimension ref="A1:M428"/>
  <sheetViews>
    <sheetView zoomScale="110" zoomScaleNormal="110" workbookViewId="0">
      <selection activeCell="D16" sqref="D16"/>
    </sheetView>
  </sheetViews>
  <sheetFormatPr defaultRowHeight="12.75" x14ac:dyDescent="0.2"/>
  <cols>
    <col min="1" max="1" width="4.7109375" style="163" customWidth="1"/>
    <col min="2" max="2" width="12.7109375" customWidth="1"/>
    <col min="3" max="3" width="8.7109375" customWidth="1"/>
    <col min="4" max="4" width="15.140625" bestFit="1" customWidth="1"/>
    <col min="5" max="5" width="18.7109375" customWidth="1"/>
    <col min="6" max="6" width="16.140625" customWidth="1"/>
    <col min="7" max="7" width="13.42578125" customWidth="1"/>
    <col min="8" max="8" width="13.5703125" bestFit="1" customWidth="1"/>
    <col min="9" max="9" width="17.140625" customWidth="1"/>
    <col min="10" max="10" width="15.42578125" customWidth="1"/>
    <col min="11" max="11" width="17.28515625" customWidth="1"/>
    <col min="12" max="12" width="14.7109375" style="163" bestFit="1" customWidth="1"/>
    <col min="13" max="13" width="13.140625" bestFit="1" customWidth="1"/>
  </cols>
  <sheetData>
    <row r="1" spans="1:12" x14ac:dyDescent="0.2">
      <c r="A1" s="183" t="s">
        <v>367</v>
      </c>
      <c r="K1" s="162"/>
    </row>
    <row r="2" spans="1:12" x14ac:dyDescent="0.2">
      <c r="A2" s="183"/>
      <c r="K2" s="162"/>
    </row>
    <row r="3" spans="1:12" x14ac:dyDescent="0.2">
      <c r="A3" s="183"/>
      <c r="B3" s="223" t="s">
        <v>368</v>
      </c>
      <c r="K3" s="162"/>
    </row>
    <row r="4" spans="1:12" x14ac:dyDescent="0.2">
      <c r="B4" s="223" t="s">
        <v>369</v>
      </c>
      <c r="K4" s="162"/>
      <c r="L4" s="174"/>
    </row>
    <row r="5" spans="1:12" x14ac:dyDescent="0.2">
      <c r="B5" s="223"/>
      <c r="K5" s="162"/>
    </row>
    <row r="6" spans="1:12" x14ac:dyDescent="0.2">
      <c r="A6" s="174"/>
      <c r="B6" s="162" t="s">
        <v>370</v>
      </c>
      <c r="K6" s="162"/>
    </row>
    <row r="7" spans="1:12" x14ac:dyDescent="0.2">
      <c r="A7" s="174"/>
      <c r="B7" s="162"/>
      <c r="D7" s="227" t="s">
        <v>152</v>
      </c>
      <c r="E7" s="227" t="s">
        <v>153</v>
      </c>
      <c r="F7" s="227" t="s">
        <v>154</v>
      </c>
      <c r="G7" s="227" t="s">
        <v>155</v>
      </c>
      <c r="H7" s="227" t="s">
        <v>371</v>
      </c>
      <c r="I7" s="227" t="s">
        <v>372</v>
      </c>
      <c r="J7" s="241"/>
      <c r="K7" s="162"/>
      <c r="L7" s="241"/>
    </row>
    <row r="8" spans="1:12" x14ac:dyDescent="0.2">
      <c r="D8" s="591" t="s">
        <v>373</v>
      </c>
      <c r="J8" s="163"/>
      <c r="K8" s="163"/>
    </row>
    <row r="9" spans="1:12" x14ac:dyDescent="0.2">
      <c r="D9" s="238" t="s">
        <v>374</v>
      </c>
      <c r="J9" s="163"/>
      <c r="K9" s="163"/>
    </row>
    <row r="10" spans="1:12" x14ac:dyDescent="0.2">
      <c r="B10" s="166"/>
      <c r="J10" s="163"/>
      <c r="K10" s="163"/>
    </row>
    <row r="11" spans="1:12" x14ac:dyDescent="0.2">
      <c r="B11" s="166"/>
      <c r="D11" s="166" t="s">
        <v>1</v>
      </c>
      <c r="F11" s="166" t="s">
        <v>375</v>
      </c>
      <c r="G11" s="166" t="s">
        <v>376</v>
      </c>
      <c r="H11" s="166"/>
      <c r="I11" s="166"/>
      <c r="J11" s="171"/>
      <c r="K11" s="223"/>
    </row>
    <row r="12" spans="1:12" ht="13.5" thickBot="1" x14ac:dyDescent="0.25">
      <c r="A12" s="208" t="s">
        <v>296</v>
      </c>
      <c r="B12" s="57" t="s">
        <v>16</v>
      </c>
      <c r="C12" s="57" t="s">
        <v>17</v>
      </c>
      <c r="D12" s="170" t="s">
        <v>377</v>
      </c>
      <c r="E12" s="170" t="s">
        <v>378</v>
      </c>
      <c r="F12" s="170" t="s">
        <v>379</v>
      </c>
      <c r="G12" s="170" t="s">
        <v>380</v>
      </c>
      <c r="H12" s="170" t="s">
        <v>381</v>
      </c>
      <c r="I12" s="170" t="s">
        <v>382</v>
      </c>
      <c r="J12" s="207"/>
      <c r="K12" s="223"/>
    </row>
    <row r="13" spans="1:12" x14ac:dyDescent="0.2">
      <c r="A13" s="171">
        <v>1</v>
      </c>
      <c r="B13" s="58" t="s">
        <v>6</v>
      </c>
      <c r="C13" s="371">
        <v>2012</v>
      </c>
      <c r="D13" s="179">
        <f>SUM(E13:I13)+SUM(D33:G33)</f>
        <v>1695912000.2639215</v>
      </c>
      <c r="E13" s="592">
        <v>786298777.73778844</v>
      </c>
      <c r="F13" s="593">
        <v>536220864.63999993</v>
      </c>
      <c r="G13" s="460">
        <v>149796433.14000002</v>
      </c>
      <c r="H13" s="244">
        <v>-69617.340000000084</v>
      </c>
      <c r="I13" s="244">
        <v>150902784.00999999</v>
      </c>
      <c r="J13" s="594"/>
    </row>
    <row r="14" spans="1:12" x14ac:dyDescent="0.2">
      <c r="A14" s="171">
        <f>A13+1</f>
        <v>2</v>
      </c>
      <c r="B14" s="58" t="s">
        <v>7</v>
      </c>
      <c r="C14" s="371">
        <v>2013</v>
      </c>
      <c r="D14" s="179">
        <f t="shared" ref="D14:D25" si="0">SUM(E14:I14)+SUM(D34:G34)</f>
        <v>1607194998.9399784</v>
      </c>
      <c r="E14" s="592">
        <v>654626488.20778847</v>
      </c>
      <c r="F14" s="595">
        <v>551186555.98999989</v>
      </c>
      <c r="G14" s="244">
        <v>166736571.89000002</v>
      </c>
      <c r="H14" s="244">
        <v>-271.80000000004657</v>
      </c>
      <c r="I14" s="244">
        <v>156695267.03</v>
      </c>
      <c r="J14" s="594"/>
    </row>
    <row r="15" spans="1:12" ht="13.5" thickBot="1" x14ac:dyDescent="0.25">
      <c r="A15" s="171">
        <f t="shared" ref="A15:A26" si="1">A14+1</f>
        <v>3</v>
      </c>
      <c r="B15" s="53" t="s">
        <v>8</v>
      </c>
      <c r="C15" s="371">
        <v>2013</v>
      </c>
      <c r="D15" s="179">
        <f t="shared" si="0"/>
        <v>1702584426.2864184</v>
      </c>
      <c r="E15" s="592">
        <v>668208268.31778848</v>
      </c>
      <c r="F15" s="596">
        <v>573480988.92999995</v>
      </c>
      <c r="G15" s="244">
        <v>205282284.75000003</v>
      </c>
      <c r="H15" s="244">
        <v>-271.80000000004657</v>
      </c>
      <c r="I15" s="244">
        <v>171632705.76999998</v>
      </c>
      <c r="J15" s="594"/>
    </row>
    <row r="16" spans="1:12" x14ac:dyDescent="0.2">
      <c r="A16" s="171">
        <f t="shared" si="1"/>
        <v>4</v>
      </c>
      <c r="B16" s="53" t="s">
        <v>18</v>
      </c>
      <c r="C16" s="371">
        <v>2013</v>
      </c>
      <c r="D16" s="179">
        <f t="shared" si="0"/>
        <v>1853491906.2162375</v>
      </c>
      <c r="E16" s="592">
        <v>704556754.28778839</v>
      </c>
      <c r="F16" s="460">
        <v>615124221.41999984</v>
      </c>
      <c r="G16" s="244">
        <v>255663322.12</v>
      </c>
      <c r="H16" s="244">
        <v>-271.80000000004657</v>
      </c>
      <c r="I16" s="244">
        <v>187680892.25</v>
      </c>
      <c r="J16" s="594"/>
    </row>
    <row r="17" spans="1:11" x14ac:dyDescent="0.2">
      <c r="A17" s="171">
        <f t="shared" si="1"/>
        <v>5</v>
      </c>
      <c r="B17" s="58" t="s">
        <v>9</v>
      </c>
      <c r="C17" s="371">
        <v>2013</v>
      </c>
      <c r="D17" s="179">
        <f t="shared" si="0"/>
        <v>1959786275.7898803</v>
      </c>
      <c r="E17" s="592">
        <v>725107817.98778844</v>
      </c>
      <c r="F17" s="460">
        <v>659788250.59000003</v>
      </c>
      <c r="G17" s="244">
        <v>283256721.71999997</v>
      </c>
      <c r="H17" s="244">
        <v>0</v>
      </c>
      <c r="I17" s="244">
        <v>195384322.04999998</v>
      </c>
      <c r="J17" s="594"/>
    </row>
    <row r="18" spans="1:11" x14ac:dyDescent="0.2">
      <c r="A18" s="171">
        <f t="shared" si="1"/>
        <v>6</v>
      </c>
      <c r="B18" s="53" t="s">
        <v>10</v>
      </c>
      <c r="C18" s="371">
        <v>2013</v>
      </c>
      <c r="D18" s="179">
        <f t="shared" si="0"/>
        <v>1736839213.894897</v>
      </c>
      <c r="E18" s="592">
        <v>699297921.97489655</v>
      </c>
      <c r="F18" s="460">
        <v>667957348.31000018</v>
      </c>
      <c r="G18" s="244">
        <v>68340811.930000007</v>
      </c>
      <c r="H18" s="244">
        <v>0</v>
      </c>
      <c r="I18" s="244">
        <v>197765940.92999998</v>
      </c>
      <c r="J18" s="594"/>
    </row>
    <row r="19" spans="1:11" x14ac:dyDescent="0.2">
      <c r="A19" s="171">
        <f t="shared" si="1"/>
        <v>7</v>
      </c>
      <c r="B19" s="53" t="s">
        <v>383</v>
      </c>
      <c r="C19" s="371">
        <v>2013</v>
      </c>
      <c r="D19" s="173">
        <f t="shared" si="0"/>
        <v>1147015309.1497037</v>
      </c>
      <c r="E19" s="592">
        <v>766830327.78970349</v>
      </c>
      <c r="F19" s="460">
        <v>277979431.62999994</v>
      </c>
      <c r="G19" s="244">
        <v>42336313.120000012</v>
      </c>
      <c r="H19" s="244">
        <v>0</v>
      </c>
      <c r="I19" s="244">
        <v>15380904.16</v>
      </c>
      <c r="J19" s="594"/>
    </row>
    <row r="20" spans="1:11" x14ac:dyDescent="0.2">
      <c r="A20" s="171">
        <f t="shared" si="1"/>
        <v>8</v>
      </c>
      <c r="B20" s="58" t="s">
        <v>11</v>
      </c>
      <c r="C20" s="371">
        <v>2013</v>
      </c>
      <c r="D20" s="173">
        <f t="shared" si="0"/>
        <v>1134299634.2654362</v>
      </c>
      <c r="E20" s="592">
        <v>779612991.1354363</v>
      </c>
      <c r="F20" s="460">
        <v>287032715.12999994</v>
      </c>
      <c r="G20" s="244">
        <v>345739.58999999973</v>
      </c>
      <c r="H20" s="244">
        <v>0</v>
      </c>
      <c r="I20" s="244">
        <v>15630582.35</v>
      </c>
      <c r="J20" s="594"/>
    </row>
    <row r="21" spans="1:11" x14ac:dyDescent="0.2">
      <c r="A21" s="171">
        <f t="shared" si="1"/>
        <v>9</v>
      </c>
      <c r="B21" s="53" t="s">
        <v>12</v>
      </c>
      <c r="C21" s="371">
        <v>2013</v>
      </c>
      <c r="D21" s="173">
        <f t="shared" si="0"/>
        <v>1079829623.0800002</v>
      </c>
      <c r="E21" s="592">
        <v>713463845.35000002</v>
      </c>
      <c r="F21" s="460">
        <v>297606595.59999996</v>
      </c>
      <c r="G21" s="244">
        <v>348972.06999999995</v>
      </c>
      <c r="H21" s="244">
        <v>0</v>
      </c>
      <c r="I21" s="244">
        <v>16878097.719999999</v>
      </c>
      <c r="J21" s="594"/>
    </row>
    <row r="22" spans="1:11" x14ac:dyDescent="0.2">
      <c r="A22" s="171">
        <f t="shared" si="1"/>
        <v>10</v>
      </c>
      <c r="B22" s="53" t="s">
        <v>13</v>
      </c>
      <c r="C22" s="371">
        <v>2013</v>
      </c>
      <c r="D22" s="173">
        <f t="shared" si="0"/>
        <v>854696572.94393086</v>
      </c>
      <c r="E22" s="592">
        <v>729727854.05000007</v>
      </c>
      <c r="F22" s="460">
        <v>60018500.469999991</v>
      </c>
      <c r="G22" s="244">
        <v>0</v>
      </c>
      <c r="H22" s="244">
        <v>0</v>
      </c>
      <c r="I22" s="244">
        <v>17776373.240000002</v>
      </c>
      <c r="J22" s="594"/>
    </row>
    <row r="23" spans="1:11" x14ac:dyDescent="0.2">
      <c r="A23" s="171">
        <f t="shared" si="1"/>
        <v>11</v>
      </c>
      <c r="B23" s="58" t="s">
        <v>384</v>
      </c>
      <c r="C23" s="371">
        <v>2013</v>
      </c>
      <c r="D23" s="173">
        <f t="shared" si="0"/>
        <v>880355010.08000004</v>
      </c>
      <c r="E23" s="592">
        <v>749979398.30000007</v>
      </c>
      <c r="F23" s="460">
        <v>57254582.280000001</v>
      </c>
      <c r="G23" s="244">
        <v>0</v>
      </c>
      <c r="H23" s="244">
        <v>0</v>
      </c>
      <c r="I23" s="244">
        <v>18999388.950000003</v>
      </c>
      <c r="J23" s="594"/>
    </row>
    <row r="24" spans="1:11" x14ac:dyDescent="0.2">
      <c r="A24" s="171">
        <f t="shared" si="1"/>
        <v>12</v>
      </c>
      <c r="B24" s="58" t="s">
        <v>14</v>
      </c>
      <c r="C24" s="371">
        <v>2013</v>
      </c>
      <c r="D24" s="173">
        <f t="shared" si="0"/>
        <v>876251427.43586063</v>
      </c>
      <c r="E24" s="592">
        <v>748434281.66999996</v>
      </c>
      <c r="F24" s="460">
        <v>48251307.189999998</v>
      </c>
      <c r="G24" s="244">
        <v>0</v>
      </c>
      <c r="H24" s="244">
        <v>0</v>
      </c>
      <c r="I24" s="244">
        <v>19569225.810000002</v>
      </c>
      <c r="J24" s="594"/>
    </row>
    <row r="25" spans="1:11" x14ac:dyDescent="0.2">
      <c r="A25" s="171">
        <f t="shared" si="1"/>
        <v>13</v>
      </c>
      <c r="B25" s="58" t="s">
        <v>6</v>
      </c>
      <c r="C25" s="371">
        <v>2013</v>
      </c>
      <c r="D25" s="181">
        <f t="shared" si="0"/>
        <v>893284315.11037898</v>
      </c>
      <c r="E25" s="597">
        <v>815393483.95000005</v>
      </c>
      <c r="F25" s="533">
        <v>1912227.5699999947</v>
      </c>
      <c r="G25" s="555">
        <v>0</v>
      </c>
      <c r="H25" s="555">
        <v>0</v>
      </c>
      <c r="I25" s="555">
        <v>10206388.680000002</v>
      </c>
      <c r="J25" s="594"/>
    </row>
    <row r="26" spans="1:11" x14ac:dyDescent="0.2">
      <c r="A26" s="171">
        <f t="shared" si="1"/>
        <v>14</v>
      </c>
      <c r="B26" s="58"/>
      <c r="C26" s="378" t="s">
        <v>385</v>
      </c>
      <c r="D26" s="598">
        <f t="shared" ref="D26:I26" si="2">SUM(D13:D25)/13</f>
        <v>1340118516.4197421</v>
      </c>
      <c r="E26" s="599">
        <f>SUM(E13:E25)/13</f>
        <v>733964477.7506907</v>
      </c>
      <c r="F26" s="598">
        <f t="shared" si="2"/>
        <v>356447199.21153843</v>
      </c>
      <c r="G26" s="599">
        <f t="shared" si="2"/>
        <v>90162090.025384635</v>
      </c>
      <c r="H26" s="599">
        <f t="shared" si="2"/>
        <v>-5417.903076923094</v>
      </c>
      <c r="I26" s="599">
        <f t="shared" si="2"/>
        <v>90346374.842307672</v>
      </c>
      <c r="J26" s="594"/>
      <c r="K26" s="594"/>
    </row>
    <row r="27" spans="1:11" x14ac:dyDescent="0.2">
      <c r="A27" s="171"/>
      <c r="B27" s="58"/>
      <c r="C27" s="378"/>
      <c r="D27" s="599"/>
      <c r="E27" s="599"/>
      <c r="F27" s="599"/>
      <c r="G27" s="599"/>
      <c r="H27" s="599"/>
      <c r="I27" s="594"/>
      <c r="J27" s="247"/>
      <c r="K27" s="594"/>
    </row>
    <row r="28" spans="1:11" x14ac:dyDescent="0.2">
      <c r="A28" s="171"/>
      <c r="B28" s="58"/>
      <c r="C28" s="378"/>
      <c r="D28" s="227" t="s">
        <v>386</v>
      </c>
      <c r="E28" s="227" t="s">
        <v>387</v>
      </c>
      <c r="F28" s="227" t="s">
        <v>388</v>
      </c>
      <c r="G28" s="227" t="s">
        <v>389</v>
      </c>
      <c r="H28" s="227" t="s">
        <v>390</v>
      </c>
      <c r="I28" s="227" t="s">
        <v>391</v>
      </c>
      <c r="J28" s="247"/>
      <c r="K28" s="594"/>
    </row>
    <row r="29" spans="1:11" x14ac:dyDescent="0.2">
      <c r="A29" s="171"/>
      <c r="B29" s="58"/>
      <c r="C29" s="378"/>
      <c r="E29" s="600" t="s">
        <v>392</v>
      </c>
      <c r="F29" s="600"/>
      <c r="G29" s="600"/>
      <c r="H29" s="599"/>
      <c r="I29" s="594"/>
      <c r="J29" s="247"/>
      <c r="K29" s="594"/>
    </row>
    <row r="30" spans="1:11" x14ac:dyDescent="0.2">
      <c r="B30" s="166"/>
      <c r="D30" s="166" t="s">
        <v>393</v>
      </c>
      <c r="E30" s="166" t="s">
        <v>394</v>
      </c>
      <c r="F30" s="600"/>
      <c r="G30" s="600"/>
      <c r="H30" s="599"/>
      <c r="I30" s="594"/>
      <c r="J30" s="247"/>
      <c r="K30" s="594"/>
    </row>
    <row r="31" spans="1:11" x14ac:dyDescent="0.2">
      <c r="B31" s="166"/>
      <c r="D31" s="166" t="s">
        <v>333</v>
      </c>
      <c r="E31" s="166" t="s">
        <v>333</v>
      </c>
      <c r="F31" s="600" t="s">
        <v>395</v>
      </c>
      <c r="G31" s="600" t="s">
        <v>396</v>
      </c>
      <c r="H31" s="599"/>
      <c r="I31" s="594"/>
      <c r="J31" s="594"/>
      <c r="K31" s="594"/>
    </row>
    <row r="32" spans="1:11" ht="13.5" thickBot="1" x14ac:dyDescent="0.25">
      <c r="A32" s="208" t="s">
        <v>296</v>
      </c>
      <c r="B32" s="57" t="s">
        <v>16</v>
      </c>
      <c r="C32" s="57" t="s">
        <v>17</v>
      </c>
      <c r="D32" s="170" t="s">
        <v>397</v>
      </c>
      <c r="E32" s="170" t="s">
        <v>397</v>
      </c>
      <c r="F32" s="601" t="s">
        <v>398</v>
      </c>
      <c r="G32" s="601" t="s">
        <v>399</v>
      </c>
      <c r="H32" s="602"/>
      <c r="I32" s="602"/>
      <c r="J32" s="594"/>
      <c r="K32" s="594"/>
    </row>
    <row r="33" spans="1:11" x14ac:dyDescent="0.2">
      <c r="A33" s="171">
        <f>+A26+1</f>
        <v>15</v>
      </c>
      <c r="B33" s="58" t="s">
        <v>6</v>
      </c>
      <c r="C33" s="371">
        <v>2012</v>
      </c>
      <c r="D33" s="244">
        <v>3256743.08</v>
      </c>
      <c r="E33" s="593">
        <v>47651133.539999999</v>
      </c>
      <c r="F33" s="244">
        <v>10360459.710000001</v>
      </c>
      <c r="G33" s="244">
        <v>11494421.74613302</v>
      </c>
      <c r="H33" s="603" t="s">
        <v>400</v>
      </c>
      <c r="I33" s="603" t="s">
        <v>400</v>
      </c>
      <c r="J33" s="594"/>
      <c r="K33" s="594"/>
    </row>
    <row r="34" spans="1:11" x14ac:dyDescent="0.2">
      <c r="A34" s="171">
        <f>A33+1</f>
        <v>16</v>
      </c>
      <c r="B34" s="58" t="s">
        <v>7</v>
      </c>
      <c r="C34" s="371">
        <v>2013</v>
      </c>
      <c r="D34" s="244">
        <v>3423150.79</v>
      </c>
      <c r="E34" s="595">
        <v>50783972.200000003</v>
      </c>
      <c r="F34" s="244">
        <v>11741050.370000001</v>
      </c>
      <c r="G34" s="244">
        <v>12002214.262189943</v>
      </c>
      <c r="H34" s="603" t="s">
        <v>400</v>
      </c>
      <c r="I34" s="603" t="s">
        <v>400</v>
      </c>
      <c r="J34" s="594"/>
      <c r="K34" s="594"/>
    </row>
    <row r="35" spans="1:11" x14ac:dyDescent="0.2">
      <c r="A35" s="171">
        <f t="shared" ref="A35:A46" si="3">A34+1</f>
        <v>17</v>
      </c>
      <c r="B35" s="53" t="s">
        <v>8</v>
      </c>
      <c r="C35" s="371">
        <v>2013</v>
      </c>
      <c r="D35" s="244">
        <v>3643390.8</v>
      </c>
      <c r="E35" s="595">
        <v>54900722.740000002</v>
      </c>
      <c r="F35" s="244">
        <v>12726027.33</v>
      </c>
      <c r="G35" s="244">
        <v>12710309.448630039</v>
      </c>
      <c r="H35" s="603" t="s">
        <v>400</v>
      </c>
      <c r="I35" s="603" t="s">
        <v>400</v>
      </c>
      <c r="J35" s="594"/>
      <c r="K35" s="594"/>
    </row>
    <row r="36" spans="1:11" x14ac:dyDescent="0.2">
      <c r="A36" s="171">
        <f t="shared" si="3"/>
        <v>18</v>
      </c>
      <c r="B36" s="53" t="s">
        <v>18</v>
      </c>
      <c r="C36" s="371">
        <v>2013</v>
      </c>
      <c r="D36" s="244">
        <v>3763575.27</v>
      </c>
      <c r="E36" s="595">
        <v>59679801.329999998</v>
      </c>
      <c r="F36" s="244">
        <v>13657274.010000002</v>
      </c>
      <c r="G36" s="244">
        <v>13366337.328449041</v>
      </c>
      <c r="H36" s="603" t="s">
        <v>400</v>
      </c>
      <c r="I36" s="603" t="s">
        <v>400</v>
      </c>
      <c r="J36" s="594"/>
      <c r="K36" s="594"/>
    </row>
    <row r="37" spans="1:11" x14ac:dyDescent="0.2">
      <c r="A37" s="171">
        <f t="shared" si="3"/>
        <v>19</v>
      </c>
      <c r="B37" s="58" t="s">
        <v>9</v>
      </c>
      <c r="C37" s="371">
        <v>2013</v>
      </c>
      <c r="D37" s="244">
        <v>4089014.0300000003</v>
      </c>
      <c r="E37" s="595">
        <v>61811408.969999999</v>
      </c>
      <c r="F37" s="244">
        <v>15467907.33</v>
      </c>
      <c r="G37" s="244">
        <v>14880833.112091957</v>
      </c>
      <c r="H37" s="603" t="s">
        <v>400</v>
      </c>
      <c r="I37" s="603" t="s">
        <v>400</v>
      </c>
      <c r="J37" s="594"/>
      <c r="K37" s="594"/>
    </row>
    <row r="38" spans="1:11" ht="13.5" thickBot="1" x14ac:dyDescent="0.25">
      <c r="A38" s="171">
        <f t="shared" si="3"/>
        <v>20</v>
      </c>
      <c r="B38" s="53" t="s">
        <v>10</v>
      </c>
      <c r="C38" s="371">
        <v>2013</v>
      </c>
      <c r="D38" s="244">
        <v>4280638.92</v>
      </c>
      <c r="E38" s="596">
        <v>64363660.5</v>
      </c>
      <c r="F38" s="244">
        <v>16339565.680000002</v>
      </c>
      <c r="G38" s="244">
        <v>18493325.650000002</v>
      </c>
      <c r="H38" s="603" t="s">
        <v>400</v>
      </c>
      <c r="I38" s="603" t="s">
        <v>400</v>
      </c>
      <c r="J38" s="594"/>
      <c r="K38" s="594"/>
    </row>
    <row r="39" spans="1:11" x14ac:dyDescent="0.2">
      <c r="A39" s="171">
        <f t="shared" si="3"/>
        <v>21</v>
      </c>
      <c r="B39" s="53" t="s">
        <v>383</v>
      </c>
      <c r="C39" s="371">
        <v>2013</v>
      </c>
      <c r="D39" s="244">
        <v>7193642.8500000006</v>
      </c>
      <c r="E39" s="460">
        <v>317199.57</v>
      </c>
      <c r="F39" s="244">
        <v>17251573.859999999</v>
      </c>
      <c r="G39" s="244">
        <v>19725916.170000002</v>
      </c>
      <c r="H39" s="603" t="s">
        <v>400</v>
      </c>
      <c r="I39" s="603" t="s">
        <v>400</v>
      </c>
      <c r="J39" s="594"/>
      <c r="K39" s="594"/>
    </row>
    <row r="40" spans="1:11" x14ac:dyDescent="0.2">
      <c r="A40" s="171">
        <f t="shared" si="3"/>
        <v>22</v>
      </c>
      <c r="B40" s="58" t="s">
        <v>11</v>
      </c>
      <c r="C40" s="371">
        <v>2013</v>
      </c>
      <c r="D40" s="244">
        <v>12980103.320000002</v>
      </c>
      <c r="E40" s="460">
        <v>-124402.22</v>
      </c>
      <c r="F40" s="244">
        <v>18472008.739999998</v>
      </c>
      <c r="G40" s="244">
        <v>20349896.220000003</v>
      </c>
      <c r="H40" s="603" t="s">
        <v>400</v>
      </c>
      <c r="I40" s="603" t="s">
        <v>400</v>
      </c>
      <c r="J40" s="594"/>
      <c r="K40" s="594"/>
    </row>
    <row r="41" spans="1:11" x14ac:dyDescent="0.2">
      <c r="A41" s="171">
        <f t="shared" si="3"/>
        <v>23</v>
      </c>
      <c r="B41" s="53" t="s">
        <v>12</v>
      </c>
      <c r="C41" s="371">
        <v>2013</v>
      </c>
      <c r="D41" s="244">
        <v>10881002.760000002</v>
      </c>
      <c r="E41" s="460">
        <v>-124402.22</v>
      </c>
      <c r="F41" s="244">
        <v>19529346.310000002</v>
      </c>
      <c r="G41" s="244">
        <v>21246165.490000002</v>
      </c>
      <c r="H41" s="603" t="s">
        <v>400</v>
      </c>
      <c r="I41" s="603" t="s">
        <v>400</v>
      </c>
      <c r="J41" s="594"/>
      <c r="K41" s="594"/>
    </row>
    <row r="42" spans="1:11" x14ac:dyDescent="0.2">
      <c r="A42" s="171">
        <f t="shared" si="3"/>
        <v>24</v>
      </c>
      <c r="B42" s="53" t="s">
        <v>13</v>
      </c>
      <c r="C42" s="371">
        <v>2013</v>
      </c>
      <c r="D42" s="244">
        <v>8174644.6699999999</v>
      </c>
      <c r="E42" s="460">
        <v>-6252.0600000000268</v>
      </c>
      <c r="F42" s="244">
        <v>20290201.030000001</v>
      </c>
      <c r="G42" s="244">
        <v>18715251.543930776</v>
      </c>
      <c r="H42" s="603" t="s">
        <v>400</v>
      </c>
      <c r="I42" s="603" t="s">
        <v>400</v>
      </c>
      <c r="J42" s="594"/>
      <c r="K42" s="594"/>
    </row>
    <row r="43" spans="1:11" x14ac:dyDescent="0.2">
      <c r="A43" s="171">
        <f t="shared" si="3"/>
        <v>25</v>
      </c>
      <c r="B43" s="58" t="s">
        <v>384</v>
      </c>
      <c r="C43" s="371">
        <v>2013</v>
      </c>
      <c r="D43" s="244">
        <v>9544324.3100000005</v>
      </c>
      <c r="E43" s="460">
        <v>0</v>
      </c>
      <c r="F43" s="244">
        <v>20994034.940000001</v>
      </c>
      <c r="G43" s="244">
        <v>23583281.300000004</v>
      </c>
      <c r="H43" s="603" t="s">
        <v>400</v>
      </c>
      <c r="I43" s="603" t="s">
        <v>400</v>
      </c>
      <c r="J43" s="594"/>
      <c r="K43" s="594"/>
    </row>
    <row r="44" spans="1:11" x14ac:dyDescent="0.2">
      <c r="A44" s="171">
        <f t="shared" si="3"/>
        <v>26</v>
      </c>
      <c r="B44" s="58" t="s">
        <v>14</v>
      </c>
      <c r="C44" s="371">
        <v>2013</v>
      </c>
      <c r="D44" s="244">
        <v>18124450.859999999</v>
      </c>
      <c r="E44" s="460">
        <v>0</v>
      </c>
      <c r="F44" s="244">
        <v>21474094.280000001</v>
      </c>
      <c r="G44" s="244">
        <v>20398067.62586081</v>
      </c>
      <c r="H44" s="603" t="s">
        <v>400</v>
      </c>
      <c r="I44" s="603" t="s">
        <v>400</v>
      </c>
      <c r="J44" s="594"/>
      <c r="K44" s="594"/>
    </row>
    <row r="45" spans="1:11" x14ac:dyDescent="0.2">
      <c r="A45" s="171">
        <f t="shared" si="3"/>
        <v>27</v>
      </c>
      <c r="B45" s="58" t="s">
        <v>6</v>
      </c>
      <c r="C45" s="371">
        <v>2013</v>
      </c>
      <c r="D45" s="555">
        <v>21945221.93</v>
      </c>
      <c r="E45" s="533">
        <v>0</v>
      </c>
      <c r="F45" s="555">
        <v>22710040.250000004</v>
      </c>
      <c r="G45" s="555">
        <v>21116952.730378974</v>
      </c>
      <c r="H45" s="603" t="s">
        <v>400</v>
      </c>
      <c r="I45" s="603" t="s">
        <v>400</v>
      </c>
      <c r="J45" s="594"/>
      <c r="K45" s="594"/>
    </row>
    <row r="46" spans="1:11" x14ac:dyDescent="0.2">
      <c r="A46" s="171">
        <f t="shared" si="3"/>
        <v>28</v>
      </c>
      <c r="B46" s="58"/>
      <c r="C46" s="378" t="s">
        <v>385</v>
      </c>
      <c r="D46" s="599">
        <f>SUM(D33:D45)/13</f>
        <v>8561531.0453846157</v>
      </c>
      <c r="E46" s="598">
        <f>SUM(E33:E45)/13</f>
        <v>26096372.488461532</v>
      </c>
      <c r="F46" s="599">
        <f>SUM(F33:F45)/13</f>
        <v>17001044.910769232</v>
      </c>
      <c r="G46" s="599">
        <f>SUM(G33:G45)/13</f>
        <v>17544844.048281893</v>
      </c>
      <c r="H46" s="604" t="s">
        <v>400</v>
      </c>
      <c r="I46" s="604" t="s">
        <v>400</v>
      </c>
      <c r="J46" s="594"/>
      <c r="K46" s="594"/>
    </row>
    <row r="48" spans="1:11" x14ac:dyDescent="0.2">
      <c r="B48" s="388" t="s">
        <v>401</v>
      </c>
    </row>
    <row r="49" spans="1:13" x14ac:dyDescent="0.2">
      <c r="B49" s="388"/>
      <c r="D49" s="605" t="s">
        <v>152</v>
      </c>
      <c r="E49" s="605" t="s">
        <v>153</v>
      </c>
      <c r="F49" s="605" t="s">
        <v>154</v>
      </c>
      <c r="G49" s="605" t="s">
        <v>155</v>
      </c>
      <c r="H49" s="605" t="s">
        <v>371</v>
      </c>
      <c r="I49" s="605" t="s">
        <v>372</v>
      </c>
      <c r="J49" s="605" t="s">
        <v>386</v>
      </c>
      <c r="K49" s="605" t="s">
        <v>387</v>
      </c>
    </row>
    <row r="50" spans="1:13" s="607" customFormat="1" x14ac:dyDescent="0.2">
      <c r="A50" s="606"/>
      <c r="D50" s="591" t="s">
        <v>402</v>
      </c>
      <c r="E50" s="591" t="s">
        <v>402</v>
      </c>
      <c r="F50" s="591" t="s">
        <v>402</v>
      </c>
      <c r="G50" s="591" t="s">
        <v>402</v>
      </c>
      <c r="H50" s="591" t="s">
        <v>402</v>
      </c>
      <c r="I50" s="591" t="s">
        <v>402</v>
      </c>
      <c r="J50" s="591" t="s">
        <v>402</v>
      </c>
      <c r="K50" s="591" t="s">
        <v>402</v>
      </c>
      <c r="L50" s="606"/>
    </row>
    <row r="51" spans="1:13" x14ac:dyDescent="0.2">
      <c r="G51" s="166" t="s">
        <v>403</v>
      </c>
      <c r="K51" s="608"/>
    </row>
    <row r="52" spans="1:13" x14ac:dyDescent="0.2">
      <c r="A52" s="608"/>
      <c r="B52" s="608"/>
      <c r="C52" s="608"/>
      <c r="D52" s="608" t="s">
        <v>404</v>
      </c>
      <c r="E52" s="608" t="s">
        <v>405</v>
      </c>
      <c r="F52" s="608" t="s">
        <v>406</v>
      </c>
      <c r="G52" s="608" t="s">
        <v>325</v>
      </c>
      <c r="H52" s="608" t="s">
        <v>407</v>
      </c>
      <c r="I52" s="609" t="s">
        <v>408</v>
      </c>
      <c r="J52" s="608" t="s">
        <v>404</v>
      </c>
      <c r="K52" s="608" t="s">
        <v>409</v>
      </c>
    </row>
    <row r="53" spans="1:13" x14ac:dyDescent="0.2">
      <c r="A53" s="208" t="s">
        <v>296</v>
      </c>
      <c r="B53" s="57" t="s">
        <v>16</v>
      </c>
      <c r="C53" s="57" t="s">
        <v>17</v>
      </c>
      <c r="D53" s="605" t="s">
        <v>410</v>
      </c>
      <c r="E53" s="605" t="s">
        <v>411</v>
      </c>
      <c r="F53" s="605" t="s">
        <v>412</v>
      </c>
      <c r="G53" s="605" t="s">
        <v>413</v>
      </c>
      <c r="H53" s="605" t="s">
        <v>414</v>
      </c>
      <c r="I53" s="605" t="s">
        <v>415</v>
      </c>
      <c r="J53" s="605" t="s">
        <v>416</v>
      </c>
      <c r="K53" s="170" t="s">
        <v>417</v>
      </c>
    </row>
    <row r="54" spans="1:13" x14ac:dyDescent="0.2">
      <c r="A54" s="171">
        <f>A46+1</f>
        <v>29</v>
      </c>
      <c r="B54" s="58" t="s">
        <v>6</v>
      </c>
      <c r="C54" s="371">
        <v>2013</v>
      </c>
      <c r="D54" s="610" t="s">
        <v>400</v>
      </c>
      <c r="E54" s="610" t="s">
        <v>400</v>
      </c>
      <c r="F54" s="610" t="s">
        <v>400</v>
      </c>
      <c r="G54" s="610" t="s">
        <v>400</v>
      </c>
      <c r="H54" s="610" t="s">
        <v>400</v>
      </c>
      <c r="I54" s="610" t="s">
        <v>400</v>
      </c>
      <c r="J54" s="221">
        <f>D25</f>
        <v>893284315.11037898</v>
      </c>
      <c r="K54" s="610" t="s">
        <v>400</v>
      </c>
    </row>
    <row r="55" spans="1:13" x14ac:dyDescent="0.2">
      <c r="A55" s="171">
        <f>A54+1</f>
        <v>30</v>
      </c>
      <c r="B55" s="58" t="s">
        <v>7</v>
      </c>
      <c r="C55" s="371">
        <v>2014</v>
      </c>
      <c r="D55" s="221">
        <f t="shared" ref="D55:K70" si="4">D89+D122+D153+D186+D217+D250+D281+D314+D345+D378</f>
        <v>13563515.148199998</v>
      </c>
      <c r="E55" s="221">
        <f t="shared" si="4"/>
        <v>1017263.6361150001</v>
      </c>
      <c r="F55" s="173">
        <f t="shared" si="4"/>
        <v>14580778.784315001</v>
      </c>
      <c r="G55" s="173">
        <f t="shared" si="4"/>
        <v>12810060.830000002</v>
      </c>
      <c r="H55" s="173">
        <f t="shared" si="4"/>
        <v>6951533.1100000031</v>
      </c>
      <c r="I55" s="173">
        <f t="shared" si="4"/>
        <v>439389.57899999997</v>
      </c>
      <c r="J55" s="173">
        <f t="shared" si="4"/>
        <v>894615643.48569393</v>
      </c>
      <c r="K55" s="173">
        <f t="shared" si="4"/>
        <v>1331328.3753150236</v>
      </c>
      <c r="L55" s="395"/>
      <c r="M55" s="221"/>
    </row>
    <row r="56" spans="1:13" x14ac:dyDescent="0.2">
      <c r="A56" s="171">
        <f t="shared" ref="A56:A79" si="5">A55+1</f>
        <v>31</v>
      </c>
      <c r="B56" s="53" t="s">
        <v>8</v>
      </c>
      <c r="C56" s="371">
        <v>2014</v>
      </c>
      <c r="D56" s="221">
        <f t="shared" si="4"/>
        <v>27387693.095600005</v>
      </c>
      <c r="E56" s="221">
        <f t="shared" si="4"/>
        <v>2054076.9821700007</v>
      </c>
      <c r="F56" s="173">
        <f t="shared" si="4"/>
        <v>29441770.077770006</v>
      </c>
      <c r="G56" s="173">
        <f t="shared" si="4"/>
        <v>3025487.2299999995</v>
      </c>
      <c r="H56" s="173">
        <f t="shared" si="4"/>
        <v>0</v>
      </c>
      <c r="I56" s="173">
        <f t="shared" si="4"/>
        <v>226911.54224999997</v>
      </c>
      <c r="J56" s="173">
        <f t="shared" si="4"/>
        <v>920805014.79121387</v>
      </c>
      <c r="K56" s="173">
        <f t="shared" si="4"/>
        <v>27520699.680834956</v>
      </c>
      <c r="L56" s="395"/>
      <c r="M56" s="221"/>
    </row>
    <row r="57" spans="1:13" x14ac:dyDescent="0.2">
      <c r="A57" s="171">
        <f t="shared" si="5"/>
        <v>32</v>
      </c>
      <c r="B57" s="53" t="s">
        <v>18</v>
      </c>
      <c r="C57" s="371">
        <v>2014</v>
      </c>
      <c r="D57" s="221">
        <f t="shared" si="4"/>
        <v>25898071.849746667</v>
      </c>
      <c r="E57" s="221">
        <f t="shared" si="4"/>
        <v>1942355.388731</v>
      </c>
      <c r="F57" s="173">
        <f t="shared" si="4"/>
        <v>27840427.23847767</v>
      </c>
      <c r="G57" s="173">
        <f t="shared" si="4"/>
        <v>293125103.21999997</v>
      </c>
      <c r="H57" s="173">
        <f t="shared" si="4"/>
        <v>281317278.48999995</v>
      </c>
      <c r="I57" s="173">
        <f t="shared" si="4"/>
        <v>885586.85474999936</v>
      </c>
      <c r="J57" s="173">
        <f t="shared" si="4"/>
        <v>654634751.95494163</v>
      </c>
      <c r="K57" s="173">
        <f t="shared" si="4"/>
        <v>-238649563.15543729</v>
      </c>
      <c r="L57" s="395"/>
      <c r="M57" s="221"/>
    </row>
    <row r="58" spans="1:13" x14ac:dyDescent="0.2">
      <c r="A58" s="171">
        <f t="shared" si="5"/>
        <v>33</v>
      </c>
      <c r="B58" s="58" t="s">
        <v>9</v>
      </c>
      <c r="C58" s="371">
        <v>2014</v>
      </c>
      <c r="D58" s="221">
        <f t="shared" si="4"/>
        <v>44027763.309568122</v>
      </c>
      <c r="E58" s="221">
        <f t="shared" si="4"/>
        <v>3302082.2482176092</v>
      </c>
      <c r="F58" s="173">
        <f t="shared" si="4"/>
        <v>47329845.557785727</v>
      </c>
      <c r="G58" s="173">
        <f t="shared" si="4"/>
        <v>17798268.280000001</v>
      </c>
      <c r="H58" s="173">
        <f t="shared" si="4"/>
        <v>0</v>
      </c>
      <c r="I58" s="173">
        <f t="shared" si="4"/>
        <v>1334870.1209999998</v>
      </c>
      <c r="J58" s="173">
        <f t="shared" si="4"/>
        <v>682831459.11172736</v>
      </c>
      <c r="K58" s="173">
        <f t="shared" si="4"/>
        <v>-210452855.99865162</v>
      </c>
      <c r="L58" s="395"/>
      <c r="M58" s="221"/>
    </row>
    <row r="59" spans="1:13" x14ac:dyDescent="0.2">
      <c r="A59" s="171">
        <f t="shared" si="5"/>
        <v>34</v>
      </c>
      <c r="B59" s="53" t="s">
        <v>10</v>
      </c>
      <c r="C59" s="371">
        <v>2014</v>
      </c>
      <c r="D59" s="221">
        <f t="shared" si="4"/>
        <v>59472530.767401449</v>
      </c>
      <c r="E59" s="221">
        <f t="shared" si="4"/>
        <v>4460439.8075551083</v>
      </c>
      <c r="F59" s="173">
        <f t="shared" si="4"/>
        <v>63932970.574956551</v>
      </c>
      <c r="G59" s="173">
        <f t="shared" si="4"/>
        <v>8201450</v>
      </c>
      <c r="H59" s="173">
        <f t="shared" si="4"/>
        <v>0</v>
      </c>
      <c r="I59" s="173">
        <f t="shared" si="4"/>
        <v>615108.75</v>
      </c>
      <c r="J59" s="173">
        <f t="shared" si="4"/>
        <v>737947870.93668389</v>
      </c>
      <c r="K59" s="173">
        <f t="shared" si="4"/>
        <v>-155336444.173695</v>
      </c>
      <c r="L59" s="395"/>
      <c r="M59" s="221"/>
    </row>
    <row r="60" spans="1:13" x14ac:dyDescent="0.2">
      <c r="A60" s="171">
        <f t="shared" si="5"/>
        <v>35</v>
      </c>
      <c r="B60" s="53" t="s">
        <v>25</v>
      </c>
      <c r="C60" s="371">
        <v>2014</v>
      </c>
      <c r="D60" s="221">
        <f t="shared" si="4"/>
        <v>53571917.085311458</v>
      </c>
      <c r="E60" s="221">
        <f t="shared" si="4"/>
        <v>4017893.7813983588</v>
      </c>
      <c r="F60" s="173">
        <f t="shared" si="4"/>
        <v>57589810.866709813</v>
      </c>
      <c r="G60" s="173">
        <f t="shared" si="4"/>
        <v>9261450</v>
      </c>
      <c r="H60" s="173">
        <f t="shared" si="4"/>
        <v>0</v>
      </c>
      <c r="I60" s="173">
        <f t="shared" si="4"/>
        <v>694608.75</v>
      </c>
      <c r="J60" s="173">
        <f t="shared" si="4"/>
        <v>785581623.05339372</v>
      </c>
      <c r="K60" s="173">
        <f t="shared" si="4"/>
        <v>-107702692.0569852</v>
      </c>
      <c r="L60" s="395"/>
      <c r="M60" s="221"/>
    </row>
    <row r="61" spans="1:13" x14ac:dyDescent="0.2">
      <c r="A61" s="171">
        <f t="shared" si="5"/>
        <v>36</v>
      </c>
      <c r="B61" s="58" t="s">
        <v>11</v>
      </c>
      <c r="C61" s="371">
        <v>2014</v>
      </c>
      <c r="D61" s="221">
        <f t="shared" si="4"/>
        <v>51874051.218739465</v>
      </c>
      <c r="E61" s="221">
        <f t="shared" si="4"/>
        <v>3890553.8414054597</v>
      </c>
      <c r="F61" s="173">
        <f t="shared" si="4"/>
        <v>55764605.060144924</v>
      </c>
      <c r="G61" s="173">
        <f t="shared" si="4"/>
        <v>30497122.730000004</v>
      </c>
      <c r="H61" s="173">
        <f t="shared" si="4"/>
        <v>22630286.590000004</v>
      </c>
      <c r="I61" s="173">
        <f t="shared" si="4"/>
        <v>590012.71050000004</v>
      </c>
      <c r="J61" s="173">
        <f t="shared" si="4"/>
        <v>810259092.67303872</v>
      </c>
      <c r="K61" s="173">
        <f t="shared" si="4"/>
        <v>-83025222.437340289</v>
      </c>
      <c r="L61" s="395"/>
      <c r="M61" s="221"/>
    </row>
    <row r="62" spans="1:13" x14ac:dyDescent="0.2">
      <c r="A62" s="171">
        <f t="shared" si="5"/>
        <v>37</v>
      </c>
      <c r="B62" s="53" t="s">
        <v>12</v>
      </c>
      <c r="C62" s="371">
        <v>2014</v>
      </c>
      <c r="D62" s="221">
        <f t="shared" si="4"/>
        <v>49924639.612159468</v>
      </c>
      <c r="E62" s="221">
        <f t="shared" si="4"/>
        <v>3744347.9709119601</v>
      </c>
      <c r="F62" s="173">
        <f t="shared" si="4"/>
        <v>53668987.583071426</v>
      </c>
      <c r="G62" s="173">
        <f t="shared" si="4"/>
        <v>7472450</v>
      </c>
      <c r="H62" s="173">
        <f t="shared" si="4"/>
        <v>0</v>
      </c>
      <c r="I62" s="173">
        <f t="shared" si="4"/>
        <v>560433.75</v>
      </c>
      <c r="J62" s="173">
        <f t="shared" si="4"/>
        <v>855895196.50611019</v>
      </c>
      <c r="K62" s="173">
        <f t="shared" si="4"/>
        <v>-37389118.604268804</v>
      </c>
      <c r="L62" s="395"/>
      <c r="M62" s="221"/>
    </row>
    <row r="63" spans="1:13" x14ac:dyDescent="0.2">
      <c r="A63" s="171">
        <f t="shared" si="5"/>
        <v>38</v>
      </c>
      <c r="B63" s="53" t="s">
        <v>13</v>
      </c>
      <c r="C63" s="371">
        <v>2014</v>
      </c>
      <c r="D63" s="221">
        <f t="shared" si="4"/>
        <v>51945327.812684461</v>
      </c>
      <c r="E63" s="221">
        <f t="shared" si="4"/>
        <v>3895899.5859513348</v>
      </c>
      <c r="F63" s="173">
        <f t="shared" si="4"/>
        <v>55841227.398635805</v>
      </c>
      <c r="G63" s="173">
        <f t="shared" si="4"/>
        <v>14633323.059999999</v>
      </c>
      <c r="H63" s="173">
        <f t="shared" si="4"/>
        <v>3100505.1500000004</v>
      </c>
      <c r="I63" s="173">
        <f t="shared" si="4"/>
        <v>864961.3432499998</v>
      </c>
      <c r="J63" s="173">
        <f t="shared" si="4"/>
        <v>896238139.50149596</v>
      </c>
      <c r="K63" s="173">
        <f t="shared" si="4"/>
        <v>2953824.391117014</v>
      </c>
      <c r="L63" s="395"/>
      <c r="M63" s="221"/>
    </row>
    <row r="64" spans="1:13" x14ac:dyDescent="0.2">
      <c r="A64" s="171">
        <f t="shared" si="5"/>
        <v>39</v>
      </c>
      <c r="B64" s="58" t="s">
        <v>15</v>
      </c>
      <c r="C64" s="371">
        <v>2014</v>
      </c>
      <c r="D64" s="221">
        <f t="shared" si="4"/>
        <v>54247580.015104473</v>
      </c>
      <c r="E64" s="221">
        <f t="shared" si="4"/>
        <v>4068568.5011328347</v>
      </c>
      <c r="F64" s="173">
        <f t="shared" si="4"/>
        <v>58316148.516237304</v>
      </c>
      <c r="G64" s="173">
        <f t="shared" si="4"/>
        <v>10180450</v>
      </c>
      <c r="H64" s="173">
        <f t="shared" si="4"/>
        <v>0</v>
      </c>
      <c r="I64" s="173">
        <f t="shared" si="4"/>
        <v>763533.75</v>
      </c>
      <c r="J64" s="173">
        <f t="shared" si="4"/>
        <v>943610304.26773322</v>
      </c>
      <c r="K64" s="173">
        <f t="shared" si="4"/>
        <v>50325989.15735437</v>
      </c>
      <c r="L64" s="395"/>
      <c r="M64" s="221"/>
    </row>
    <row r="65" spans="1:13" x14ac:dyDescent="0.2">
      <c r="A65" s="171">
        <f t="shared" si="5"/>
        <v>40</v>
      </c>
      <c r="B65" s="58" t="s">
        <v>14</v>
      </c>
      <c r="C65" s="371">
        <v>2014</v>
      </c>
      <c r="D65" s="221">
        <f t="shared" si="4"/>
        <v>54201906.482021123</v>
      </c>
      <c r="E65" s="221">
        <f t="shared" si="4"/>
        <v>4065142.9861515844</v>
      </c>
      <c r="F65" s="173">
        <f t="shared" si="4"/>
        <v>58267049.468172707</v>
      </c>
      <c r="G65" s="173">
        <f t="shared" si="4"/>
        <v>12204450</v>
      </c>
      <c r="H65" s="173">
        <f t="shared" si="4"/>
        <v>0</v>
      </c>
      <c r="I65" s="173">
        <f t="shared" si="4"/>
        <v>915333.75</v>
      </c>
      <c r="J65" s="173">
        <f t="shared" si="4"/>
        <v>988757569.985906</v>
      </c>
      <c r="K65" s="173">
        <f t="shared" si="4"/>
        <v>95473254.875527024</v>
      </c>
      <c r="L65" s="395"/>
      <c r="M65" s="221"/>
    </row>
    <row r="66" spans="1:13" x14ac:dyDescent="0.2">
      <c r="A66" s="171">
        <f t="shared" si="5"/>
        <v>41</v>
      </c>
      <c r="B66" s="58" t="s">
        <v>6</v>
      </c>
      <c r="C66" s="371">
        <v>2014</v>
      </c>
      <c r="D66" s="221">
        <f t="shared" si="4"/>
        <v>58232509.724721126</v>
      </c>
      <c r="E66" s="221">
        <f t="shared" si="4"/>
        <v>4367438.2293540845</v>
      </c>
      <c r="F66" s="173">
        <f t="shared" si="4"/>
        <v>62599947.954075217</v>
      </c>
      <c r="G66" s="173">
        <f t="shared" si="4"/>
        <v>88308164.922000051</v>
      </c>
      <c r="H66" s="173">
        <f t="shared" si="4"/>
        <v>53477263.050000027</v>
      </c>
      <c r="I66" s="173">
        <f t="shared" si="4"/>
        <v>2612317.6404000008</v>
      </c>
      <c r="J66" s="173">
        <f t="shared" si="4"/>
        <v>960437035.37758124</v>
      </c>
      <c r="K66" s="173">
        <f t="shared" si="4"/>
        <v>67152720.267202154</v>
      </c>
      <c r="L66" s="395"/>
      <c r="M66" s="221"/>
    </row>
    <row r="67" spans="1:13" x14ac:dyDescent="0.2">
      <c r="A67" s="171">
        <f t="shared" si="5"/>
        <v>42</v>
      </c>
      <c r="B67" s="58" t="s">
        <v>7</v>
      </c>
      <c r="C67" s="371">
        <v>2015</v>
      </c>
      <c r="D67" s="221">
        <f t="shared" si="4"/>
        <v>55354852.864489526</v>
      </c>
      <c r="E67" s="221">
        <f t="shared" si="4"/>
        <v>4151613.9648367143</v>
      </c>
      <c r="F67" s="173">
        <f t="shared" si="4"/>
        <v>59506466.829326242</v>
      </c>
      <c r="G67" s="173">
        <f t="shared" si="4"/>
        <v>197653445.03199998</v>
      </c>
      <c r="H67" s="173">
        <f t="shared" si="4"/>
        <v>122158503.50999999</v>
      </c>
      <c r="I67" s="173">
        <f t="shared" si="4"/>
        <v>5662120.6141499989</v>
      </c>
      <c r="J67" s="173">
        <f t="shared" si="4"/>
        <v>816627936.56075752</v>
      </c>
      <c r="K67" s="173">
        <f t="shared" si="4"/>
        <v>-76656378.549621537</v>
      </c>
      <c r="L67" s="395"/>
      <c r="M67" s="221"/>
    </row>
    <row r="68" spans="1:13" x14ac:dyDescent="0.2">
      <c r="A68" s="171">
        <f t="shared" si="5"/>
        <v>43</v>
      </c>
      <c r="B68" s="53" t="s">
        <v>8</v>
      </c>
      <c r="C68" s="371">
        <v>2015</v>
      </c>
      <c r="D68" s="221">
        <f t="shared" si="4"/>
        <v>59524998.595952474</v>
      </c>
      <c r="E68" s="221">
        <f t="shared" si="4"/>
        <v>4464374.8946964359</v>
      </c>
      <c r="F68" s="173">
        <f t="shared" si="4"/>
        <v>63989373.49064891</v>
      </c>
      <c r="G68" s="173">
        <f t="shared" si="4"/>
        <v>8103096.8566666674</v>
      </c>
      <c r="H68" s="173">
        <f t="shared" si="4"/>
        <v>2453680.1900000009</v>
      </c>
      <c r="I68" s="173">
        <f t="shared" si="4"/>
        <v>423706.25</v>
      </c>
      <c r="J68" s="173">
        <f t="shared" si="4"/>
        <v>872090506.94473982</v>
      </c>
      <c r="K68" s="173">
        <f t="shared" si="4"/>
        <v>-21193808.165639322</v>
      </c>
      <c r="L68" s="395"/>
      <c r="M68" s="221"/>
    </row>
    <row r="69" spans="1:13" x14ac:dyDescent="0.2">
      <c r="A69" s="171">
        <f t="shared" si="5"/>
        <v>44</v>
      </c>
      <c r="B69" s="53" t="s">
        <v>18</v>
      </c>
      <c r="C69" s="371">
        <v>2015</v>
      </c>
      <c r="D69" s="221">
        <f t="shared" si="4"/>
        <v>59226995.065982632</v>
      </c>
      <c r="E69" s="221">
        <f t="shared" si="4"/>
        <v>4442024.6299486971</v>
      </c>
      <c r="F69" s="173">
        <f t="shared" si="4"/>
        <v>63669019.69593133</v>
      </c>
      <c r="G69" s="173">
        <f t="shared" si="4"/>
        <v>7530416.666666666</v>
      </c>
      <c r="H69" s="173">
        <f t="shared" si="4"/>
        <v>0</v>
      </c>
      <c r="I69" s="173">
        <f t="shared" si="4"/>
        <v>564781.25</v>
      </c>
      <c r="J69" s="173">
        <f t="shared" si="4"/>
        <v>927664328.72400439</v>
      </c>
      <c r="K69" s="173">
        <f t="shared" si="4"/>
        <v>34380013.613625385</v>
      </c>
      <c r="L69" s="395"/>
      <c r="M69" s="221"/>
    </row>
    <row r="70" spans="1:13" x14ac:dyDescent="0.2">
      <c r="A70" s="171">
        <f t="shared" si="5"/>
        <v>45</v>
      </c>
      <c r="B70" s="58" t="s">
        <v>9</v>
      </c>
      <c r="C70" s="371">
        <v>2015</v>
      </c>
      <c r="D70" s="221">
        <f t="shared" si="4"/>
        <v>49113461.292059802</v>
      </c>
      <c r="E70" s="221">
        <f t="shared" si="4"/>
        <v>3683509.5969044855</v>
      </c>
      <c r="F70" s="173">
        <f t="shared" si="4"/>
        <v>52796970.88896428</v>
      </c>
      <c r="G70" s="173">
        <f t="shared" si="4"/>
        <v>1454416.6666666667</v>
      </c>
      <c r="H70" s="173">
        <f t="shared" si="4"/>
        <v>0</v>
      </c>
      <c r="I70" s="173">
        <f t="shared" si="4"/>
        <v>109081.25</v>
      </c>
      <c r="J70" s="173">
        <f t="shared" si="4"/>
        <v>978897801.69630206</v>
      </c>
      <c r="K70" s="173">
        <f t="shared" si="4"/>
        <v>85613486.585923046</v>
      </c>
      <c r="L70" s="395"/>
      <c r="M70" s="221"/>
    </row>
    <row r="71" spans="1:13" x14ac:dyDescent="0.2">
      <c r="A71" s="171">
        <f t="shared" si="5"/>
        <v>46</v>
      </c>
      <c r="B71" s="53" t="s">
        <v>10</v>
      </c>
      <c r="C71" s="371">
        <v>2015</v>
      </c>
      <c r="D71" s="221">
        <f t="shared" ref="D71:K78" si="6">D105+D138+D169+D202+D233+D266+D297+D330+D361+D394</f>
        <v>49141536.484634243</v>
      </c>
      <c r="E71" s="221">
        <f t="shared" si="6"/>
        <v>3685615.2363475682</v>
      </c>
      <c r="F71" s="173">
        <f t="shared" si="6"/>
        <v>52827151.720981814</v>
      </c>
      <c r="G71" s="173">
        <f t="shared" si="6"/>
        <v>753230449.91886675</v>
      </c>
      <c r="H71" s="173">
        <f t="shared" si="6"/>
        <v>340246600.62000006</v>
      </c>
      <c r="I71" s="173">
        <f t="shared" si="6"/>
        <v>30973788.697415002</v>
      </c>
      <c r="J71" s="173">
        <f t="shared" si="6"/>
        <v>247520714.80100214</v>
      </c>
      <c r="K71" s="173">
        <f t="shared" si="6"/>
        <v>-645763600.30937696</v>
      </c>
      <c r="L71" s="395"/>
      <c r="M71" s="221"/>
    </row>
    <row r="72" spans="1:13" x14ac:dyDescent="0.2">
      <c r="A72" s="171">
        <f t="shared" si="5"/>
        <v>47</v>
      </c>
      <c r="B72" s="53" t="s">
        <v>25</v>
      </c>
      <c r="C72" s="371">
        <v>2015</v>
      </c>
      <c r="D72" s="221">
        <f t="shared" si="6"/>
        <v>20790148.390004959</v>
      </c>
      <c r="E72" s="221">
        <f t="shared" si="6"/>
        <v>1559261.1292503718</v>
      </c>
      <c r="F72" s="173">
        <f t="shared" si="6"/>
        <v>22349409.519255329</v>
      </c>
      <c r="G72" s="173">
        <f t="shared" si="6"/>
        <v>1647416.6666666667</v>
      </c>
      <c r="H72" s="173">
        <f t="shared" si="6"/>
        <v>0</v>
      </c>
      <c r="I72" s="173">
        <f t="shared" si="6"/>
        <v>123556.25</v>
      </c>
      <c r="J72" s="173">
        <f t="shared" si="6"/>
        <v>268099151.4035908</v>
      </c>
      <c r="K72" s="173">
        <f t="shared" si="6"/>
        <v>-625185163.70678818</v>
      </c>
      <c r="L72" s="395"/>
      <c r="M72" s="221"/>
    </row>
    <row r="73" spans="1:13" x14ac:dyDescent="0.2">
      <c r="A73" s="171">
        <f t="shared" si="5"/>
        <v>48</v>
      </c>
      <c r="B73" s="58" t="s">
        <v>11</v>
      </c>
      <c r="C73" s="371">
        <v>2015</v>
      </c>
      <c r="D73" s="221">
        <f t="shared" si="6"/>
        <v>19645372.35200496</v>
      </c>
      <c r="E73" s="221">
        <f t="shared" si="6"/>
        <v>1473402.9264003718</v>
      </c>
      <c r="F73" s="173">
        <f t="shared" si="6"/>
        <v>21118775.278405331</v>
      </c>
      <c r="G73" s="173">
        <f t="shared" si="6"/>
        <v>454416.66666666669</v>
      </c>
      <c r="H73" s="173">
        <f t="shared" si="6"/>
        <v>0</v>
      </c>
      <c r="I73" s="173">
        <f t="shared" si="6"/>
        <v>34081.25</v>
      </c>
      <c r="J73" s="173">
        <f t="shared" si="6"/>
        <v>288729428.76532948</v>
      </c>
      <c r="K73" s="173">
        <f t="shared" si="6"/>
        <v>-604554886.34504962</v>
      </c>
      <c r="L73" s="395"/>
      <c r="M73" s="221"/>
    </row>
    <row r="74" spans="1:13" x14ac:dyDescent="0.2">
      <c r="A74" s="171">
        <f t="shared" si="5"/>
        <v>49</v>
      </c>
      <c r="B74" s="53" t="s">
        <v>12</v>
      </c>
      <c r="C74" s="371">
        <v>2015</v>
      </c>
      <c r="D74" s="221">
        <f t="shared" si="6"/>
        <v>24353583.149103619</v>
      </c>
      <c r="E74" s="221">
        <f t="shared" si="6"/>
        <v>1826518.7361827712</v>
      </c>
      <c r="F74" s="173">
        <f t="shared" si="6"/>
        <v>26180101.885286387</v>
      </c>
      <c r="G74" s="173">
        <f t="shared" si="6"/>
        <v>434416.66666666669</v>
      </c>
      <c r="H74" s="173">
        <f t="shared" si="6"/>
        <v>0</v>
      </c>
      <c r="I74" s="173">
        <f t="shared" si="6"/>
        <v>32581.25</v>
      </c>
      <c r="J74" s="173">
        <f t="shared" si="6"/>
        <v>314442532.73394924</v>
      </c>
      <c r="K74" s="173">
        <f t="shared" si="6"/>
        <v>-578841782.37642992</v>
      </c>
      <c r="L74" s="395"/>
      <c r="M74" s="221"/>
    </row>
    <row r="75" spans="1:13" x14ac:dyDescent="0.2">
      <c r="A75" s="171">
        <f t="shared" si="5"/>
        <v>50</v>
      </c>
      <c r="B75" s="53" t="s">
        <v>13</v>
      </c>
      <c r="C75" s="371">
        <v>2015</v>
      </c>
      <c r="D75" s="221">
        <f t="shared" si="6"/>
        <v>23337528.794817902</v>
      </c>
      <c r="E75" s="221">
        <f t="shared" si="6"/>
        <v>1750314.6596113427</v>
      </c>
      <c r="F75" s="173">
        <f t="shared" si="6"/>
        <v>25087843.454429246</v>
      </c>
      <c r="G75" s="173">
        <f t="shared" si="6"/>
        <v>404416.66666666669</v>
      </c>
      <c r="H75" s="173">
        <f t="shared" si="6"/>
        <v>0</v>
      </c>
      <c r="I75" s="173">
        <f t="shared" si="6"/>
        <v>30331.25</v>
      </c>
      <c r="J75" s="173">
        <f t="shared" si="6"/>
        <v>339095628.27171177</v>
      </c>
      <c r="K75" s="188">
        <f t="shared" si="6"/>
        <v>-554188686.83866727</v>
      </c>
      <c r="L75" s="395"/>
      <c r="M75" s="221"/>
    </row>
    <row r="76" spans="1:13" x14ac:dyDescent="0.2">
      <c r="A76" s="171">
        <f t="shared" si="5"/>
        <v>51</v>
      </c>
      <c r="B76" s="53" t="s">
        <v>15</v>
      </c>
      <c r="C76" s="371">
        <v>2015</v>
      </c>
      <c r="D76" s="221">
        <f>D110+D143+D174+D207+D238+D271+D302+D335+D366</f>
        <v>31468059.652913146</v>
      </c>
      <c r="E76" s="221">
        <f>E110+E143+E174+E207+E238+E271+E302+E335+E366+E399</f>
        <v>2360104.4739684858</v>
      </c>
      <c r="F76" s="173">
        <f t="shared" si="6"/>
        <v>33828164.126881622</v>
      </c>
      <c r="G76" s="173">
        <f t="shared" si="6"/>
        <v>2904416.6666666665</v>
      </c>
      <c r="H76" s="173">
        <f t="shared" si="6"/>
        <v>0</v>
      </c>
      <c r="I76" s="173">
        <f t="shared" si="6"/>
        <v>217831.25</v>
      </c>
      <c r="J76" s="173">
        <f t="shared" si="6"/>
        <v>369801544.4819268</v>
      </c>
      <c r="K76" s="188">
        <f t="shared" si="6"/>
        <v>-523482770.6284523</v>
      </c>
      <c r="L76" s="395"/>
      <c r="M76" s="221"/>
    </row>
    <row r="77" spans="1:13" x14ac:dyDescent="0.2">
      <c r="A77" s="171">
        <f t="shared" si="5"/>
        <v>52</v>
      </c>
      <c r="B77" s="53" t="s">
        <v>14</v>
      </c>
      <c r="C77" s="371">
        <v>2015</v>
      </c>
      <c r="D77" s="221">
        <f>D111+D144+D175+D208+D239+D272+D303+D336+D367</f>
        <v>35501233.029398933</v>
      </c>
      <c r="E77" s="221">
        <f>E111+E144+E175+E208+E239+E272+E303+E336+E367+E400</f>
        <v>2662592.4772049203</v>
      </c>
      <c r="F77" s="173">
        <f t="shared" si="6"/>
        <v>38163825.506603852</v>
      </c>
      <c r="G77" s="173">
        <f t="shared" si="6"/>
        <v>2954416.6666666665</v>
      </c>
      <c r="H77" s="173">
        <f t="shared" si="6"/>
        <v>0</v>
      </c>
      <c r="I77" s="173">
        <f t="shared" si="6"/>
        <v>221581.25</v>
      </c>
      <c r="J77" s="173">
        <f t="shared" si="6"/>
        <v>404789372.07186401</v>
      </c>
      <c r="K77" s="188">
        <f t="shared" si="6"/>
        <v>-488494943.03851509</v>
      </c>
      <c r="L77" s="395"/>
      <c r="M77" s="221"/>
    </row>
    <row r="78" spans="1:13" x14ac:dyDescent="0.2">
      <c r="A78" s="171">
        <f t="shared" si="5"/>
        <v>53</v>
      </c>
      <c r="B78" s="53" t="s">
        <v>6</v>
      </c>
      <c r="C78" s="371">
        <v>2015</v>
      </c>
      <c r="D78" s="221">
        <f>D112+D145+D176+D209+D240+D273+D304+D337+D368+D401</f>
        <v>51300813.032174356</v>
      </c>
      <c r="E78" s="221">
        <f>E112+E145+E176+E209+E240+E273+E304+E337+E368+E401</f>
        <v>3847560.9774130764</v>
      </c>
      <c r="F78" s="173">
        <f t="shared" si="6"/>
        <v>55148374.009587437</v>
      </c>
      <c r="G78" s="173">
        <f t="shared" si="6"/>
        <v>23691416.666666668</v>
      </c>
      <c r="H78" s="173">
        <f t="shared" si="6"/>
        <v>0</v>
      </c>
      <c r="I78" s="173">
        <f t="shared" si="6"/>
        <v>1776856.25</v>
      </c>
      <c r="J78" s="173">
        <f t="shared" si="6"/>
        <v>434469473.16478473</v>
      </c>
      <c r="K78" s="181">
        <f>K112+K145+K176+K209+K240+K273+K304+K337+K368+K401</f>
        <v>-458814841.94559437</v>
      </c>
      <c r="L78" s="397"/>
      <c r="M78" s="221"/>
    </row>
    <row r="79" spans="1:13" x14ac:dyDescent="0.2">
      <c r="A79" s="171">
        <f t="shared" si="5"/>
        <v>54</v>
      </c>
      <c r="C79" s="611" t="s">
        <v>418</v>
      </c>
      <c r="K79" s="612">
        <f>AVERAGE(K66:K78)</f>
        <v>-337694664.72595268</v>
      </c>
      <c r="L79" s="400"/>
    </row>
    <row r="81" spans="1:11" x14ac:dyDescent="0.2">
      <c r="B81" s="388" t="s">
        <v>419</v>
      </c>
    </row>
    <row r="82" spans="1:11" s="613" customFormat="1" x14ac:dyDescent="0.2">
      <c r="B82" s="614" t="s">
        <v>420</v>
      </c>
      <c r="D82" s="750" t="s">
        <v>378</v>
      </c>
      <c r="E82" s="750"/>
    </row>
    <row r="83" spans="1:11" s="605" customFormat="1" x14ac:dyDescent="0.2">
      <c r="D83" s="605" t="s">
        <v>152</v>
      </c>
      <c r="E83" s="605" t="s">
        <v>153</v>
      </c>
      <c r="F83" s="605" t="s">
        <v>154</v>
      </c>
      <c r="G83" s="605" t="s">
        <v>155</v>
      </c>
      <c r="H83" s="605" t="s">
        <v>371</v>
      </c>
      <c r="I83" s="605" t="s">
        <v>372</v>
      </c>
      <c r="J83" s="605" t="s">
        <v>386</v>
      </c>
      <c r="K83" s="605" t="s">
        <v>387</v>
      </c>
    </row>
    <row r="84" spans="1:11" s="613" customFormat="1" ht="25.9" customHeight="1" x14ac:dyDescent="0.2">
      <c r="D84" s="615"/>
      <c r="E84" s="616" t="s">
        <v>421</v>
      </c>
      <c r="F84" s="610" t="s">
        <v>422</v>
      </c>
      <c r="G84" s="453"/>
      <c r="H84" s="615"/>
      <c r="I84" s="616" t="s">
        <v>423</v>
      </c>
      <c r="J84" s="616" t="s">
        <v>424</v>
      </c>
      <c r="K84" s="616" t="s">
        <v>425</v>
      </c>
    </row>
    <row r="85" spans="1:11" s="613" customFormat="1" x14ac:dyDescent="0.2">
      <c r="D85" s="615"/>
      <c r="E85" s="617"/>
      <c r="F85" s="617"/>
      <c r="G85" s="166" t="str">
        <f>G51</f>
        <v>Unloaded</v>
      </c>
      <c r="H85" s="615"/>
      <c r="I85" s="617"/>
      <c r="J85" s="617"/>
      <c r="K85" s="166"/>
    </row>
    <row r="86" spans="1:11" s="608" customFormat="1" x14ac:dyDescent="0.2">
      <c r="D86" s="608" t="str">
        <f>D$52</f>
        <v>Forecast</v>
      </c>
      <c r="E86" s="608" t="str">
        <f t="shared" ref="E86:J86" si="7">E$52</f>
        <v>Corporate</v>
      </c>
      <c r="F86" s="608" t="str">
        <f t="shared" si="7"/>
        <v xml:space="preserve">Total </v>
      </c>
      <c r="G86" s="166" t="str">
        <f>G52</f>
        <v>Total</v>
      </c>
      <c r="H86" s="608" t="str">
        <f t="shared" si="7"/>
        <v>Prior Period</v>
      </c>
      <c r="I86" s="608" t="str">
        <f t="shared" si="7"/>
        <v>Over Heads</v>
      </c>
      <c r="J86" s="608" t="str">
        <f t="shared" si="7"/>
        <v>Forecast</v>
      </c>
      <c r="K86" s="166" t="str">
        <f>K$52</f>
        <v>Forecast Period</v>
      </c>
    </row>
    <row r="87" spans="1:11" s="613" customFormat="1" x14ac:dyDescent="0.2">
      <c r="A87" s="208" t="s">
        <v>296</v>
      </c>
      <c r="B87" s="57" t="s">
        <v>16</v>
      </c>
      <c r="C87" s="57" t="s">
        <v>17</v>
      </c>
      <c r="D87" s="605" t="str">
        <f>D$53</f>
        <v>Expenditures</v>
      </c>
      <c r="E87" s="605" t="str">
        <f t="shared" ref="E87:J87" si="8">E$53</f>
        <v>Overheads</v>
      </c>
      <c r="F87" s="605" t="str">
        <f t="shared" si="8"/>
        <v>CWIP Exp</v>
      </c>
      <c r="G87" s="170" t="str">
        <f>G53</f>
        <v>Plant Adds</v>
      </c>
      <c r="H87" s="605" t="str">
        <f t="shared" si="8"/>
        <v>CWIP Closed</v>
      </c>
      <c r="I87" s="605" t="str">
        <f t="shared" si="8"/>
        <v>Closed to PIS</v>
      </c>
      <c r="J87" s="605" t="str">
        <f t="shared" si="8"/>
        <v>Period CWIP</v>
      </c>
      <c r="K87" s="605" t="str">
        <f>K$53</f>
        <v>Incremental CWIP</v>
      </c>
    </row>
    <row r="88" spans="1:11" s="613" customFormat="1" x14ac:dyDescent="0.2">
      <c r="A88" s="171">
        <f>A79+1</f>
        <v>55</v>
      </c>
      <c r="B88" s="58" t="s">
        <v>6</v>
      </c>
      <c r="C88" s="371">
        <v>2013</v>
      </c>
      <c r="D88" s="610" t="s">
        <v>400</v>
      </c>
      <c r="E88" s="610" t="s">
        <v>400</v>
      </c>
      <c r="F88" s="610" t="s">
        <v>400</v>
      </c>
      <c r="G88" s="610" t="s">
        <v>400</v>
      </c>
      <c r="H88" s="610" t="s">
        <v>400</v>
      </c>
      <c r="I88" s="610" t="s">
        <v>400</v>
      </c>
      <c r="J88" s="173">
        <f>E25</f>
        <v>815393483.95000005</v>
      </c>
      <c r="K88" s="610" t="s">
        <v>400</v>
      </c>
    </row>
    <row r="89" spans="1:11" s="613" customFormat="1" x14ac:dyDescent="0.2">
      <c r="A89" s="171">
        <f>A88+1</f>
        <v>56</v>
      </c>
      <c r="B89" s="58" t="s">
        <v>7</v>
      </c>
      <c r="C89" s="371">
        <v>2014</v>
      </c>
      <c r="D89" s="244">
        <v>5615240.3100000005</v>
      </c>
      <c r="E89" s="173">
        <v>421143.02325000003</v>
      </c>
      <c r="F89" s="173">
        <f>E89+D89</f>
        <v>6036383.3332500001</v>
      </c>
      <c r="G89" s="244">
        <v>5514397.709999999</v>
      </c>
      <c r="H89" s="244">
        <v>5317683.8899999987</v>
      </c>
      <c r="I89" s="173">
        <v>14753.536500000022</v>
      </c>
      <c r="J89" s="173">
        <f>J88+F89-G89-I89</f>
        <v>815900716.03675008</v>
      </c>
      <c r="K89" s="173">
        <f>J89-$J$88</f>
        <v>507232.08675003052</v>
      </c>
    </row>
    <row r="90" spans="1:11" s="613" customFormat="1" x14ac:dyDescent="0.2">
      <c r="A90" s="171">
        <f t="shared" ref="A90:A108" si="9">A89+1</f>
        <v>57</v>
      </c>
      <c r="B90" s="53" t="s">
        <v>8</v>
      </c>
      <c r="C90" s="371">
        <v>2014</v>
      </c>
      <c r="D90" s="244">
        <v>22437471.630000006</v>
      </c>
      <c r="E90" s="173">
        <v>1682810.3722500005</v>
      </c>
      <c r="F90" s="173">
        <f t="shared" ref="F90:F112" si="10">E90+D90</f>
        <v>24120282.002250008</v>
      </c>
      <c r="G90" s="244">
        <v>181291.61999999997</v>
      </c>
      <c r="H90" s="244">
        <v>0</v>
      </c>
      <c r="I90" s="173">
        <v>13596.871499999997</v>
      </c>
      <c r="J90" s="173">
        <f t="shared" ref="J90:J108" si="11">J89+F90-G90-I90</f>
        <v>839826109.54750001</v>
      </c>
      <c r="K90" s="173">
        <f t="shared" ref="K90:K112" si="12">J90-$J$88</f>
        <v>24432625.597499967</v>
      </c>
    </row>
    <row r="91" spans="1:11" s="613" customFormat="1" x14ac:dyDescent="0.2">
      <c r="A91" s="171">
        <f t="shared" si="9"/>
        <v>58</v>
      </c>
      <c r="B91" s="53" t="s">
        <v>18</v>
      </c>
      <c r="C91" s="371">
        <v>2014</v>
      </c>
      <c r="D91" s="244">
        <v>15428088.26</v>
      </c>
      <c r="E91" s="173">
        <v>1157106.6195</v>
      </c>
      <c r="F91" s="173">
        <f t="shared" si="10"/>
        <v>16585194.8795</v>
      </c>
      <c r="G91" s="244">
        <v>279689875.02999997</v>
      </c>
      <c r="H91" s="244">
        <v>270832511.45999998</v>
      </c>
      <c r="I91" s="173">
        <v>664302.26774999942</v>
      </c>
      <c r="J91" s="173">
        <f t="shared" si="11"/>
        <v>576057127.12925005</v>
      </c>
      <c r="K91" s="173">
        <f t="shared" si="12"/>
        <v>-239336356.82075</v>
      </c>
    </row>
    <row r="92" spans="1:11" s="613" customFormat="1" x14ac:dyDescent="0.2">
      <c r="A92" s="171">
        <f t="shared" si="9"/>
        <v>59</v>
      </c>
      <c r="B92" s="58" t="s">
        <v>9</v>
      </c>
      <c r="C92" s="371">
        <v>2014</v>
      </c>
      <c r="D92" s="244">
        <v>38655458.920000002</v>
      </c>
      <c r="E92" s="173">
        <v>2899159.4190000002</v>
      </c>
      <c r="F92" s="173">
        <f t="shared" si="10"/>
        <v>41554618.339000002</v>
      </c>
      <c r="G92" s="244">
        <v>15316268.279999999</v>
      </c>
      <c r="H92" s="244">
        <v>0</v>
      </c>
      <c r="I92" s="173">
        <v>1148720.1209999998</v>
      </c>
      <c r="J92" s="173">
        <f t="shared" si="11"/>
        <v>601146757.06725001</v>
      </c>
      <c r="K92" s="173">
        <f t="shared" si="12"/>
        <v>-214246726.88275003</v>
      </c>
    </row>
    <row r="93" spans="1:11" s="613" customFormat="1" x14ac:dyDescent="0.2">
      <c r="A93" s="171">
        <f t="shared" si="9"/>
        <v>60</v>
      </c>
      <c r="B93" s="53" t="s">
        <v>10</v>
      </c>
      <c r="C93" s="371">
        <v>2014</v>
      </c>
      <c r="D93" s="244">
        <v>53902373.377499998</v>
      </c>
      <c r="E93" s="173">
        <v>4042678.0033124997</v>
      </c>
      <c r="F93" s="173">
        <f t="shared" si="10"/>
        <v>57945051.380812496</v>
      </c>
      <c r="G93" s="244">
        <v>5627450</v>
      </c>
      <c r="H93" s="244">
        <v>0</v>
      </c>
      <c r="I93" s="173">
        <v>422058.75</v>
      </c>
      <c r="J93" s="173">
        <f t="shared" si="11"/>
        <v>653042299.69806254</v>
      </c>
      <c r="K93" s="173">
        <f t="shared" si="12"/>
        <v>-162351184.25193751</v>
      </c>
    </row>
    <row r="94" spans="1:11" s="613" customFormat="1" x14ac:dyDescent="0.2">
      <c r="A94" s="171">
        <f t="shared" si="9"/>
        <v>61</v>
      </c>
      <c r="B94" s="53" t="s">
        <v>25</v>
      </c>
      <c r="C94" s="371">
        <v>2014</v>
      </c>
      <c r="D94" s="244">
        <v>46244912.176000006</v>
      </c>
      <c r="E94" s="173">
        <v>3468368.4132000003</v>
      </c>
      <c r="F94" s="173">
        <f t="shared" si="10"/>
        <v>49713280.589200005</v>
      </c>
      <c r="G94" s="244">
        <v>5514450</v>
      </c>
      <c r="H94" s="244">
        <v>0</v>
      </c>
      <c r="I94" s="173">
        <v>413583.75</v>
      </c>
      <c r="J94" s="173">
        <f t="shared" si="11"/>
        <v>696827546.53726256</v>
      </c>
      <c r="K94" s="173">
        <f t="shared" si="12"/>
        <v>-118565937.41273749</v>
      </c>
    </row>
    <row r="95" spans="1:11" s="613" customFormat="1" x14ac:dyDescent="0.2">
      <c r="A95" s="171">
        <f t="shared" si="9"/>
        <v>62</v>
      </c>
      <c r="B95" s="58" t="s">
        <v>11</v>
      </c>
      <c r="C95" s="371">
        <v>2014</v>
      </c>
      <c r="D95" s="244">
        <v>47106880.480000012</v>
      </c>
      <c r="E95" s="173">
        <v>3533016.0360000008</v>
      </c>
      <c r="F95" s="173">
        <f t="shared" si="10"/>
        <v>50639896.51600001</v>
      </c>
      <c r="G95" s="244">
        <v>29182122.730000004</v>
      </c>
      <c r="H95" s="244">
        <v>22630286.590000004</v>
      </c>
      <c r="I95" s="173">
        <v>491387.71050000004</v>
      </c>
      <c r="J95" s="173">
        <f t="shared" si="11"/>
        <v>717793932.61276257</v>
      </c>
      <c r="K95" s="173">
        <f t="shared" si="12"/>
        <v>-97599551.337237477</v>
      </c>
    </row>
    <row r="96" spans="1:11" s="613" customFormat="1" x14ac:dyDescent="0.2">
      <c r="A96" s="171">
        <f t="shared" si="9"/>
        <v>63</v>
      </c>
      <c r="B96" s="53" t="s">
        <v>12</v>
      </c>
      <c r="C96" s="371">
        <v>2014</v>
      </c>
      <c r="D96" s="244">
        <v>45041071.500000015</v>
      </c>
      <c r="E96" s="173">
        <v>3378080.3625000012</v>
      </c>
      <c r="F96" s="173">
        <f t="shared" si="10"/>
        <v>48419151.862500019</v>
      </c>
      <c r="G96" s="244">
        <v>5709450</v>
      </c>
      <c r="H96" s="244">
        <v>0</v>
      </c>
      <c r="I96" s="173">
        <v>428208.75</v>
      </c>
      <c r="J96" s="173">
        <f t="shared" si="11"/>
        <v>760075425.72526264</v>
      </c>
      <c r="K96" s="173">
        <f t="shared" si="12"/>
        <v>-55318058.224737406</v>
      </c>
    </row>
    <row r="97" spans="1:11" s="613" customFormat="1" x14ac:dyDescent="0.2">
      <c r="A97" s="171">
        <f t="shared" si="9"/>
        <v>64</v>
      </c>
      <c r="B97" s="53" t="s">
        <v>13</v>
      </c>
      <c r="C97" s="371">
        <v>2014</v>
      </c>
      <c r="D97" s="244">
        <v>47104423.020000011</v>
      </c>
      <c r="E97" s="173">
        <v>3532831.7265000008</v>
      </c>
      <c r="F97" s="173">
        <f t="shared" si="10"/>
        <v>50637254.746500015</v>
      </c>
      <c r="G97" s="244">
        <v>12970323.059999999</v>
      </c>
      <c r="H97" s="244">
        <v>3100505.1500000004</v>
      </c>
      <c r="I97" s="173">
        <v>740236.3432499998</v>
      </c>
      <c r="J97" s="173">
        <f t="shared" si="11"/>
        <v>797002121.06851268</v>
      </c>
      <c r="K97" s="173">
        <f t="shared" si="12"/>
        <v>-18391362.88148737</v>
      </c>
    </row>
    <row r="98" spans="1:11" s="613" customFormat="1" x14ac:dyDescent="0.2">
      <c r="A98" s="171">
        <f t="shared" si="9"/>
        <v>65</v>
      </c>
      <c r="B98" s="58" t="s">
        <v>15</v>
      </c>
      <c r="C98" s="371">
        <v>2014</v>
      </c>
      <c r="D98" s="244">
        <v>46004079.280000016</v>
      </c>
      <c r="E98" s="173">
        <v>3450305.9460000009</v>
      </c>
      <c r="F98" s="173">
        <f t="shared" si="10"/>
        <v>49454385.226000018</v>
      </c>
      <c r="G98" s="244">
        <v>5417450</v>
      </c>
      <c r="H98" s="244">
        <v>0</v>
      </c>
      <c r="I98" s="173">
        <v>406308.75</v>
      </c>
      <c r="J98" s="173">
        <f t="shared" si="11"/>
        <v>840632747.54451275</v>
      </c>
      <c r="K98" s="173">
        <f t="shared" si="12"/>
        <v>25239263.594512701</v>
      </c>
    </row>
    <row r="99" spans="1:11" s="613" customFormat="1" x14ac:dyDescent="0.2">
      <c r="A99" s="171">
        <f t="shared" si="9"/>
        <v>66</v>
      </c>
      <c r="B99" s="58" t="s">
        <v>14</v>
      </c>
      <c r="C99" s="371">
        <v>2014</v>
      </c>
      <c r="D99" s="244">
        <v>44340784.000000007</v>
      </c>
      <c r="E99" s="173">
        <v>3325558.8000000003</v>
      </c>
      <c r="F99" s="173">
        <f t="shared" si="10"/>
        <v>47666342.800000004</v>
      </c>
      <c r="G99" s="244">
        <v>5971450</v>
      </c>
      <c r="H99" s="244">
        <v>0</v>
      </c>
      <c r="I99" s="173">
        <v>447858.75</v>
      </c>
      <c r="J99" s="173">
        <f t="shared" si="11"/>
        <v>881879781.5945127</v>
      </c>
      <c r="K99" s="173">
        <f t="shared" si="12"/>
        <v>66486297.644512653</v>
      </c>
    </row>
    <row r="100" spans="1:11" s="613" customFormat="1" x14ac:dyDescent="0.2">
      <c r="A100" s="171">
        <f t="shared" si="9"/>
        <v>67</v>
      </c>
      <c r="B100" s="58" t="s">
        <v>6</v>
      </c>
      <c r="C100" s="371">
        <v>2014</v>
      </c>
      <c r="D100" s="244">
        <v>49606347.242700011</v>
      </c>
      <c r="E100" s="173">
        <v>3720476.0432025008</v>
      </c>
      <c r="F100" s="173">
        <f t="shared" si="10"/>
        <v>53326823.285902515</v>
      </c>
      <c r="G100" s="244">
        <v>42142942.992000014</v>
      </c>
      <c r="H100" s="244">
        <v>31532041.120000005</v>
      </c>
      <c r="I100" s="173">
        <v>795817.64040000062</v>
      </c>
      <c r="J100" s="173">
        <f t="shared" si="11"/>
        <v>892267844.24801517</v>
      </c>
      <c r="K100" s="173">
        <f t="shared" si="12"/>
        <v>76874360.298015118</v>
      </c>
    </row>
    <row r="101" spans="1:11" s="613" customFormat="1" x14ac:dyDescent="0.2">
      <c r="A101" s="171">
        <f t="shared" si="9"/>
        <v>68</v>
      </c>
      <c r="B101" s="58" t="s">
        <v>7</v>
      </c>
      <c r="C101" s="371">
        <v>2015</v>
      </c>
      <c r="D101" s="244">
        <v>50692333.333333328</v>
      </c>
      <c r="E101" s="173">
        <v>3801924.9999999995</v>
      </c>
      <c r="F101" s="173">
        <f t="shared" si="10"/>
        <v>54494258.333333328</v>
      </c>
      <c r="G101" s="244">
        <v>195703445.03199998</v>
      </c>
      <c r="H101" s="244">
        <v>122158503.50999999</v>
      </c>
      <c r="I101" s="173">
        <v>5515870.6141499989</v>
      </c>
      <c r="J101" s="173">
        <f t="shared" si="11"/>
        <v>745542786.93519855</v>
      </c>
      <c r="K101" s="173">
        <f t="shared" si="12"/>
        <v>-69850697.014801502</v>
      </c>
    </row>
    <row r="102" spans="1:11" s="613" customFormat="1" x14ac:dyDescent="0.2">
      <c r="A102" s="171">
        <f t="shared" si="9"/>
        <v>69</v>
      </c>
      <c r="B102" s="53" t="s">
        <v>8</v>
      </c>
      <c r="C102" s="371">
        <v>2015</v>
      </c>
      <c r="D102" s="244">
        <v>50693750</v>
      </c>
      <c r="E102" s="173">
        <v>3802031.25</v>
      </c>
      <c r="F102" s="173">
        <f t="shared" si="10"/>
        <v>54495781.25</v>
      </c>
      <c r="G102" s="244">
        <v>6353096.8566666674</v>
      </c>
      <c r="H102" s="244">
        <v>2453680.1900000009</v>
      </c>
      <c r="I102" s="173">
        <v>292456.25</v>
      </c>
      <c r="J102" s="173">
        <f t="shared" si="11"/>
        <v>793393015.07853186</v>
      </c>
      <c r="K102" s="173">
        <f t="shared" si="12"/>
        <v>-22000468.871468186</v>
      </c>
    </row>
    <row r="103" spans="1:11" s="613" customFormat="1" x14ac:dyDescent="0.2">
      <c r="A103" s="171">
        <f t="shared" si="9"/>
        <v>70</v>
      </c>
      <c r="B103" s="53" t="s">
        <v>18</v>
      </c>
      <c r="C103" s="371">
        <v>2015</v>
      </c>
      <c r="D103" s="244">
        <v>50693750</v>
      </c>
      <c r="E103" s="173">
        <v>3802031.25</v>
      </c>
      <c r="F103" s="173">
        <f t="shared" si="10"/>
        <v>54495781.25</v>
      </c>
      <c r="G103" s="244">
        <v>6180416.666666666</v>
      </c>
      <c r="H103" s="244">
        <v>0</v>
      </c>
      <c r="I103" s="173">
        <v>463531.24999999994</v>
      </c>
      <c r="J103" s="173">
        <f t="shared" si="11"/>
        <v>841244848.41186523</v>
      </c>
      <c r="K103" s="173">
        <f t="shared" si="12"/>
        <v>25851364.461865187</v>
      </c>
    </row>
    <row r="104" spans="1:11" s="613" customFormat="1" x14ac:dyDescent="0.2">
      <c r="A104" s="171">
        <f t="shared" si="9"/>
        <v>71</v>
      </c>
      <c r="B104" s="58" t="s">
        <v>9</v>
      </c>
      <c r="C104" s="371">
        <v>2015</v>
      </c>
      <c r="D104" s="244">
        <v>44817750</v>
      </c>
      <c r="E104" s="173">
        <v>3361331.25</v>
      </c>
      <c r="F104" s="173">
        <f t="shared" si="10"/>
        <v>48179081.25</v>
      </c>
      <c r="G104" s="244">
        <v>304416.66666666669</v>
      </c>
      <c r="H104" s="244">
        <v>0</v>
      </c>
      <c r="I104" s="173">
        <v>22831.25</v>
      </c>
      <c r="J104" s="173">
        <f t="shared" si="11"/>
        <v>889096681.74519861</v>
      </c>
      <c r="K104" s="173">
        <f t="shared" si="12"/>
        <v>73703197.79519856</v>
      </c>
    </row>
    <row r="105" spans="1:11" s="613" customFormat="1" x14ac:dyDescent="0.2">
      <c r="A105" s="171">
        <f t="shared" si="9"/>
        <v>72</v>
      </c>
      <c r="B105" s="53" t="s">
        <v>10</v>
      </c>
      <c r="C105" s="371">
        <v>2015</v>
      </c>
      <c r="D105" s="244">
        <v>44817750</v>
      </c>
      <c r="E105" s="173">
        <v>3361331.25</v>
      </c>
      <c r="F105" s="173">
        <f t="shared" si="10"/>
        <v>48179081.25</v>
      </c>
      <c r="G105" s="244">
        <v>750080449.91886675</v>
      </c>
      <c r="H105" s="244">
        <v>340246600.62000006</v>
      </c>
      <c r="I105" s="173">
        <v>30737538.697415002</v>
      </c>
      <c r="J105" s="173">
        <f t="shared" si="11"/>
        <v>156457774.37891686</v>
      </c>
      <c r="K105" s="173">
        <f t="shared" si="12"/>
        <v>-658935709.57108319</v>
      </c>
    </row>
    <row r="106" spans="1:11" s="613" customFormat="1" x14ac:dyDescent="0.2">
      <c r="A106" s="171">
        <f t="shared" si="9"/>
        <v>73</v>
      </c>
      <c r="B106" s="53" t="s">
        <v>25</v>
      </c>
      <c r="C106" s="371">
        <v>2015</v>
      </c>
      <c r="D106" s="244">
        <v>16617750</v>
      </c>
      <c r="E106" s="173">
        <v>1246331.25</v>
      </c>
      <c r="F106" s="173">
        <f t="shared" si="10"/>
        <v>17864081.25</v>
      </c>
      <c r="G106" s="244">
        <v>304416.66666666669</v>
      </c>
      <c r="H106" s="244">
        <v>0</v>
      </c>
      <c r="I106" s="173">
        <v>22831.25</v>
      </c>
      <c r="J106" s="173">
        <f t="shared" si="11"/>
        <v>173994607.7122502</v>
      </c>
      <c r="K106" s="173">
        <f t="shared" si="12"/>
        <v>-641398876.23774981</v>
      </c>
    </row>
    <row r="107" spans="1:11" s="613" customFormat="1" x14ac:dyDescent="0.2">
      <c r="A107" s="171">
        <f t="shared" si="9"/>
        <v>74</v>
      </c>
      <c r="B107" s="58" t="s">
        <v>11</v>
      </c>
      <c r="C107" s="371">
        <v>2015</v>
      </c>
      <c r="D107" s="244">
        <v>16617750</v>
      </c>
      <c r="E107" s="173">
        <v>1246331.25</v>
      </c>
      <c r="F107" s="173">
        <f t="shared" si="10"/>
        <v>17864081.25</v>
      </c>
      <c r="G107" s="244">
        <v>304416.66666666669</v>
      </c>
      <c r="H107" s="244">
        <v>0</v>
      </c>
      <c r="I107" s="173">
        <v>22831.25</v>
      </c>
      <c r="J107" s="173">
        <f t="shared" si="11"/>
        <v>191531441.04558355</v>
      </c>
      <c r="K107" s="173">
        <f t="shared" si="12"/>
        <v>-623862042.90441656</v>
      </c>
    </row>
    <row r="108" spans="1:11" s="613" customFormat="1" x14ac:dyDescent="0.2">
      <c r="A108" s="171">
        <f t="shared" si="9"/>
        <v>75</v>
      </c>
      <c r="B108" s="53" t="s">
        <v>12</v>
      </c>
      <c r="C108" s="371">
        <v>2015</v>
      </c>
      <c r="D108" s="244">
        <v>16617750</v>
      </c>
      <c r="E108" s="173">
        <v>1246331.25</v>
      </c>
      <c r="F108" s="173">
        <f t="shared" si="10"/>
        <v>17864081.25</v>
      </c>
      <c r="G108" s="244">
        <v>304416.66666666669</v>
      </c>
      <c r="H108" s="244">
        <v>0</v>
      </c>
      <c r="I108" s="173">
        <v>22831.25</v>
      </c>
      <c r="J108" s="173">
        <f t="shared" si="11"/>
        <v>209068274.37891689</v>
      </c>
      <c r="K108" s="173">
        <f t="shared" si="12"/>
        <v>-606325209.57108319</v>
      </c>
    </row>
    <row r="109" spans="1:11" s="613" customFormat="1" x14ac:dyDescent="0.2">
      <c r="A109" s="171">
        <f>A108+1</f>
        <v>76</v>
      </c>
      <c r="B109" s="53" t="s">
        <v>13</v>
      </c>
      <c r="C109" s="371">
        <v>2015</v>
      </c>
      <c r="D109" s="244">
        <v>16617750</v>
      </c>
      <c r="E109" s="173">
        <v>1246331.25</v>
      </c>
      <c r="F109" s="173">
        <f t="shared" si="10"/>
        <v>17864081.25</v>
      </c>
      <c r="G109" s="244">
        <v>304416.66666666669</v>
      </c>
      <c r="H109" s="244">
        <v>0</v>
      </c>
      <c r="I109" s="173">
        <v>22831.25</v>
      </c>
      <c r="J109" s="173">
        <f>J108+F109-G109-I109</f>
        <v>226605107.71225023</v>
      </c>
      <c r="K109" s="173">
        <f t="shared" si="12"/>
        <v>-588788376.23774981</v>
      </c>
    </row>
    <row r="110" spans="1:11" s="613" customFormat="1" x14ac:dyDescent="0.2">
      <c r="A110" s="171">
        <f t="shared" ref="A110:A113" si="13">A109+1</f>
        <v>77</v>
      </c>
      <c r="B110" s="53" t="s">
        <v>15</v>
      </c>
      <c r="C110" s="371">
        <v>2015</v>
      </c>
      <c r="D110" s="244">
        <v>16617750</v>
      </c>
      <c r="E110" s="173">
        <v>1246331.25</v>
      </c>
      <c r="F110" s="173">
        <f t="shared" si="10"/>
        <v>17864081.25</v>
      </c>
      <c r="G110" s="244">
        <v>304416.66666666669</v>
      </c>
      <c r="H110" s="244">
        <v>0</v>
      </c>
      <c r="I110" s="173">
        <v>22831.25</v>
      </c>
      <c r="J110" s="173">
        <f t="shared" ref="J110:J112" si="14">J109+F110-G110-I110</f>
        <v>244141941.04558358</v>
      </c>
      <c r="K110" s="173">
        <f t="shared" si="12"/>
        <v>-571251542.90441644</v>
      </c>
    </row>
    <row r="111" spans="1:11" s="613" customFormat="1" x14ac:dyDescent="0.2">
      <c r="A111" s="171">
        <f t="shared" si="13"/>
        <v>78</v>
      </c>
      <c r="B111" s="53" t="s">
        <v>14</v>
      </c>
      <c r="C111" s="371">
        <v>2015</v>
      </c>
      <c r="D111" s="244">
        <v>16617750</v>
      </c>
      <c r="E111" s="173">
        <v>1246331.25</v>
      </c>
      <c r="F111" s="173">
        <f t="shared" si="10"/>
        <v>17864081.25</v>
      </c>
      <c r="G111" s="244">
        <v>304416.66666666669</v>
      </c>
      <c r="H111" s="244">
        <v>0</v>
      </c>
      <c r="I111" s="173">
        <v>22831.25</v>
      </c>
      <c r="J111" s="173">
        <f t="shared" si="14"/>
        <v>261678774.37891692</v>
      </c>
      <c r="K111" s="173">
        <f t="shared" si="12"/>
        <v>-553714709.57108307</v>
      </c>
    </row>
    <row r="112" spans="1:11" s="613" customFormat="1" x14ac:dyDescent="0.2">
      <c r="A112" s="171">
        <f t="shared" si="13"/>
        <v>79</v>
      </c>
      <c r="B112" s="53" t="s">
        <v>6</v>
      </c>
      <c r="C112" s="371">
        <v>2015</v>
      </c>
      <c r="D112" s="244">
        <v>24204750</v>
      </c>
      <c r="E112" s="173">
        <v>1815356.25</v>
      </c>
      <c r="F112" s="173">
        <f t="shared" si="10"/>
        <v>26020106.25</v>
      </c>
      <c r="G112" s="244">
        <v>7891416.666666667</v>
      </c>
      <c r="H112" s="244">
        <v>0</v>
      </c>
      <c r="I112" s="173">
        <v>591856.25</v>
      </c>
      <c r="J112" s="173">
        <f t="shared" si="14"/>
        <v>279215607.71225023</v>
      </c>
      <c r="K112" s="181">
        <f t="shared" si="12"/>
        <v>-536177876.23774981</v>
      </c>
    </row>
    <row r="113" spans="1:11" s="613" customFormat="1" x14ac:dyDescent="0.2">
      <c r="A113" s="171">
        <f t="shared" si="13"/>
        <v>80</v>
      </c>
      <c r="B113"/>
      <c r="C113" s="611" t="s">
        <v>418</v>
      </c>
      <c r="D113"/>
      <c r="E113"/>
      <c r="F113"/>
      <c r="G113"/>
      <c r="H113"/>
      <c r="I113"/>
      <c r="J113"/>
      <c r="K113" s="612">
        <f>AVERAGE(K100:K112)</f>
        <v>-361221275.88973248</v>
      </c>
    </row>
    <row r="114" spans="1:11" s="613" customFormat="1" x14ac:dyDescent="0.2">
      <c r="A114" s="171"/>
      <c r="B114"/>
      <c r="C114" s="611"/>
      <c r="D114"/>
      <c r="E114"/>
      <c r="F114"/>
      <c r="G114"/>
      <c r="H114"/>
      <c r="I114"/>
      <c r="J114"/>
      <c r="K114" s="612"/>
    </row>
    <row r="115" spans="1:11" s="613" customFormat="1" x14ac:dyDescent="0.2">
      <c r="B115" s="614" t="s">
        <v>426</v>
      </c>
      <c r="D115" s="750" t="s">
        <v>427</v>
      </c>
      <c r="E115" s="750"/>
    </row>
    <row r="116" spans="1:11" s="613" customFormat="1" x14ac:dyDescent="0.2">
      <c r="A116" s="605"/>
      <c r="B116" s="605"/>
      <c r="C116" s="605"/>
      <c r="D116" s="605" t="s">
        <v>152</v>
      </c>
      <c r="E116" s="605" t="s">
        <v>153</v>
      </c>
      <c r="F116" s="605" t="s">
        <v>154</v>
      </c>
      <c r="G116" s="605" t="s">
        <v>155</v>
      </c>
      <c r="H116" s="605" t="s">
        <v>371</v>
      </c>
      <c r="I116" s="605" t="s">
        <v>372</v>
      </c>
      <c r="J116" s="605" t="s">
        <v>386</v>
      </c>
      <c r="K116" s="605" t="s">
        <v>387</v>
      </c>
    </row>
    <row r="117" spans="1:11" s="613" customFormat="1" ht="38.25" x14ac:dyDescent="0.2">
      <c r="D117" s="615"/>
      <c r="E117" s="616" t="s">
        <v>421</v>
      </c>
      <c r="F117" s="610" t="s">
        <v>422</v>
      </c>
      <c r="G117" s="453"/>
      <c r="H117" s="615"/>
      <c r="I117" s="616" t="s">
        <v>423</v>
      </c>
      <c r="J117" s="616" t="s">
        <v>424</v>
      </c>
      <c r="K117" s="616" t="s">
        <v>425</v>
      </c>
    </row>
    <row r="118" spans="1:11" s="613" customFormat="1" x14ac:dyDescent="0.2">
      <c r="D118" s="615"/>
      <c r="E118" s="615"/>
      <c r="F118" s="615"/>
      <c r="G118" s="166" t="str">
        <f>G51</f>
        <v>Unloaded</v>
      </c>
      <c r="H118" s="615"/>
      <c r="I118" s="615"/>
    </row>
    <row r="119" spans="1:11" s="613" customFormat="1" x14ac:dyDescent="0.2">
      <c r="A119" s="608"/>
      <c r="B119" s="608"/>
      <c r="C119" s="608"/>
      <c r="D119" s="608" t="str">
        <f>D$52</f>
        <v>Forecast</v>
      </c>
      <c r="E119" s="608" t="str">
        <f t="shared" ref="E119:J119" si="15">E$52</f>
        <v>Corporate</v>
      </c>
      <c r="F119" s="608" t="str">
        <f t="shared" si="15"/>
        <v xml:space="preserve">Total </v>
      </c>
      <c r="G119" s="166" t="str">
        <f>G52</f>
        <v>Total</v>
      </c>
      <c r="H119" s="608" t="str">
        <f t="shared" si="15"/>
        <v>Prior Period</v>
      </c>
      <c r="I119" s="608" t="str">
        <f t="shared" si="15"/>
        <v>Over Heads</v>
      </c>
      <c r="J119" s="608" t="str">
        <f t="shared" si="15"/>
        <v>Forecast</v>
      </c>
      <c r="K119" s="166" t="str">
        <f>K$52</f>
        <v>Forecast Period</v>
      </c>
    </row>
    <row r="120" spans="1:11" s="613" customFormat="1" x14ac:dyDescent="0.2">
      <c r="A120" s="208" t="s">
        <v>296</v>
      </c>
      <c r="B120" s="57" t="s">
        <v>16</v>
      </c>
      <c r="C120" s="57" t="s">
        <v>17</v>
      </c>
      <c r="D120" s="605" t="str">
        <f>D$53</f>
        <v>Expenditures</v>
      </c>
      <c r="E120" s="605" t="str">
        <f t="shared" ref="E120:J120" si="16">E$53</f>
        <v>Overheads</v>
      </c>
      <c r="F120" s="605" t="str">
        <f t="shared" si="16"/>
        <v>CWIP Exp</v>
      </c>
      <c r="G120" s="170" t="str">
        <f>G53</f>
        <v>Plant Adds</v>
      </c>
      <c r="H120" s="605" t="str">
        <f t="shared" si="16"/>
        <v>CWIP Closed</v>
      </c>
      <c r="I120" s="605" t="str">
        <f t="shared" si="16"/>
        <v>Closed to PIS</v>
      </c>
      <c r="J120" s="605" t="str">
        <f t="shared" si="16"/>
        <v>Period CWIP</v>
      </c>
      <c r="K120" s="605" t="str">
        <f>K$53</f>
        <v>Incremental CWIP</v>
      </c>
    </row>
    <row r="121" spans="1:11" s="613" customFormat="1" x14ac:dyDescent="0.2">
      <c r="A121" s="171">
        <f>A113+1</f>
        <v>81</v>
      </c>
      <c r="B121" s="58" t="s">
        <v>6</v>
      </c>
      <c r="C121" s="371">
        <v>2013</v>
      </c>
      <c r="D121" s="610" t="s">
        <v>400</v>
      </c>
      <c r="E121" s="610" t="s">
        <v>400</v>
      </c>
      <c r="F121" s="610" t="s">
        <v>400</v>
      </c>
      <c r="G121" s="610" t="s">
        <v>400</v>
      </c>
      <c r="H121" s="610" t="s">
        <v>400</v>
      </c>
      <c r="I121" s="610" t="s">
        <v>400</v>
      </c>
      <c r="J121" s="173">
        <f>F25</f>
        <v>1912227.5699999947</v>
      </c>
      <c r="K121" s="610" t="s">
        <v>400</v>
      </c>
    </row>
    <row r="122" spans="1:11" s="613" customFormat="1" x14ac:dyDescent="0.2">
      <c r="A122" s="171">
        <f>A121+1</f>
        <v>82</v>
      </c>
      <c r="B122" s="58" t="s">
        <v>7</v>
      </c>
      <c r="C122" s="371">
        <v>2014</v>
      </c>
      <c r="D122" s="244">
        <v>3686000</v>
      </c>
      <c r="E122" s="173">
        <v>276450</v>
      </c>
      <c r="F122" s="173">
        <f>E122+D122</f>
        <v>3962450</v>
      </c>
      <c r="G122" s="244">
        <v>5598227.570000004</v>
      </c>
      <c r="H122" s="244">
        <v>1912227.5700000036</v>
      </c>
      <c r="I122" s="173">
        <v>276450</v>
      </c>
      <c r="J122" s="173">
        <f>J121+F122-G122-I122</f>
        <v>-9.3132257461547852E-9</v>
      </c>
      <c r="K122" s="188">
        <f>J122-$J$121</f>
        <v>-1912227.570000004</v>
      </c>
    </row>
    <row r="123" spans="1:11" s="613" customFormat="1" x14ac:dyDescent="0.2">
      <c r="A123" s="171">
        <f t="shared" ref="A123:A146" si="17">A122+1</f>
        <v>83</v>
      </c>
      <c r="B123" s="53" t="s">
        <v>8</v>
      </c>
      <c r="C123" s="371">
        <v>2014</v>
      </c>
      <c r="D123" s="244">
        <v>1838000</v>
      </c>
      <c r="E123" s="173">
        <v>137850</v>
      </c>
      <c r="F123" s="173">
        <f t="shared" ref="F123:F145" si="18">E123+D123</f>
        <v>1975850</v>
      </c>
      <c r="G123" s="244">
        <v>1838000</v>
      </c>
      <c r="H123" s="244">
        <v>0</v>
      </c>
      <c r="I123" s="173">
        <v>137850</v>
      </c>
      <c r="J123" s="173">
        <f t="shared" ref="J123:J145" si="19">J122+F123-G123-I123</f>
        <v>-9.3132257461547852E-9</v>
      </c>
      <c r="K123" s="188">
        <f t="shared" ref="K123:K145" si="20">J123-$J$121</f>
        <v>-1912227.570000004</v>
      </c>
    </row>
    <row r="124" spans="1:11" s="613" customFormat="1" x14ac:dyDescent="0.2">
      <c r="A124" s="171">
        <f t="shared" si="17"/>
        <v>84</v>
      </c>
      <c r="B124" s="53" t="s">
        <v>18</v>
      </c>
      <c r="C124" s="371">
        <v>2014</v>
      </c>
      <c r="D124" s="244">
        <v>246000</v>
      </c>
      <c r="E124" s="173">
        <v>18450</v>
      </c>
      <c r="F124" s="173">
        <f t="shared" si="18"/>
        <v>264450</v>
      </c>
      <c r="G124" s="244">
        <v>246000</v>
      </c>
      <c r="H124" s="244">
        <v>0</v>
      </c>
      <c r="I124" s="173">
        <v>18450</v>
      </c>
      <c r="J124" s="173">
        <f t="shared" si="19"/>
        <v>-9.3132257461547852E-9</v>
      </c>
      <c r="K124" s="188">
        <f t="shared" si="20"/>
        <v>-1912227.570000004</v>
      </c>
    </row>
    <row r="125" spans="1:11" s="613" customFormat="1" x14ac:dyDescent="0.2">
      <c r="A125" s="171">
        <f t="shared" si="17"/>
        <v>85</v>
      </c>
      <c r="B125" s="58" t="s">
        <v>9</v>
      </c>
      <c r="C125" s="371">
        <v>2014</v>
      </c>
      <c r="D125" s="244">
        <v>900000</v>
      </c>
      <c r="E125" s="173">
        <v>67500</v>
      </c>
      <c r="F125" s="173">
        <f t="shared" si="18"/>
        <v>967500</v>
      </c>
      <c r="G125" s="244">
        <v>900000</v>
      </c>
      <c r="H125" s="244">
        <v>0</v>
      </c>
      <c r="I125" s="173">
        <v>67500</v>
      </c>
      <c r="J125" s="173">
        <f t="shared" si="19"/>
        <v>-9.3132257461547852E-9</v>
      </c>
      <c r="K125" s="188">
        <f t="shared" si="20"/>
        <v>-1912227.570000004</v>
      </c>
    </row>
    <row r="126" spans="1:11" s="613" customFormat="1" x14ac:dyDescent="0.2">
      <c r="A126" s="171">
        <f t="shared" si="17"/>
        <v>86</v>
      </c>
      <c r="B126" s="53" t="s">
        <v>10</v>
      </c>
      <c r="C126" s="371">
        <v>2014</v>
      </c>
      <c r="D126" s="244">
        <v>1900000</v>
      </c>
      <c r="E126" s="173">
        <v>142500</v>
      </c>
      <c r="F126" s="173">
        <f t="shared" si="18"/>
        <v>2042500</v>
      </c>
      <c r="G126" s="244">
        <v>1900000</v>
      </c>
      <c r="H126" s="244">
        <v>0</v>
      </c>
      <c r="I126" s="173">
        <v>142500</v>
      </c>
      <c r="J126" s="173">
        <f t="shared" si="19"/>
        <v>-9.3132257461547852E-9</v>
      </c>
      <c r="K126" s="188">
        <f t="shared" si="20"/>
        <v>-1912227.570000004</v>
      </c>
    </row>
    <row r="127" spans="1:11" s="613" customFormat="1" x14ac:dyDescent="0.2">
      <c r="A127" s="171">
        <f t="shared" si="17"/>
        <v>87</v>
      </c>
      <c r="B127" s="53" t="s">
        <v>25</v>
      </c>
      <c r="C127" s="371">
        <v>2014</v>
      </c>
      <c r="D127" s="244">
        <v>3050000</v>
      </c>
      <c r="E127" s="173">
        <v>228750</v>
      </c>
      <c r="F127" s="173">
        <f t="shared" si="18"/>
        <v>3278750</v>
      </c>
      <c r="G127" s="244">
        <v>3050000</v>
      </c>
      <c r="H127" s="244">
        <v>0</v>
      </c>
      <c r="I127" s="173">
        <v>228750</v>
      </c>
      <c r="J127" s="173">
        <f t="shared" si="19"/>
        <v>-9.3132257461547852E-9</v>
      </c>
      <c r="K127" s="188">
        <f t="shared" si="20"/>
        <v>-1912227.570000004</v>
      </c>
    </row>
    <row r="128" spans="1:11" s="613" customFormat="1" x14ac:dyDescent="0.2">
      <c r="A128" s="171">
        <f t="shared" si="17"/>
        <v>88</v>
      </c>
      <c r="B128" s="58" t="s">
        <v>11</v>
      </c>
      <c r="C128" s="371">
        <v>2014</v>
      </c>
      <c r="D128" s="244">
        <v>450000</v>
      </c>
      <c r="E128" s="173">
        <v>33750</v>
      </c>
      <c r="F128" s="173">
        <f t="shared" si="18"/>
        <v>483750</v>
      </c>
      <c r="G128" s="244">
        <v>450000</v>
      </c>
      <c r="H128" s="244">
        <v>0</v>
      </c>
      <c r="I128" s="173">
        <v>33750</v>
      </c>
      <c r="J128" s="173">
        <f t="shared" si="19"/>
        <v>-9.3132257461547852E-9</v>
      </c>
      <c r="K128" s="188">
        <f t="shared" si="20"/>
        <v>-1912227.570000004</v>
      </c>
    </row>
    <row r="129" spans="1:11" s="613" customFormat="1" x14ac:dyDescent="0.2">
      <c r="A129" s="171">
        <f t="shared" si="17"/>
        <v>89</v>
      </c>
      <c r="B129" s="53" t="s">
        <v>12</v>
      </c>
      <c r="C129" s="371">
        <v>2014</v>
      </c>
      <c r="D129" s="244">
        <v>400000</v>
      </c>
      <c r="E129" s="173">
        <v>30000</v>
      </c>
      <c r="F129" s="173">
        <f t="shared" si="18"/>
        <v>430000</v>
      </c>
      <c r="G129" s="244">
        <v>400000</v>
      </c>
      <c r="H129" s="244">
        <v>0</v>
      </c>
      <c r="I129" s="173">
        <v>30000</v>
      </c>
      <c r="J129" s="173">
        <f t="shared" si="19"/>
        <v>-9.3132257461547852E-9</v>
      </c>
      <c r="K129" s="188">
        <f t="shared" si="20"/>
        <v>-1912227.570000004</v>
      </c>
    </row>
    <row r="130" spans="1:11" s="613" customFormat="1" x14ac:dyDescent="0.2">
      <c r="A130" s="171">
        <f t="shared" si="17"/>
        <v>90</v>
      </c>
      <c r="B130" s="53" t="s">
        <v>13</v>
      </c>
      <c r="C130" s="371">
        <v>2014</v>
      </c>
      <c r="D130" s="244">
        <v>400000</v>
      </c>
      <c r="E130" s="173">
        <v>30000</v>
      </c>
      <c r="F130" s="173">
        <f t="shared" si="18"/>
        <v>430000</v>
      </c>
      <c r="G130" s="244">
        <v>400000</v>
      </c>
      <c r="H130" s="244">
        <v>0</v>
      </c>
      <c r="I130" s="173">
        <v>30000</v>
      </c>
      <c r="J130" s="173">
        <f t="shared" si="19"/>
        <v>-9.3132257461547852E-9</v>
      </c>
      <c r="K130" s="188">
        <f t="shared" si="20"/>
        <v>-1912227.570000004</v>
      </c>
    </row>
    <row r="131" spans="1:11" s="613" customFormat="1" x14ac:dyDescent="0.2">
      <c r="A131" s="171">
        <f t="shared" si="17"/>
        <v>91</v>
      </c>
      <c r="B131" s="58" t="s">
        <v>15</v>
      </c>
      <c r="C131" s="371">
        <v>2014</v>
      </c>
      <c r="D131" s="244">
        <v>3500000</v>
      </c>
      <c r="E131" s="173">
        <v>262500</v>
      </c>
      <c r="F131" s="173">
        <f t="shared" si="18"/>
        <v>3762500</v>
      </c>
      <c r="G131" s="244">
        <v>3500000</v>
      </c>
      <c r="H131" s="244">
        <v>0</v>
      </c>
      <c r="I131" s="173">
        <v>262500</v>
      </c>
      <c r="J131" s="173">
        <f t="shared" si="19"/>
        <v>-9.3132257461547852E-9</v>
      </c>
      <c r="K131" s="188">
        <f t="shared" si="20"/>
        <v>-1912227.570000004</v>
      </c>
    </row>
    <row r="132" spans="1:11" s="613" customFormat="1" x14ac:dyDescent="0.2">
      <c r="A132" s="171">
        <f t="shared" si="17"/>
        <v>92</v>
      </c>
      <c r="B132" s="58" t="s">
        <v>14</v>
      </c>
      <c r="C132" s="371">
        <v>2014</v>
      </c>
      <c r="D132" s="244">
        <v>4600000</v>
      </c>
      <c r="E132" s="173">
        <v>345000</v>
      </c>
      <c r="F132" s="173">
        <f t="shared" si="18"/>
        <v>4945000</v>
      </c>
      <c r="G132" s="244">
        <v>4600000</v>
      </c>
      <c r="H132" s="244">
        <v>0</v>
      </c>
      <c r="I132" s="173">
        <v>345000</v>
      </c>
      <c r="J132" s="173">
        <f t="shared" si="19"/>
        <v>-9.3132257461547852E-9</v>
      </c>
      <c r="K132" s="188">
        <f t="shared" si="20"/>
        <v>-1912227.570000004</v>
      </c>
    </row>
    <row r="133" spans="1:11" s="613" customFormat="1" x14ac:dyDescent="0.2">
      <c r="A133" s="171">
        <f t="shared" si="17"/>
        <v>93</v>
      </c>
      <c r="B133" s="58" t="s">
        <v>6</v>
      </c>
      <c r="C133" s="371">
        <v>2014</v>
      </c>
      <c r="D133" s="244">
        <v>2000000</v>
      </c>
      <c r="E133" s="173">
        <v>150000</v>
      </c>
      <c r="F133" s="173">
        <f t="shared" si="18"/>
        <v>2150000</v>
      </c>
      <c r="G133" s="244">
        <v>2000000</v>
      </c>
      <c r="H133" s="244">
        <v>0</v>
      </c>
      <c r="I133" s="173">
        <v>150000</v>
      </c>
      <c r="J133" s="173">
        <f t="shared" si="19"/>
        <v>-9.3132257461547852E-9</v>
      </c>
      <c r="K133" s="188">
        <f t="shared" si="20"/>
        <v>-1912227.570000004</v>
      </c>
    </row>
    <row r="134" spans="1:11" s="613" customFormat="1" x14ac:dyDescent="0.2">
      <c r="A134" s="171">
        <f t="shared" si="17"/>
        <v>94</v>
      </c>
      <c r="B134" s="58" t="s">
        <v>7</v>
      </c>
      <c r="C134" s="371">
        <v>2015</v>
      </c>
      <c r="D134" s="244">
        <v>800000</v>
      </c>
      <c r="E134" s="173">
        <v>60000</v>
      </c>
      <c r="F134" s="173">
        <f t="shared" si="18"/>
        <v>860000</v>
      </c>
      <c r="G134" s="244">
        <v>800000</v>
      </c>
      <c r="H134" s="244">
        <v>0</v>
      </c>
      <c r="I134" s="173">
        <v>60000</v>
      </c>
      <c r="J134" s="173">
        <f t="shared" si="19"/>
        <v>-9.3132257461547852E-9</v>
      </c>
      <c r="K134" s="188">
        <f t="shared" si="20"/>
        <v>-1912227.570000004</v>
      </c>
    </row>
    <row r="135" spans="1:11" s="613" customFormat="1" x14ac:dyDescent="0.2">
      <c r="A135" s="171">
        <f t="shared" si="17"/>
        <v>95</v>
      </c>
      <c r="B135" s="53" t="s">
        <v>8</v>
      </c>
      <c r="C135" s="371">
        <v>2015</v>
      </c>
      <c r="D135" s="244">
        <v>800000</v>
      </c>
      <c r="E135" s="173">
        <v>60000</v>
      </c>
      <c r="F135" s="173">
        <f t="shared" si="18"/>
        <v>860000</v>
      </c>
      <c r="G135" s="244">
        <v>800000</v>
      </c>
      <c r="H135" s="244">
        <v>0</v>
      </c>
      <c r="I135" s="173">
        <v>60000</v>
      </c>
      <c r="J135" s="173">
        <f t="shared" si="19"/>
        <v>-9.3132257461547852E-9</v>
      </c>
      <c r="K135" s="188">
        <f t="shared" si="20"/>
        <v>-1912227.570000004</v>
      </c>
    </row>
    <row r="136" spans="1:11" s="613" customFormat="1" x14ac:dyDescent="0.2">
      <c r="A136" s="171">
        <f t="shared" si="17"/>
        <v>96</v>
      </c>
      <c r="B136" s="53" t="s">
        <v>18</v>
      </c>
      <c r="C136" s="371">
        <v>2015</v>
      </c>
      <c r="D136" s="244">
        <v>800000</v>
      </c>
      <c r="E136" s="173">
        <v>60000</v>
      </c>
      <c r="F136" s="173">
        <f t="shared" si="18"/>
        <v>860000</v>
      </c>
      <c r="G136" s="244">
        <v>800000</v>
      </c>
      <c r="H136" s="244">
        <v>0</v>
      </c>
      <c r="I136" s="173">
        <v>60000</v>
      </c>
      <c r="J136" s="173">
        <f t="shared" si="19"/>
        <v>-9.3132257461547852E-9</v>
      </c>
      <c r="K136" s="188">
        <f t="shared" si="20"/>
        <v>-1912227.570000004</v>
      </c>
    </row>
    <row r="137" spans="1:11" s="613" customFormat="1" x14ac:dyDescent="0.2">
      <c r="A137" s="171">
        <f t="shared" si="17"/>
        <v>97</v>
      </c>
      <c r="B137" s="58" t="s">
        <v>9</v>
      </c>
      <c r="C137" s="371">
        <v>2015</v>
      </c>
      <c r="D137" s="244">
        <v>800000</v>
      </c>
      <c r="E137" s="173">
        <v>60000</v>
      </c>
      <c r="F137" s="173">
        <f t="shared" si="18"/>
        <v>860000</v>
      </c>
      <c r="G137" s="244">
        <v>800000</v>
      </c>
      <c r="H137" s="244">
        <v>0</v>
      </c>
      <c r="I137" s="173">
        <v>60000</v>
      </c>
      <c r="J137" s="173">
        <f t="shared" si="19"/>
        <v>-9.3132257461547852E-9</v>
      </c>
      <c r="K137" s="188">
        <f t="shared" si="20"/>
        <v>-1912227.570000004</v>
      </c>
    </row>
    <row r="138" spans="1:11" s="613" customFormat="1" x14ac:dyDescent="0.2">
      <c r="A138" s="171">
        <f t="shared" si="17"/>
        <v>98</v>
      </c>
      <c r="B138" s="53" t="s">
        <v>10</v>
      </c>
      <c r="C138" s="371">
        <v>2015</v>
      </c>
      <c r="D138" s="244">
        <v>800000</v>
      </c>
      <c r="E138" s="173">
        <v>60000</v>
      </c>
      <c r="F138" s="173">
        <f t="shared" si="18"/>
        <v>860000</v>
      </c>
      <c r="G138" s="244">
        <v>800000</v>
      </c>
      <c r="H138" s="244">
        <v>0</v>
      </c>
      <c r="I138" s="173">
        <v>60000</v>
      </c>
      <c r="J138" s="173">
        <f t="shared" si="19"/>
        <v>-9.3132257461547852E-9</v>
      </c>
      <c r="K138" s="188">
        <f t="shared" si="20"/>
        <v>-1912227.570000004</v>
      </c>
    </row>
    <row r="139" spans="1:11" s="613" customFormat="1" x14ac:dyDescent="0.2">
      <c r="A139" s="171">
        <f t="shared" si="17"/>
        <v>99</v>
      </c>
      <c r="B139" s="53" t="s">
        <v>25</v>
      </c>
      <c r="C139" s="371">
        <v>2015</v>
      </c>
      <c r="D139" s="244">
        <v>800000</v>
      </c>
      <c r="E139" s="173">
        <v>60000</v>
      </c>
      <c r="F139" s="173">
        <f t="shared" si="18"/>
        <v>860000</v>
      </c>
      <c r="G139" s="244">
        <v>800000</v>
      </c>
      <c r="H139" s="244">
        <v>0</v>
      </c>
      <c r="I139" s="173">
        <v>60000</v>
      </c>
      <c r="J139" s="173">
        <f t="shared" si="19"/>
        <v>-9.3132257461547852E-9</v>
      </c>
      <c r="K139" s="188">
        <f t="shared" si="20"/>
        <v>-1912227.570000004</v>
      </c>
    </row>
    <row r="140" spans="1:11" s="613" customFormat="1" x14ac:dyDescent="0.2">
      <c r="A140" s="171">
        <f t="shared" si="17"/>
        <v>100</v>
      </c>
      <c r="B140" s="58" t="s">
        <v>11</v>
      </c>
      <c r="C140" s="371">
        <v>2015</v>
      </c>
      <c r="D140" s="244">
        <v>0</v>
      </c>
      <c r="E140" s="173">
        <v>0</v>
      </c>
      <c r="F140" s="173">
        <f t="shared" si="18"/>
        <v>0</v>
      </c>
      <c r="G140" s="244">
        <v>0</v>
      </c>
      <c r="H140" s="244">
        <v>0</v>
      </c>
      <c r="I140" s="173">
        <v>0</v>
      </c>
      <c r="J140" s="173">
        <f t="shared" si="19"/>
        <v>-9.3132257461547852E-9</v>
      </c>
      <c r="K140" s="188">
        <f t="shared" si="20"/>
        <v>-1912227.570000004</v>
      </c>
    </row>
    <row r="141" spans="1:11" s="613" customFormat="1" x14ac:dyDescent="0.2">
      <c r="A141" s="171">
        <f t="shared" si="17"/>
        <v>101</v>
      </c>
      <c r="B141" s="53" t="s">
        <v>12</v>
      </c>
      <c r="C141" s="371">
        <v>2015</v>
      </c>
      <c r="D141" s="244">
        <v>0</v>
      </c>
      <c r="E141" s="173">
        <v>0</v>
      </c>
      <c r="F141" s="173">
        <f t="shared" si="18"/>
        <v>0</v>
      </c>
      <c r="G141" s="244">
        <v>0</v>
      </c>
      <c r="H141" s="244">
        <v>0</v>
      </c>
      <c r="I141" s="173">
        <v>0</v>
      </c>
      <c r="J141" s="173">
        <f t="shared" si="19"/>
        <v>-9.3132257461547852E-9</v>
      </c>
      <c r="K141" s="188">
        <f t="shared" si="20"/>
        <v>-1912227.570000004</v>
      </c>
    </row>
    <row r="142" spans="1:11" s="613" customFormat="1" x14ac:dyDescent="0.2">
      <c r="A142" s="171">
        <f t="shared" si="17"/>
        <v>102</v>
      </c>
      <c r="B142" s="53" t="s">
        <v>13</v>
      </c>
      <c r="C142" s="371">
        <v>2015</v>
      </c>
      <c r="D142" s="244">
        <v>0</v>
      </c>
      <c r="E142" s="173">
        <v>0</v>
      </c>
      <c r="F142" s="173">
        <f t="shared" si="18"/>
        <v>0</v>
      </c>
      <c r="G142" s="244">
        <v>0</v>
      </c>
      <c r="H142" s="244">
        <v>0</v>
      </c>
      <c r="I142" s="173">
        <v>0</v>
      </c>
      <c r="J142" s="173">
        <f t="shared" si="19"/>
        <v>-9.3132257461547852E-9</v>
      </c>
      <c r="K142" s="188">
        <f t="shared" si="20"/>
        <v>-1912227.570000004</v>
      </c>
    </row>
    <row r="143" spans="1:11" s="613" customFormat="1" x14ac:dyDescent="0.2">
      <c r="A143" s="171">
        <f t="shared" si="17"/>
        <v>103</v>
      </c>
      <c r="B143" s="53" t="s">
        <v>15</v>
      </c>
      <c r="C143" s="371">
        <v>2015</v>
      </c>
      <c r="D143" s="244">
        <v>0</v>
      </c>
      <c r="E143" s="173">
        <v>0</v>
      </c>
      <c r="F143" s="173">
        <f t="shared" si="18"/>
        <v>0</v>
      </c>
      <c r="G143" s="244">
        <v>0</v>
      </c>
      <c r="H143" s="244">
        <v>0</v>
      </c>
      <c r="I143" s="173">
        <v>0</v>
      </c>
      <c r="J143" s="173">
        <f t="shared" si="19"/>
        <v>-9.3132257461547852E-9</v>
      </c>
      <c r="K143" s="188">
        <f t="shared" si="20"/>
        <v>-1912227.570000004</v>
      </c>
    </row>
    <row r="144" spans="1:11" s="613" customFormat="1" x14ac:dyDescent="0.2">
      <c r="A144" s="171">
        <f t="shared" si="17"/>
        <v>104</v>
      </c>
      <c r="B144" s="53" t="s">
        <v>14</v>
      </c>
      <c r="C144" s="371">
        <v>2015</v>
      </c>
      <c r="D144" s="244">
        <v>0</v>
      </c>
      <c r="E144" s="173">
        <v>0</v>
      </c>
      <c r="F144" s="173">
        <f t="shared" si="18"/>
        <v>0</v>
      </c>
      <c r="G144" s="244">
        <v>0</v>
      </c>
      <c r="H144" s="244">
        <v>0</v>
      </c>
      <c r="I144" s="173">
        <v>0</v>
      </c>
      <c r="J144" s="173">
        <f t="shared" si="19"/>
        <v>-9.3132257461547852E-9</v>
      </c>
      <c r="K144" s="188">
        <f t="shared" si="20"/>
        <v>-1912227.570000004</v>
      </c>
    </row>
    <row r="145" spans="1:11" s="613" customFormat="1" x14ac:dyDescent="0.2">
      <c r="A145" s="171">
        <f t="shared" si="17"/>
        <v>105</v>
      </c>
      <c r="B145" s="53" t="s">
        <v>6</v>
      </c>
      <c r="C145" s="371">
        <v>2015</v>
      </c>
      <c r="D145" s="244">
        <v>13000000</v>
      </c>
      <c r="E145" s="173">
        <v>975000</v>
      </c>
      <c r="F145" s="173">
        <f t="shared" si="18"/>
        <v>13975000</v>
      </c>
      <c r="G145" s="244">
        <v>13000000</v>
      </c>
      <c r="H145" s="244">
        <v>0</v>
      </c>
      <c r="I145" s="173">
        <v>975000</v>
      </c>
      <c r="J145" s="173">
        <f t="shared" si="19"/>
        <v>-9.3132257461547852E-9</v>
      </c>
      <c r="K145" s="181">
        <f t="shared" si="20"/>
        <v>-1912227.570000004</v>
      </c>
    </row>
    <row r="146" spans="1:11" s="613" customFormat="1" x14ac:dyDescent="0.2">
      <c r="A146" s="171">
        <f t="shared" si="17"/>
        <v>106</v>
      </c>
      <c r="B146"/>
      <c r="C146" s="611" t="s">
        <v>418</v>
      </c>
      <c r="D146"/>
      <c r="E146"/>
      <c r="F146"/>
      <c r="G146"/>
      <c r="H146"/>
      <c r="I146"/>
      <c r="J146"/>
      <c r="K146" s="612">
        <f>AVERAGE(K133:K145)</f>
        <v>-1912227.570000004</v>
      </c>
    </row>
    <row r="147" spans="1:11" s="613" customFormat="1" x14ac:dyDescent="0.2">
      <c r="A147" s="171"/>
      <c r="B147"/>
      <c r="C147" s="611"/>
      <c r="D147"/>
      <c r="E147"/>
      <c r="F147"/>
      <c r="G147"/>
      <c r="H147"/>
      <c r="I147"/>
      <c r="J147"/>
      <c r="K147" s="612"/>
    </row>
    <row r="148" spans="1:11" s="613" customFormat="1" x14ac:dyDescent="0.2">
      <c r="B148" s="614" t="s">
        <v>428</v>
      </c>
      <c r="D148" s="750" t="s">
        <v>429</v>
      </c>
      <c r="E148" s="750"/>
    </row>
    <row r="149" spans="1:11" s="613" customFormat="1" x14ac:dyDescent="0.2">
      <c r="D149" s="615"/>
      <c r="E149" s="615"/>
      <c r="F149" s="615"/>
      <c r="G149" s="166" t="str">
        <f>G51</f>
        <v>Unloaded</v>
      </c>
      <c r="H149" s="615"/>
      <c r="I149" s="615"/>
    </row>
    <row r="150" spans="1:11" s="613" customFormat="1" x14ac:dyDescent="0.2">
      <c r="A150" s="608"/>
      <c r="B150" s="608"/>
      <c r="C150" s="608"/>
      <c r="D150" s="608" t="str">
        <f>D$52</f>
        <v>Forecast</v>
      </c>
      <c r="E150" s="608" t="str">
        <f t="shared" ref="E150:J150" si="21">E$52</f>
        <v>Corporate</v>
      </c>
      <c r="F150" s="608" t="str">
        <f t="shared" si="21"/>
        <v xml:space="preserve">Total </v>
      </c>
      <c r="G150" s="166" t="str">
        <f>G52</f>
        <v>Total</v>
      </c>
      <c r="H150" s="608" t="str">
        <f t="shared" si="21"/>
        <v>Prior Period</v>
      </c>
      <c r="I150" s="608" t="str">
        <f t="shared" si="21"/>
        <v>Over Heads</v>
      </c>
      <c r="J150" s="608" t="str">
        <f t="shared" si="21"/>
        <v>Forecast</v>
      </c>
      <c r="K150" s="166" t="str">
        <f>K$52</f>
        <v>Forecast Period</v>
      </c>
    </row>
    <row r="151" spans="1:11" s="613" customFormat="1" x14ac:dyDescent="0.2">
      <c r="A151" s="208" t="s">
        <v>296</v>
      </c>
      <c r="B151" s="57" t="s">
        <v>16</v>
      </c>
      <c r="C151" s="57" t="s">
        <v>17</v>
      </c>
      <c r="D151" s="605" t="str">
        <f>D$53</f>
        <v>Expenditures</v>
      </c>
      <c r="E151" s="605" t="str">
        <f t="shared" ref="E151:J151" si="22">E$53</f>
        <v>Overheads</v>
      </c>
      <c r="F151" s="605" t="str">
        <f t="shared" si="22"/>
        <v>CWIP Exp</v>
      </c>
      <c r="G151" s="170" t="str">
        <f>G53</f>
        <v>Plant Adds</v>
      </c>
      <c r="H151" s="605" t="str">
        <f t="shared" si="22"/>
        <v>CWIP Closed</v>
      </c>
      <c r="I151" s="605" t="str">
        <f t="shared" si="22"/>
        <v>Closed to PIS</v>
      </c>
      <c r="J151" s="605" t="str">
        <f t="shared" si="22"/>
        <v>Period CWIP</v>
      </c>
      <c r="K151" s="605" t="str">
        <f>K$53</f>
        <v>Incremental CWIP</v>
      </c>
    </row>
    <row r="152" spans="1:11" s="613" customFormat="1" x14ac:dyDescent="0.2">
      <c r="A152" s="171">
        <f>A146+1</f>
        <v>107</v>
      </c>
      <c r="B152" s="58" t="s">
        <v>6</v>
      </c>
      <c r="C152" s="371">
        <v>2013</v>
      </c>
      <c r="D152" s="610" t="s">
        <v>400</v>
      </c>
      <c r="E152" s="610" t="s">
        <v>400</v>
      </c>
      <c r="F152" s="610" t="s">
        <v>400</v>
      </c>
      <c r="G152" s="610" t="s">
        <v>400</v>
      </c>
      <c r="H152" s="610" t="s">
        <v>400</v>
      </c>
      <c r="I152" s="610" t="s">
        <v>400</v>
      </c>
      <c r="J152" s="173">
        <f>G25</f>
        <v>0</v>
      </c>
      <c r="K152" s="610" t="s">
        <v>400</v>
      </c>
    </row>
    <row r="153" spans="1:11" s="613" customFormat="1" x14ac:dyDescent="0.2">
      <c r="A153" s="171">
        <f>A152+1</f>
        <v>108</v>
      </c>
      <c r="B153" s="58" t="s">
        <v>7</v>
      </c>
      <c r="C153" s="371">
        <v>2014</v>
      </c>
      <c r="D153" s="244">
        <v>901813.89999999921</v>
      </c>
      <c r="E153" s="173">
        <v>67636.042499999938</v>
      </c>
      <c r="F153" s="173">
        <f>E153+D153</f>
        <v>969449.94249999919</v>
      </c>
      <c r="G153" s="244">
        <v>901813.89999999921</v>
      </c>
      <c r="H153" s="244">
        <v>0</v>
      </c>
      <c r="I153" s="173">
        <v>67636.042499999938</v>
      </c>
      <c r="J153" s="173">
        <f>J152+F153-G153-I153</f>
        <v>0</v>
      </c>
      <c r="K153" s="173">
        <f>J153-$J$152</f>
        <v>0</v>
      </c>
    </row>
    <row r="154" spans="1:11" s="613" customFormat="1" x14ac:dyDescent="0.2">
      <c r="A154" s="171">
        <f t="shared" ref="A154:A177" si="23">A153+1</f>
        <v>109</v>
      </c>
      <c r="B154" s="53" t="s">
        <v>8</v>
      </c>
      <c r="C154" s="371">
        <v>2014</v>
      </c>
      <c r="D154" s="244">
        <v>346195.6099999994</v>
      </c>
      <c r="E154" s="173">
        <v>25964.670749999954</v>
      </c>
      <c r="F154" s="173">
        <f t="shared" ref="F154:F176" si="24">E154+D154</f>
        <v>372160.28074999934</v>
      </c>
      <c r="G154" s="244">
        <v>346195.6099999994</v>
      </c>
      <c r="H154" s="244">
        <v>0</v>
      </c>
      <c r="I154" s="173">
        <v>25964.670749999954</v>
      </c>
      <c r="J154" s="173">
        <f t="shared" ref="J154:J176" si="25">J153+F154-G154-I154</f>
        <v>0</v>
      </c>
      <c r="K154" s="173">
        <f t="shared" ref="K154:K176" si="26">J154-$J$152</f>
        <v>0</v>
      </c>
    </row>
    <row r="155" spans="1:11" s="613" customFormat="1" x14ac:dyDescent="0.2">
      <c r="A155" s="171">
        <f t="shared" si="23"/>
        <v>110</v>
      </c>
      <c r="B155" s="53" t="s">
        <v>18</v>
      </c>
      <c r="C155" s="371">
        <v>2014</v>
      </c>
      <c r="D155" s="244">
        <v>717461.15999999992</v>
      </c>
      <c r="E155" s="173">
        <v>53809.586999999992</v>
      </c>
      <c r="F155" s="173">
        <f t="shared" si="24"/>
        <v>771270.74699999986</v>
      </c>
      <c r="G155" s="244">
        <v>717461.15999999992</v>
      </c>
      <c r="H155" s="244">
        <v>0</v>
      </c>
      <c r="I155" s="173">
        <v>53809.586999999992</v>
      </c>
      <c r="J155" s="173">
        <f t="shared" si="25"/>
        <v>0</v>
      </c>
      <c r="K155" s="173">
        <f t="shared" si="26"/>
        <v>0</v>
      </c>
    </row>
    <row r="156" spans="1:11" s="613" customFormat="1" x14ac:dyDescent="0.2">
      <c r="A156" s="171">
        <f t="shared" si="23"/>
        <v>111</v>
      </c>
      <c r="B156" s="58" t="s">
        <v>9</v>
      </c>
      <c r="C156" s="371">
        <v>2014</v>
      </c>
      <c r="D156" s="244">
        <v>242000</v>
      </c>
      <c r="E156" s="173">
        <v>18150</v>
      </c>
      <c r="F156" s="173">
        <f t="shared" si="24"/>
        <v>260150</v>
      </c>
      <c r="G156" s="244">
        <v>242000</v>
      </c>
      <c r="H156" s="244">
        <v>0</v>
      </c>
      <c r="I156" s="173">
        <v>18150</v>
      </c>
      <c r="J156" s="173">
        <f t="shared" si="25"/>
        <v>0</v>
      </c>
      <c r="K156" s="173">
        <f t="shared" si="26"/>
        <v>0</v>
      </c>
    </row>
    <row r="157" spans="1:11" s="613" customFormat="1" x14ac:dyDescent="0.2">
      <c r="A157" s="171">
        <f t="shared" si="23"/>
        <v>112</v>
      </c>
      <c r="B157" s="53" t="s">
        <v>10</v>
      </c>
      <c r="C157" s="371">
        <v>2014</v>
      </c>
      <c r="D157" s="244">
        <v>144000</v>
      </c>
      <c r="E157" s="173">
        <v>10800</v>
      </c>
      <c r="F157" s="173">
        <f t="shared" si="24"/>
        <v>154800</v>
      </c>
      <c r="G157" s="244">
        <v>144000</v>
      </c>
      <c r="H157" s="244">
        <v>0</v>
      </c>
      <c r="I157" s="173">
        <v>10800</v>
      </c>
      <c r="J157" s="173">
        <f t="shared" si="25"/>
        <v>0</v>
      </c>
      <c r="K157" s="173">
        <f t="shared" si="26"/>
        <v>0</v>
      </c>
    </row>
    <row r="158" spans="1:11" s="613" customFormat="1" x14ac:dyDescent="0.2">
      <c r="A158" s="171">
        <f t="shared" si="23"/>
        <v>113</v>
      </c>
      <c r="B158" s="53" t="s">
        <v>25</v>
      </c>
      <c r="C158" s="371">
        <v>2014</v>
      </c>
      <c r="D158" s="244">
        <v>67000</v>
      </c>
      <c r="E158" s="173">
        <v>5025</v>
      </c>
      <c r="F158" s="173">
        <f t="shared" si="24"/>
        <v>72025</v>
      </c>
      <c r="G158" s="244">
        <v>67000</v>
      </c>
      <c r="H158" s="244">
        <v>0</v>
      </c>
      <c r="I158" s="173">
        <v>5025</v>
      </c>
      <c r="J158" s="173">
        <f t="shared" si="25"/>
        <v>0</v>
      </c>
      <c r="K158" s="173">
        <f t="shared" si="26"/>
        <v>0</v>
      </c>
    </row>
    <row r="159" spans="1:11" s="613" customFormat="1" x14ac:dyDescent="0.2">
      <c r="A159" s="171">
        <f t="shared" si="23"/>
        <v>114</v>
      </c>
      <c r="B159" s="58" t="s">
        <v>11</v>
      </c>
      <c r="C159" s="371">
        <v>2014</v>
      </c>
      <c r="D159" s="244">
        <v>35000</v>
      </c>
      <c r="E159" s="173">
        <v>2625</v>
      </c>
      <c r="F159" s="173">
        <f t="shared" si="24"/>
        <v>37625</v>
      </c>
      <c r="G159" s="244">
        <v>35000</v>
      </c>
      <c r="H159" s="244">
        <v>0</v>
      </c>
      <c r="I159" s="173">
        <v>2625</v>
      </c>
      <c r="J159" s="173">
        <f t="shared" si="25"/>
        <v>0</v>
      </c>
      <c r="K159" s="173">
        <f t="shared" si="26"/>
        <v>0</v>
      </c>
    </row>
    <row r="160" spans="1:11" s="613" customFormat="1" x14ac:dyDescent="0.2">
      <c r="A160" s="171">
        <f t="shared" si="23"/>
        <v>115</v>
      </c>
      <c r="B160" s="53" t="s">
        <v>12</v>
      </c>
      <c r="C160" s="371">
        <v>2014</v>
      </c>
      <c r="D160" s="244">
        <v>33000</v>
      </c>
      <c r="E160" s="173">
        <v>2475</v>
      </c>
      <c r="F160" s="173">
        <f t="shared" si="24"/>
        <v>35475</v>
      </c>
      <c r="G160" s="244">
        <v>33000</v>
      </c>
      <c r="H160" s="244">
        <v>0</v>
      </c>
      <c r="I160" s="173">
        <v>2475</v>
      </c>
      <c r="J160" s="173">
        <f t="shared" si="25"/>
        <v>0</v>
      </c>
      <c r="K160" s="173">
        <f t="shared" si="26"/>
        <v>0</v>
      </c>
    </row>
    <row r="161" spans="1:11" s="613" customFormat="1" x14ac:dyDescent="0.2">
      <c r="A161" s="171">
        <f t="shared" si="23"/>
        <v>116</v>
      </c>
      <c r="B161" s="53" t="s">
        <v>13</v>
      </c>
      <c r="C161" s="371">
        <v>2014</v>
      </c>
      <c r="D161" s="244">
        <v>33000</v>
      </c>
      <c r="E161" s="173">
        <v>2475</v>
      </c>
      <c r="F161" s="173">
        <f t="shared" si="24"/>
        <v>35475</v>
      </c>
      <c r="G161" s="244">
        <v>33000</v>
      </c>
      <c r="H161" s="244">
        <v>0</v>
      </c>
      <c r="I161" s="173">
        <v>2475</v>
      </c>
      <c r="J161" s="173">
        <f t="shared" si="25"/>
        <v>0</v>
      </c>
      <c r="K161" s="173">
        <f t="shared" si="26"/>
        <v>0</v>
      </c>
    </row>
    <row r="162" spans="1:11" s="613" customFormat="1" x14ac:dyDescent="0.2">
      <c r="A162" s="171">
        <f t="shared" si="23"/>
        <v>117</v>
      </c>
      <c r="B162" s="58" t="s">
        <v>15</v>
      </c>
      <c r="C162" s="371">
        <v>2014</v>
      </c>
      <c r="D162" s="244">
        <v>33000</v>
      </c>
      <c r="E162" s="173">
        <v>2475</v>
      </c>
      <c r="F162" s="173">
        <f t="shared" si="24"/>
        <v>35475</v>
      </c>
      <c r="G162" s="244">
        <v>33000</v>
      </c>
      <c r="H162" s="244">
        <v>0</v>
      </c>
      <c r="I162" s="173">
        <v>2475</v>
      </c>
      <c r="J162" s="173">
        <f t="shared" si="25"/>
        <v>0</v>
      </c>
      <c r="K162" s="173">
        <f t="shared" si="26"/>
        <v>0</v>
      </c>
    </row>
    <row r="163" spans="1:11" s="613" customFormat="1" x14ac:dyDescent="0.2">
      <c r="A163" s="171">
        <f t="shared" si="23"/>
        <v>118</v>
      </c>
      <c r="B163" s="58" t="s">
        <v>14</v>
      </c>
      <c r="C163" s="371">
        <v>2014</v>
      </c>
      <c r="D163" s="244">
        <v>33000</v>
      </c>
      <c r="E163" s="173">
        <v>2475</v>
      </c>
      <c r="F163" s="173">
        <f t="shared" si="24"/>
        <v>35475</v>
      </c>
      <c r="G163" s="244">
        <v>33000</v>
      </c>
      <c r="H163" s="244">
        <v>0</v>
      </c>
      <c r="I163" s="173">
        <v>2475</v>
      </c>
      <c r="J163" s="173">
        <f t="shared" si="25"/>
        <v>0</v>
      </c>
      <c r="K163" s="173">
        <f t="shared" si="26"/>
        <v>0</v>
      </c>
    </row>
    <row r="164" spans="1:11" s="613" customFormat="1" x14ac:dyDescent="0.2">
      <c r="A164" s="171">
        <f t="shared" si="23"/>
        <v>119</v>
      </c>
      <c r="B164" s="58" t="s">
        <v>6</v>
      </c>
      <c r="C164" s="371">
        <v>2014</v>
      </c>
      <c r="D164" s="244">
        <v>890000</v>
      </c>
      <c r="E164" s="173">
        <v>66750</v>
      </c>
      <c r="F164" s="173">
        <f t="shared" si="24"/>
        <v>956750</v>
      </c>
      <c r="G164" s="244">
        <v>890000</v>
      </c>
      <c r="H164" s="244">
        <v>0</v>
      </c>
      <c r="I164" s="173">
        <v>66750</v>
      </c>
      <c r="J164" s="173">
        <f t="shared" si="25"/>
        <v>0</v>
      </c>
      <c r="K164" s="173">
        <f t="shared" si="26"/>
        <v>0</v>
      </c>
    </row>
    <row r="165" spans="1:11" s="613" customFormat="1" x14ac:dyDescent="0.2">
      <c r="A165" s="171">
        <f t="shared" si="23"/>
        <v>120</v>
      </c>
      <c r="B165" s="58" t="s">
        <v>7</v>
      </c>
      <c r="C165" s="371">
        <v>2015</v>
      </c>
      <c r="D165" s="244">
        <v>0</v>
      </c>
      <c r="E165" s="173">
        <v>0</v>
      </c>
      <c r="F165" s="173">
        <f t="shared" si="24"/>
        <v>0</v>
      </c>
      <c r="G165" s="244">
        <v>0</v>
      </c>
      <c r="H165" s="244">
        <v>0</v>
      </c>
      <c r="I165" s="173">
        <v>0</v>
      </c>
      <c r="J165" s="173">
        <f t="shared" si="25"/>
        <v>0</v>
      </c>
      <c r="K165" s="173">
        <f t="shared" si="26"/>
        <v>0</v>
      </c>
    </row>
    <row r="166" spans="1:11" s="613" customFormat="1" x14ac:dyDescent="0.2">
      <c r="A166" s="171">
        <f t="shared" si="23"/>
        <v>121</v>
      </c>
      <c r="B166" s="53" t="s">
        <v>8</v>
      </c>
      <c r="C166" s="371">
        <v>2015</v>
      </c>
      <c r="D166" s="244">
        <v>0</v>
      </c>
      <c r="E166" s="173">
        <v>0</v>
      </c>
      <c r="F166" s="173">
        <f t="shared" si="24"/>
        <v>0</v>
      </c>
      <c r="G166" s="244">
        <v>0</v>
      </c>
      <c r="H166" s="244">
        <v>0</v>
      </c>
      <c r="I166" s="173">
        <v>0</v>
      </c>
      <c r="J166" s="173">
        <f t="shared" si="25"/>
        <v>0</v>
      </c>
      <c r="K166" s="173">
        <f t="shared" si="26"/>
        <v>0</v>
      </c>
    </row>
    <row r="167" spans="1:11" s="613" customFormat="1" x14ac:dyDescent="0.2">
      <c r="A167" s="171">
        <f t="shared" si="23"/>
        <v>122</v>
      </c>
      <c r="B167" s="53" t="s">
        <v>18</v>
      </c>
      <c r="C167" s="371">
        <v>2015</v>
      </c>
      <c r="D167" s="244">
        <v>0</v>
      </c>
      <c r="E167" s="173">
        <v>0</v>
      </c>
      <c r="F167" s="173">
        <f t="shared" si="24"/>
        <v>0</v>
      </c>
      <c r="G167" s="244">
        <v>0</v>
      </c>
      <c r="H167" s="244">
        <v>0</v>
      </c>
      <c r="I167" s="173">
        <v>0</v>
      </c>
      <c r="J167" s="173">
        <f t="shared" si="25"/>
        <v>0</v>
      </c>
      <c r="K167" s="173">
        <f t="shared" si="26"/>
        <v>0</v>
      </c>
    </row>
    <row r="168" spans="1:11" s="613" customFormat="1" x14ac:dyDescent="0.2">
      <c r="A168" s="171">
        <f t="shared" si="23"/>
        <v>123</v>
      </c>
      <c r="B168" s="58" t="s">
        <v>9</v>
      </c>
      <c r="C168" s="371">
        <v>2015</v>
      </c>
      <c r="D168" s="244">
        <v>0</v>
      </c>
      <c r="E168" s="173">
        <v>0</v>
      </c>
      <c r="F168" s="173">
        <f t="shared" si="24"/>
        <v>0</v>
      </c>
      <c r="G168" s="244">
        <v>0</v>
      </c>
      <c r="H168" s="244">
        <v>0</v>
      </c>
      <c r="I168" s="173">
        <v>0</v>
      </c>
      <c r="J168" s="173">
        <f t="shared" si="25"/>
        <v>0</v>
      </c>
      <c r="K168" s="173">
        <f t="shared" si="26"/>
        <v>0</v>
      </c>
    </row>
    <row r="169" spans="1:11" s="613" customFormat="1" x14ac:dyDescent="0.2">
      <c r="A169" s="171">
        <f t="shared" si="23"/>
        <v>124</v>
      </c>
      <c r="B169" s="53" t="s">
        <v>10</v>
      </c>
      <c r="C169" s="371">
        <v>2015</v>
      </c>
      <c r="D169" s="244">
        <v>0</v>
      </c>
      <c r="E169" s="173">
        <v>0</v>
      </c>
      <c r="F169" s="173">
        <f t="shared" si="24"/>
        <v>0</v>
      </c>
      <c r="G169" s="244">
        <v>0</v>
      </c>
      <c r="H169" s="244">
        <v>0</v>
      </c>
      <c r="I169" s="173">
        <v>0</v>
      </c>
      <c r="J169" s="173">
        <f t="shared" si="25"/>
        <v>0</v>
      </c>
      <c r="K169" s="173">
        <f t="shared" si="26"/>
        <v>0</v>
      </c>
    </row>
    <row r="170" spans="1:11" s="613" customFormat="1" x14ac:dyDescent="0.2">
      <c r="A170" s="171">
        <f t="shared" si="23"/>
        <v>125</v>
      </c>
      <c r="B170" s="53" t="s">
        <v>25</v>
      </c>
      <c r="C170" s="371">
        <v>2015</v>
      </c>
      <c r="D170" s="244">
        <v>0</v>
      </c>
      <c r="E170" s="173">
        <v>0</v>
      </c>
      <c r="F170" s="173">
        <f t="shared" si="24"/>
        <v>0</v>
      </c>
      <c r="G170" s="244">
        <v>0</v>
      </c>
      <c r="H170" s="244">
        <v>0</v>
      </c>
      <c r="I170" s="173">
        <v>0</v>
      </c>
      <c r="J170" s="173">
        <f t="shared" si="25"/>
        <v>0</v>
      </c>
      <c r="K170" s="173">
        <f t="shared" si="26"/>
        <v>0</v>
      </c>
    </row>
    <row r="171" spans="1:11" s="613" customFormat="1" x14ac:dyDescent="0.2">
      <c r="A171" s="171">
        <f t="shared" si="23"/>
        <v>126</v>
      </c>
      <c r="B171" s="58" t="s">
        <v>11</v>
      </c>
      <c r="C171" s="371">
        <v>2015</v>
      </c>
      <c r="D171" s="244">
        <v>0</v>
      </c>
      <c r="E171" s="173">
        <v>0</v>
      </c>
      <c r="F171" s="173">
        <f t="shared" si="24"/>
        <v>0</v>
      </c>
      <c r="G171" s="244">
        <v>0</v>
      </c>
      <c r="H171" s="244">
        <v>0</v>
      </c>
      <c r="I171" s="173">
        <v>0</v>
      </c>
      <c r="J171" s="173">
        <f t="shared" si="25"/>
        <v>0</v>
      </c>
      <c r="K171" s="173">
        <f t="shared" si="26"/>
        <v>0</v>
      </c>
    </row>
    <row r="172" spans="1:11" s="613" customFormat="1" x14ac:dyDescent="0.2">
      <c r="A172" s="171">
        <f t="shared" si="23"/>
        <v>127</v>
      </c>
      <c r="B172" s="53" t="s">
        <v>12</v>
      </c>
      <c r="C172" s="371">
        <v>2015</v>
      </c>
      <c r="D172" s="244">
        <v>0</v>
      </c>
      <c r="E172" s="173">
        <v>0</v>
      </c>
      <c r="F172" s="173">
        <f t="shared" si="24"/>
        <v>0</v>
      </c>
      <c r="G172" s="244">
        <v>0</v>
      </c>
      <c r="H172" s="244">
        <v>0</v>
      </c>
      <c r="I172" s="173">
        <v>0</v>
      </c>
      <c r="J172" s="173">
        <f t="shared" si="25"/>
        <v>0</v>
      </c>
      <c r="K172" s="173">
        <f t="shared" si="26"/>
        <v>0</v>
      </c>
    </row>
    <row r="173" spans="1:11" s="613" customFormat="1" x14ac:dyDescent="0.2">
      <c r="A173" s="171">
        <f t="shared" si="23"/>
        <v>128</v>
      </c>
      <c r="B173" s="53" t="s">
        <v>13</v>
      </c>
      <c r="C173" s="371">
        <v>2015</v>
      </c>
      <c r="D173" s="244">
        <v>0</v>
      </c>
      <c r="E173" s="173">
        <v>0</v>
      </c>
      <c r="F173" s="173">
        <f t="shared" si="24"/>
        <v>0</v>
      </c>
      <c r="G173" s="244">
        <v>0</v>
      </c>
      <c r="H173" s="244">
        <v>0</v>
      </c>
      <c r="I173" s="173">
        <v>0</v>
      </c>
      <c r="J173" s="173">
        <f t="shared" si="25"/>
        <v>0</v>
      </c>
      <c r="K173" s="173">
        <f t="shared" si="26"/>
        <v>0</v>
      </c>
    </row>
    <row r="174" spans="1:11" s="613" customFormat="1" x14ac:dyDescent="0.2">
      <c r="A174" s="171">
        <f t="shared" si="23"/>
        <v>129</v>
      </c>
      <c r="B174" s="53" t="s">
        <v>15</v>
      </c>
      <c r="C174" s="371">
        <v>2015</v>
      </c>
      <c r="D174" s="244">
        <v>0</v>
      </c>
      <c r="E174" s="173">
        <v>0</v>
      </c>
      <c r="F174" s="173">
        <f t="shared" si="24"/>
        <v>0</v>
      </c>
      <c r="G174" s="244">
        <v>0</v>
      </c>
      <c r="H174" s="244">
        <v>0</v>
      </c>
      <c r="I174" s="173">
        <v>0</v>
      </c>
      <c r="J174" s="173">
        <f t="shared" si="25"/>
        <v>0</v>
      </c>
      <c r="K174" s="173">
        <f t="shared" si="26"/>
        <v>0</v>
      </c>
    </row>
    <row r="175" spans="1:11" s="613" customFormat="1" x14ac:dyDescent="0.2">
      <c r="A175" s="171">
        <f t="shared" si="23"/>
        <v>130</v>
      </c>
      <c r="B175" s="53" t="s">
        <v>14</v>
      </c>
      <c r="C175" s="371">
        <v>2015</v>
      </c>
      <c r="D175" s="244">
        <v>0</v>
      </c>
      <c r="E175" s="173">
        <v>0</v>
      </c>
      <c r="F175" s="173">
        <f t="shared" si="24"/>
        <v>0</v>
      </c>
      <c r="G175" s="244">
        <v>0</v>
      </c>
      <c r="H175" s="244">
        <v>0</v>
      </c>
      <c r="I175" s="173">
        <v>0</v>
      </c>
      <c r="J175" s="173">
        <f t="shared" si="25"/>
        <v>0</v>
      </c>
      <c r="K175" s="173">
        <f t="shared" si="26"/>
        <v>0</v>
      </c>
    </row>
    <row r="176" spans="1:11" s="613" customFormat="1" x14ac:dyDescent="0.2">
      <c r="A176" s="171">
        <f t="shared" si="23"/>
        <v>131</v>
      </c>
      <c r="B176" s="53" t="s">
        <v>6</v>
      </c>
      <c r="C176" s="371">
        <v>2015</v>
      </c>
      <c r="D176" s="244">
        <v>0</v>
      </c>
      <c r="E176" s="173">
        <v>0</v>
      </c>
      <c r="F176" s="173">
        <f t="shared" si="24"/>
        <v>0</v>
      </c>
      <c r="G176" s="244">
        <v>0</v>
      </c>
      <c r="H176" s="244">
        <v>0</v>
      </c>
      <c r="I176" s="173">
        <v>0</v>
      </c>
      <c r="J176" s="173">
        <f t="shared" si="25"/>
        <v>0</v>
      </c>
      <c r="K176" s="181">
        <f t="shared" si="26"/>
        <v>0</v>
      </c>
    </row>
    <row r="177" spans="1:11" s="613" customFormat="1" x14ac:dyDescent="0.2">
      <c r="A177" s="171">
        <f t="shared" si="23"/>
        <v>132</v>
      </c>
      <c r="B177"/>
      <c r="C177" s="611" t="s">
        <v>418</v>
      </c>
      <c r="D177"/>
      <c r="E177"/>
      <c r="F177"/>
      <c r="G177"/>
      <c r="H177"/>
      <c r="I177"/>
      <c r="J177"/>
      <c r="K177" s="612">
        <f>AVERAGE(K164:K176)</f>
        <v>0</v>
      </c>
    </row>
    <row r="178" spans="1:11" s="613" customFormat="1" x14ac:dyDescent="0.2">
      <c r="A178" s="171"/>
      <c r="B178"/>
      <c r="C178" s="611"/>
      <c r="D178"/>
      <c r="E178"/>
      <c r="F178"/>
      <c r="G178"/>
      <c r="H178"/>
      <c r="I178"/>
      <c r="J178"/>
      <c r="K178" s="612"/>
    </row>
    <row r="179" spans="1:11" s="613" customFormat="1" x14ac:dyDescent="0.2">
      <c r="B179" s="614" t="s">
        <v>430</v>
      </c>
      <c r="D179" s="750" t="s">
        <v>431</v>
      </c>
      <c r="E179" s="750"/>
    </row>
    <row r="180" spans="1:11" s="613" customFormat="1" x14ac:dyDescent="0.2">
      <c r="A180" s="605"/>
      <c r="B180" s="605"/>
      <c r="C180" s="605"/>
      <c r="D180" s="605" t="s">
        <v>152</v>
      </c>
      <c r="E180" s="605" t="s">
        <v>153</v>
      </c>
      <c r="F180" s="605" t="s">
        <v>154</v>
      </c>
      <c r="G180" s="605" t="s">
        <v>155</v>
      </c>
      <c r="H180" s="605" t="s">
        <v>371</v>
      </c>
      <c r="I180" s="605" t="s">
        <v>372</v>
      </c>
      <c r="J180" s="605" t="s">
        <v>386</v>
      </c>
      <c r="K180" s="605" t="s">
        <v>387</v>
      </c>
    </row>
    <row r="181" spans="1:11" s="613" customFormat="1" ht="38.25" x14ac:dyDescent="0.2">
      <c r="D181" s="615"/>
      <c r="E181" s="616" t="s">
        <v>421</v>
      </c>
      <c r="F181" s="610" t="s">
        <v>422</v>
      </c>
      <c r="G181" s="453"/>
      <c r="H181" s="615"/>
      <c r="I181" s="616" t="s">
        <v>423</v>
      </c>
      <c r="J181" s="616" t="s">
        <v>424</v>
      </c>
      <c r="K181" s="616" t="s">
        <v>425</v>
      </c>
    </row>
    <row r="182" spans="1:11" s="613" customFormat="1" x14ac:dyDescent="0.2">
      <c r="D182" s="615"/>
      <c r="E182" s="616"/>
      <c r="F182" s="610"/>
      <c r="G182" s="226" t="str">
        <f>G51</f>
        <v>Unloaded</v>
      </c>
      <c r="H182" s="615"/>
      <c r="I182" s="616"/>
      <c r="J182" s="616"/>
      <c r="K182" s="616"/>
    </row>
    <row r="183" spans="1:11" s="613" customFormat="1" x14ac:dyDescent="0.2">
      <c r="A183" s="608"/>
      <c r="B183" s="608"/>
      <c r="C183" s="608"/>
      <c r="D183" s="608" t="str">
        <f>D$52</f>
        <v>Forecast</v>
      </c>
      <c r="E183" s="608" t="str">
        <f t="shared" ref="E183:J183" si="27">E$52</f>
        <v>Corporate</v>
      </c>
      <c r="F183" s="608" t="str">
        <f t="shared" si="27"/>
        <v xml:space="preserve">Total </v>
      </c>
      <c r="G183" s="226" t="str">
        <f>G52</f>
        <v>Total</v>
      </c>
      <c r="H183" s="608" t="str">
        <f t="shared" si="27"/>
        <v>Prior Period</v>
      </c>
      <c r="I183" s="608" t="str">
        <f t="shared" si="27"/>
        <v>Over Heads</v>
      </c>
      <c r="J183" s="608" t="str">
        <f t="shared" si="27"/>
        <v>Forecast</v>
      </c>
      <c r="K183" s="166" t="str">
        <f>K$52</f>
        <v>Forecast Period</v>
      </c>
    </row>
    <row r="184" spans="1:11" s="613" customFormat="1" x14ac:dyDescent="0.2">
      <c r="A184" s="208" t="s">
        <v>296</v>
      </c>
      <c r="B184" s="57" t="s">
        <v>16</v>
      </c>
      <c r="C184" s="57" t="s">
        <v>17</v>
      </c>
      <c r="D184" s="605" t="str">
        <f>D$53</f>
        <v>Expenditures</v>
      </c>
      <c r="E184" s="605" t="str">
        <f t="shared" ref="E184:J184" si="28">E$53</f>
        <v>Overheads</v>
      </c>
      <c r="F184" s="605" t="str">
        <f t="shared" si="28"/>
        <v>CWIP Exp</v>
      </c>
      <c r="G184" s="227" t="str">
        <f>G53</f>
        <v>Plant Adds</v>
      </c>
      <c r="H184" s="605" t="str">
        <f t="shared" si="28"/>
        <v>CWIP Closed</v>
      </c>
      <c r="I184" s="605" t="str">
        <f t="shared" si="28"/>
        <v>Closed to PIS</v>
      </c>
      <c r="J184" s="605" t="str">
        <f t="shared" si="28"/>
        <v>Period CWIP</v>
      </c>
      <c r="K184" s="605" t="str">
        <f>K$53</f>
        <v>Incremental CWIP</v>
      </c>
    </row>
    <row r="185" spans="1:11" s="613" customFormat="1" x14ac:dyDescent="0.2">
      <c r="A185" s="171">
        <f>A177+1</f>
        <v>133</v>
      </c>
      <c r="B185" s="58" t="s">
        <v>6</v>
      </c>
      <c r="C185" s="371">
        <v>2013</v>
      </c>
      <c r="D185" s="610" t="s">
        <v>400</v>
      </c>
      <c r="E185" s="610" t="s">
        <v>400</v>
      </c>
      <c r="F185" s="610" t="s">
        <v>400</v>
      </c>
      <c r="G185" s="610" t="s">
        <v>400</v>
      </c>
      <c r="H185" s="610" t="s">
        <v>400</v>
      </c>
      <c r="I185" s="610" t="s">
        <v>400</v>
      </c>
      <c r="J185" s="173">
        <f>H25</f>
        <v>0</v>
      </c>
      <c r="K185" s="610" t="s">
        <v>400</v>
      </c>
    </row>
    <row r="186" spans="1:11" s="613" customFormat="1" x14ac:dyDescent="0.2">
      <c r="A186" s="171">
        <f>A185+1</f>
        <v>134</v>
      </c>
      <c r="B186" s="58" t="s">
        <v>7</v>
      </c>
      <c r="C186" s="371">
        <v>2014</v>
      </c>
      <c r="D186" s="244">
        <v>0</v>
      </c>
      <c r="E186" s="173">
        <v>0</v>
      </c>
      <c r="F186" s="173">
        <f>E186+D186</f>
        <v>0</v>
      </c>
      <c r="G186" s="244">
        <v>0</v>
      </c>
      <c r="H186" s="244">
        <v>0</v>
      </c>
      <c r="I186" s="173">
        <v>0</v>
      </c>
      <c r="J186" s="173">
        <f>J185+F186-G186-I186</f>
        <v>0</v>
      </c>
      <c r="K186" s="173">
        <f>J186-$J$185</f>
        <v>0</v>
      </c>
    </row>
    <row r="187" spans="1:11" s="613" customFormat="1" x14ac:dyDescent="0.2">
      <c r="A187" s="171">
        <f t="shared" ref="A187:A210" si="29">A186+1</f>
        <v>135</v>
      </c>
      <c r="B187" s="53" t="s">
        <v>8</v>
      </c>
      <c r="C187" s="371">
        <v>2014</v>
      </c>
      <c r="D187" s="244">
        <v>0</v>
      </c>
      <c r="E187" s="173">
        <v>0</v>
      </c>
      <c r="F187" s="173">
        <f t="shared" ref="F187:F209" si="30">E187+D187</f>
        <v>0</v>
      </c>
      <c r="G187" s="244">
        <v>0</v>
      </c>
      <c r="H187" s="244">
        <v>0</v>
      </c>
      <c r="I187" s="173">
        <v>0</v>
      </c>
      <c r="J187" s="173">
        <f t="shared" ref="J187:J209" si="31">J186+F187-G187-I187</f>
        <v>0</v>
      </c>
      <c r="K187" s="173">
        <f t="shared" ref="K187:K209" si="32">J187-$J$185</f>
        <v>0</v>
      </c>
    </row>
    <row r="188" spans="1:11" s="613" customFormat="1" x14ac:dyDescent="0.2">
      <c r="A188" s="171">
        <f t="shared" si="29"/>
        <v>136</v>
      </c>
      <c r="B188" s="53" t="s">
        <v>18</v>
      </c>
      <c r="C188" s="371">
        <v>2014</v>
      </c>
      <c r="D188" s="244">
        <v>0</v>
      </c>
      <c r="E188" s="173">
        <v>0</v>
      </c>
      <c r="F188" s="173">
        <f t="shared" si="30"/>
        <v>0</v>
      </c>
      <c r="G188" s="244">
        <v>0</v>
      </c>
      <c r="H188" s="244">
        <v>0</v>
      </c>
      <c r="I188" s="173">
        <v>0</v>
      </c>
      <c r="J188" s="173">
        <f t="shared" si="31"/>
        <v>0</v>
      </c>
      <c r="K188" s="173">
        <f t="shared" si="32"/>
        <v>0</v>
      </c>
    </row>
    <row r="189" spans="1:11" s="613" customFormat="1" x14ac:dyDescent="0.2">
      <c r="A189" s="171">
        <f t="shared" si="29"/>
        <v>137</v>
      </c>
      <c r="B189" s="58" t="s">
        <v>9</v>
      </c>
      <c r="C189" s="371">
        <v>2014</v>
      </c>
      <c r="D189" s="244">
        <v>0</v>
      </c>
      <c r="E189" s="173">
        <v>0</v>
      </c>
      <c r="F189" s="173">
        <f t="shared" si="30"/>
        <v>0</v>
      </c>
      <c r="G189" s="244">
        <v>0</v>
      </c>
      <c r="H189" s="244">
        <v>0</v>
      </c>
      <c r="I189" s="173">
        <v>0</v>
      </c>
      <c r="J189" s="173">
        <f t="shared" si="31"/>
        <v>0</v>
      </c>
      <c r="K189" s="173">
        <f t="shared" si="32"/>
        <v>0</v>
      </c>
    </row>
    <row r="190" spans="1:11" s="613" customFormat="1" x14ac:dyDescent="0.2">
      <c r="A190" s="171">
        <f t="shared" si="29"/>
        <v>138</v>
      </c>
      <c r="B190" s="53" t="s">
        <v>10</v>
      </c>
      <c r="C190" s="371">
        <v>2014</v>
      </c>
      <c r="D190" s="244">
        <v>0</v>
      </c>
      <c r="E190" s="173">
        <v>0</v>
      </c>
      <c r="F190" s="173">
        <f t="shared" si="30"/>
        <v>0</v>
      </c>
      <c r="G190" s="244">
        <v>0</v>
      </c>
      <c r="H190" s="244">
        <v>0</v>
      </c>
      <c r="I190" s="173">
        <v>0</v>
      </c>
      <c r="J190" s="173">
        <f t="shared" si="31"/>
        <v>0</v>
      </c>
      <c r="K190" s="173">
        <f t="shared" si="32"/>
        <v>0</v>
      </c>
    </row>
    <row r="191" spans="1:11" s="613" customFormat="1" x14ac:dyDescent="0.2">
      <c r="A191" s="171">
        <f t="shared" si="29"/>
        <v>139</v>
      </c>
      <c r="B191" s="53" t="s">
        <v>25</v>
      </c>
      <c r="C191" s="371">
        <v>2014</v>
      </c>
      <c r="D191" s="244">
        <v>0</v>
      </c>
      <c r="E191" s="173">
        <v>0</v>
      </c>
      <c r="F191" s="173">
        <f t="shared" si="30"/>
        <v>0</v>
      </c>
      <c r="G191" s="244">
        <v>0</v>
      </c>
      <c r="H191" s="244">
        <v>0</v>
      </c>
      <c r="I191" s="173">
        <v>0</v>
      </c>
      <c r="J191" s="173">
        <f t="shared" si="31"/>
        <v>0</v>
      </c>
      <c r="K191" s="173">
        <f t="shared" si="32"/>
        <v>0</v>
      </c>
    </row>
    <row r="192" spans="1:11" s="613" customFormat="1" x14ac:dyDescent="0.2">
      <c r="A192" s="171">
        <f t="shared" si="29"/>
        <v>140</v>
      </c>
      <c r="B192" s="58" t="s">
        <v>11</v>
      </c>
      <c r="C192" s="371">
        <v>2014</v>
      </c>
      <c r="D192" s="244">
        <v>0</v>
      </c>
      <c r="E192" s="173">
        <v>0</v>
      </c>
      <c r="F192" s="173">
        <f t="shared" si="30"/>
        <v>0</v>
      </c>
      <c r="G192" s="244">
        <v>0</v>
      </c>
      <c r="H192" s="244">
        <v>0</v>
      </c>
      <c r="I192" s="173">
        <v>0</v>
      </c>
      <c r="J192" s="173">
        <f t="shared" si="31"/>
        <v>0</v>
      </c>
      <c r="K192" s="173">
        <f t="shared" si="32"/>
        <v>0</v>
      </c>
    </row>
    <row r="193" spans="1:11" s="613" customFormat="1" x14ac:dyDescent="0.2">
      <c r="A193" s="171">
        <f t="shared" si="29"/>
        <v>141</v>
      </c>
      <c r="B193" s="53" t="s">
        <v>12</v>
      </c>
      <c r="C193" s="371">
        <v>2014</v>
      </c>
      <c r="D193" s="244">
        <v>0</v>
      </c>
      <c r="E193" s="173">
        <v>0</v>
      </c>
      <c r="F193" s="173">
        <f t="shared" si="30"/>
        <v>0</v>
      </c>
      <c r="G193" s="244">
        <v>0</v>
      </c>
      <c r="H193" s="244">
        <v>0</v>
      </c>
      <c r="I193" s="173">
        <v>0</v>
      </c>
      <c r="J193" s="173">
        <f t="shared" si="31"/>
        <v>0</v>
      </c>
      <c r="K193" s="173">
        <f t="shared" si="32"/>
        <v>0</v>
      </c>
    </row>
    <row r="194" spans="1:11" s="613" customFormat="1" x14ac:dyDescent="0.2">
      <c r="A194" s="171">
        <f t="shared" si="29"/>
        <v>142</v>
      </c>
      <c r="B194" s="53" t="s">
        <v>13</v>
      </c>
      <c r="C194" s="371">
        <v>2014</v>
      </c>
      <c r="D194" s="244">
        <v>0</v>
      </c>
      <c r="E194" s="173">
        <v>0</v>
      </c>
      <c r="F194" s="173">
        <f t="shared" si="30"/>
        <v>0</v>
      </c>
      <c r="G194" s="244">
        <v>0</v>
      </c>
      <c r="H194" s="244">
        <v>0</v>
      </c>
      <c r="I194" s="173">
        <v>0</v>
      </c>
      <c r="J194" s="173">
        <f t="shared" si="31"/>
        <v>0</v>
      </c>
      <c r="K194" s="173">
        <f t="shared" si="32"/>
        <v>0</v>
      </c>
    </row>
    <row r="195" spans="1:11" s="613" customFormat="1" x14ac:dyDescent="0.2">
      <c r="A195" s="171">
        <f t="shared" si="29"/>
        <v>143</v>
      </c>
      <c r="B195" s="58" t="s">
        <v>15</v>
      </c>
      <c r="C195" s="371">
        <v>2014</v>
      </c>
      <c r="D195" s="244">
        <v>0</v>
      </c>
      <c r="E195" s="173">
        <v>0</v>
      </c>
      <c r="F195" s="173">
        <f t="shared" si="30"/>
        <v>0</v>
      </c>
      <c r="G195" s="244">
        <v>0</v>
      </c>
      <c r="H195" s="244">
        <v>0</v>
      </c>
      <c r="I195" s="173">
        <v>0</v>
      </c>
      <c r="J195" s="173">
        <f t="shared" si="31"/>
        <v>0</v>
      </c>
      <c r="K195" s="173">
        <f t="shared" si="32"/>
        <v>0</v>
      </c>
    </row>
    <row r="196" spans="1:11" s="613" customFormat="1" x14ac:dyDescent="0.2">
      <c r="A196" s="171">
        <f t="shared" si="29"/>
        <v>144</v>
      </c>
      <c r="B196" s="58" t="s">
        <v>14</v>
      </c>
      <c r="C196" s="371">
        <v>2014</v>
      </c>
      <c r="D196" s="244">
        <v>0</v>
      </c>
      <c r="E196" s="173">
        <v>0</v>
      </c>
      <c r="F196" s="173">
        <f t="shared" si="30"/>
        <v>0</v>
      </c>
      <c r="G196" s="244">
        <v>0</v>
      </c>
      <c r="H196" s="244">
        <v>0</v>
      </c>
      <c r="I196" s="173">
        <v>0</v>
      </c>
      <c r="J196" s="173">
        <f t="shared" si="31"/>
        <v>0</v>
      </c>
      <c r="K196" s="173">
        <f t="shared" si="32"/>
        <v>0</v>
      </c>
    </row>
    <row r="197" spans="1:11" s="613" customFormat="1" x14ac:dyDescent="0.2">
      <c r="A197" s="171">
        <f t="shared" si="29"/>
        <v>145</v>
      </c>
      <c r="B197" s="58" t="s">
        <v>6</v>
      </c>
      <c r="C197" s="371">
        <v>2014</v>
      </c>
      <c r="D197" s="244">
        <v>0</v>
      </c>
      <c r="E197" s="173">
        <v>0</v>
      </c>
      <c r="F197" s="173">
        <f t="shared" si="30"/>
        <v>0</v>
      </c>
      <c r="G197" s="244">
        <v>0</v>
      </c>
      <c r="H197" s="244">
        <v>0</v>
      </c>
      <c r="I197" s="173">
        <v>0</v>
      </c>
      <c r="J197" s="173">
        <f t="shared" si="31"/>
        <v>0</v>
      </c>
      <c r="K197" s="173">
        <f t="shared" si="32"/>
        <v>0</v>
      </c>
    </row>
    <row r="198" spans="1:11" s="613" customFormat="1" x14ac:dyDescent="0.2">
      <c r="A198" s="171">
        <f t="shared" si="29"/>
        <v>146</v>
      </c>
      <c r="B198" s="58" t="s">
        <v>7</v>
      </c>
      <c r="C198" s="371">
        <v>2015</v>
      </c>
      <c r="D198" s="244">
        <v>0</v>
      </c>
      <c r="E198" s="173">
        <v>0</v>
      </c>
      <c r="F198" s="173">
        <f t="shared" si="30"/>
        <v>0</v>
      </c>
      <c r="G198" s="244">
        <v>0</v>
      </c>
      <c r="H198" s="244">
        <v>0</v>
      </c>
      <c r="I198" s="173">
        <v>0</v>
      </c>
      <c r="J198" s="173">
        <f t="shared" si="31"/>
        <v>0</v>
      </c>
      <c r="K198" s="173">
        <f t="shared" si="32"/>
        <v>0</v>
      </c>
    </row>
    <row r="199" spans="1:11" s="613" customFormat="1" x14ac:dyDescent="0.2">
      <c r="A199" s="171">
        <f t="shared" si="29"/>
        <v>147</v>
      </c>
      <c r="B199" s="53" t="s">
        <v>8</v>
      </c>
      <c r="C199" s="371">
        <v>2015</v>
      </c>
      <c r="D199" s="244">
        <v>0</v>
      </c>
      <c r="E199" s="173">
        <v>0</v>
      </c>
      <c r="F199" s="173">
        <f t="shared" si="30"/>
        <v>0</v>
      </c>
      <c r="G199" s="244">
        <v>0</v>
      </c>
      <c r="H199" s="244">
        <v>0</v>
      </c>
      <c r="I199" s="173">
        <v>0</v>
      </c>
      <c r="J199" s="173">
        <f t="shared" si="31"/>
        <v>0</v>
      </c>
      <c r="K199" s="173">
        <f t="shared" si="32"/>
        <v>0</v>
      </c>
    </row>
    <row r="200" spans="1:11" s="613" customFormat="1" x14ac:dyDescent="0.2">
      <c r="A200" s="171">
        <f t="shared" si="29"/>
        <v>148</v>
      </c>
      <c r="B200" s="53" t="s">
        <v>18</v>
      </c>
      <c r="C200" s="371">
        <v>2015</v>
      </c>
      <c r="D200" s="244">
        <v>0</v>
      </c>
      <c r="E200" s="173">
        <v>0</v>
      </c>
      <c r="F200" s="173">
        <f t="shared" si="30"/>
        <v>0</v>
      </c>
      <c r="G200" s="244">
        <v>0</v>
      </c>
      <c r="H200" s="244">
        <v>0</v>
      </c>
      <c r="I200" s="173">
        <v>0</v>
      </c>
      <c r="J200" s="173">
        <f t="shared" si="31"/>
        <v>0</v>
      </c>
      <c r="K200" s="173">
        <f t="shared" si="32"/>
        <v>0</v>
      </c>
    </row>
    <row r="201" spans="1:11" s="613" customFormat="1" x14ac:dyDescent="0.2">
      <c r="A201" s="171">
        <f t="shared" si="29"/>
        <v>149</v>
      </c>
      <c r="B201" s="58" t="s">
        <v>9</v>
      </c>
      <c r="C201" s="371">
        <v>2015</v>
      </c>
      <c r="D201" s="244">
        <v>0</v>
      </c>
      <c r="E201" s="173">
        <v>0</v>
      </c>
      <c r="F201" s="173">
        <f t="shared" si="30"/>
        <v>0</v>
      </c>
      <c r="G201" s="244">
        <v>0</v>
      </c>
      <c r="H201" s="244">
        <v>0</v>
      </c>
      <c r="I201" s="173">
        <v>0</v>
      </c>
      <c r="J201" s="173">
        <f t="shared" si="31"/>
        <v>0</v>
      </c>
      <c r="K201" s="173">
        <f t="shared" si="32"/>
        <v>0</v>
      </c>
    </row>
    <row r="202" spans="1:11" s="613" customFormat="1" x14ac:dyDescent="0.2">
      <c r="A202" s="171">
        <f t="shared" si="29"/>
        <v>150</v>
      </c>
      <c r="B202" s="53" t="s">
        <v>10</v>
      </c>
      <c r="C202" s="371">
        <v>2015</v>
      </c>
      <c r="D202" s="244">
        <v>0</v>
      </c>
      <c r="E202" s="173">
        <v>0</v>
      </c>
      <c r="F202" s="173">
        <f t="shared" si="30"/>
        <v>0</v>
      </c>
      <c r="G202" s="244">
        <v>0</v>
      </c>
      <c r="H202" s="244">
        <v>0</v>
      </c>
      <c r="I202" s="173">
        <v>0</v>
      </c>
      <c r="J202" s="173">
        <f t="shared" si="31"/>
        <v>0</v>
      </c>
      <c r="K202" s="173">
        <f t="shared" si="32"/>
        <v>0</v>
      </c>
    </row>
    <row r="203" spans="1:11" s="613" customFormat="1" x14ac:dyDescent="0.2">
      <c r="A203" s="171">
        <f t="shared" si="29"/>
        <v>151</v>
      </c>
      <c r="B203" s="53" t="s">
        <v>25</v>
      </c>
      <c r="C203" s="371">
        <v>2015</v>
      </c>
      <c r="D203" s="244">
        <v>0</v>
      </c>
      <c r="E203" s="173">
        <v>0</v>
      </c>
      <c r="F203" s="173">
        <f t="shared" si="30"/>
        <v>0</v>
      </c>
      <c r="G203" s="244">
        <v>0</v>
      </c>
      <c r="H203" s="244">
        <v>0</v>
      </c>
      <c r="I203" s="173">
        <v>0</v>
      </c>
      <c r="J203" s="173">
        <f t="shared" si="31"/>
        <v>0</v>
      </c>
      <c r="K203" s="173">
        <f t="shared" si="32"/>
        <v>0</v>
      </c>
    </row>
    <row r="204" spans="1:11" s="613" customFormat="1" x14ac:dyDescent="0.2">
      <c r="A204" s="171">
        <f t="shared" si="29"/>
        <v>152</v>
      </c>
      <c r="B204" s="58" t="s">
        <v>11</v>
      </c>
      <c r="C204" s="371">
        <v>2015</v>
      </c>
      <c r="D204" s="244">
        <v>0</v>
      </c>
      <c r="E204" s="173">
        <v>0</v>
      </c>
      <c r="F204" s="173">
        <f t="shared" si="30"/>
        <v>0</v>
      </c>
      <c r="G204" s="244">
        <v>0</v>
      </c>
      <c r="H204" s="244">
        <v>0</v>
      </c>
      <c r="I204" s="173">
        <v>0</v>
      </c>
      <c r="J204" s="173">
        <f t="shared" si="31"/>
        <v>0</v>
      </c>
      <c r="K204" s="173">
        <f t="shared" si="32"/>
        <v>0</v>
      </c>
    </row>
    <row r="205" spans="1:11" s="613" customFormat="1" x14ac:dyDescent="0.2">
      <c r="A205" s="171">
        <f t="shared" si="29"/>
        <v>153</v>
      </c>
      <c r="B205" s="53" t="s">
        <v>12</v>
      </c>
      <c r="C205" s="371">
        <v>2015</v>
      </c>
      <c r="D205" s="244">
        <v>0</v>
      </c>
      <c r="E205" s="173">
        <v>0</v>
      </c>
      <c r="F205" s="173">
        <f t="shared" si="30"/>
        <v>0</v>
      </c>
      <c r="G205" s="244">
        <v>0</v>
      </c>
      <c r="H205" s="244">
        <v>0</v>
      </c>
      <c r="I205" s="173">
        <v>0</v>
      </c>
      <c r="J205" s="173">
        <f t="shared" si="31"/>
        <v>0</v>
      </c>
      <c r="K205" s="173">
        <f t="shared" si="32"/>
        <v>0</v>
      </c>
    </row>
    <row r="206" spans="1:11" s="613" customFormat="1" x14ac:dyDescent="0.2">
      <c r="A206" s="171">
        <f t="shared" si="29"/>
        <v>154</v>
      </c>
      <c r="B206" s="53" t="s">
        <v>13</v>
      </c>
      <c r="C206" s="371">
        <v>2015</v>
      </c>
      <c r="D206" s="244">
        <v>0</v>
      </c>
      <c r="E206" s="173">
        <v>0</v>
      </c>
      <c r="F206" s="173">
        <f t="shared" si="30"/>
        <v>0</v>
      </c>
      <c r="G206" s="244">
        <v>0</v>
      </c>
      <c r="H206" s="244">
        <v>0</v>
      </c>
      <c r="I206" s="173">
        <v>0</v>
      </c>
      <c r="J206" s="173">
        <f t="shared" si="31"/>
        <v>0</v>
      </c>
      <c r="K206" s="173">
        <f t="shared" si="32"/>
        <v>0</v>
      </c>
    </row>
    <row r="207" spans="1:11" s="613" customFormat="1" x14ac:dyDescent="0.2">
      <c r="A207" s="171">
        <f t="shared" si="29"/>
        <v>155</v>
      </c>
      <c r="B207" s="53" t="s">
        <v>15</v>
      </c>
      <c r="C207" s="371">
        <v>2015</v>
      </c>
      <c r="D207" s="244">
        <v>0</v>
      </c>
      <c r="E207" s="173">
        <v>0</v>
      </c>
      <c r="F207" s="173">
        <f t="shared" si="30"/>
        <v>0</v>
      </c>
      <c r="G207" s="244">
        <v>0</v>
      </c>
      <c r="H207" s="244">
        <v>0</v>
      </c>
      <c r="I207" s="173">
        <v>0</v>
      </c>
      <c r="J207" s="173">
        <f t="shared" si="31"/>
        <v>0</v>
      </c>
      <c r="K207" s="173">
        <f t="shared" si="32"/>
        <v>0</v>
      </c>
    </row>
    <row r="208" spans="1:11" s="613" customFormat="1" x14ac:dyDescent="0.2">
      <c r="A208" s="171">
        <f t="shared" si="29"/>
        <v>156</v>
      </c>
      <c r="B208" s="53" t="s">
        <v>14</v>
      </c>
      <c r="C208" s="371">
        <v>2015</v>
      </c>
      <c r="D208" s="244">
        <v>0</v>
      </c>
      <c r="E208" s="173">
        <v>0</v>
      </c>
      <c r="F208" s="173">
        <f t="shared" si="30"/>
        <v>0</v>
      </c>
      <c r="G208" s="244">
        <v>0</v>
      </c>
      <c r="H208" s="244">
        <v>0</v>
      </c>
      <c r="I208" s="173">
        <v>0</v>
      </c>
      <c r="J208" s="173">
        <f t="shared" si="31"/>
        <v>0</v>
      </c>
      <c r="K208" s="173">
        <f t="shared" si="32"/>
        <v>0</v>
      </c>
    </row>
    <row r="209" spans="1:11" s="613" customFormat="1" x14ac:dyDescent="0.2">
      <c r="A209" s="171">
        <f t="shared" si="29"/>
        <v>157</v>
      </c>
      <c r="B209" s="53" t="s">
        <v>6</v>
      </c>
      <c r="C209" s="371">
        <v>2015</v>
      </c>
      <c r="D209" s="244">
        <v>0</v>
      </c>
      <c r="E209" s="173">
        <v>0</v>
      </c>
      <c r="F209" s="173">
        <f t="shared" si="30"/>
        <v>0</v>
      </c>
      <c r="G209" s="244">
        <v>0</v>
      </c>
      <c r="H209" s="244">
        <v>0</v>
      </c>
      <c r="I209" s="173">
        <v>0</v>
      </c>
      <c r="J209" s="173">
        <f t="shared" si="31"/>
        <v>0</v>
      </c>
      <c r="K209" s="181">
        <f t="shared" si="32"/>
        <v>0</v>
      </c>
    </row>
    <row r="210" spans="1:11" s="613" customFormat="1" x14ac:dyDescent="0.2">
      <c r="A210" s="171">
        <f t="shared" si="29"/>
        <v>158</v>
      </c>
      <c r="B210"/>
      <c r="C210" s="611" t="s">
        <v>418</v>
      </c>
      <c r="D210"/>
      <c r="E210"/>
      <c r="F210"/>
      <c r="G210"/>
      <c r="H210"/>
      <c r="I210"/>
      <c r="J210"/>
      <c r="K210" s="612">
        <f>AVERAGE(K197:K209)</f>
        <v>0</v>
      </c>
    </row>
    <row r="211" spans="1:11" s="613" customFormat="1" x14ac:dyDescent="0.2">
      <c r="A211" s="171"/>
      <c r="B211"/>
      <c r="C211" s="611"/>
      <c r="D211"/>
      <c r="E211"/>
      <c r="F211"/>
      <c r="G211"/>
      <c r="H211"/>
      <c r="I211"/>
      <c r="J211"/>
      <c r="K211" s="612"/>
    </row>
    <row r="212" spans="1:11" s="613" customFormat="1" x14ac:dyDescent="0.2">
      <c r="B212" s="614" t="s">
        <v>432</v>
      </c>
      <c r="D212" s="750" t="s">
        <v>382</v>
      </c>
      <c r="E212" s="750"/>
    </row>
    <row r="213" spans="1:11" s="613" customFormat="1" x14ac:dyDescent="0.2">
      <c r="D213" s="615"/>
      <c r="E213" s="615"/>
      <c r="F213" s="615"/>
      <c r="G213" s="166" t="str">
        <f>G51</f>
        <v>Unloaded</v>
      </c>
      <c r="H213" s="615"/>
      <c r="I213" s="615"/>
    </row>
    <row r="214" spans="1:11" s="613" customFormat="1" x14ac:dyDescent="0.2">
      <c r="A214" s="608"/>
      <c r="B214" s="608"/>
      <c r="C214" s="608"/>
      <c r="D214" s="608" t="str">
        <f>D$52</f>
        <v>Forecast</v>
      </c>
      <c r="E214" s="608" t="str">
        <f t="shared" ref="E214:J214" si="33">E$52</f>
        <v>Corporate</v>
      </c>
      <c r="F214" s="608" t="str">
        <f t="shared" si="33"/>
        <v xml:space="preserve">Total </v>
      </c>
      <c r="G214" s="166" t="str">
        <f>G52</f>
        <v>Total</v>
      </c>
      <c r="H214" s="608" t="str">
        <f t="shared" si="33"/>
        <v>Prior Period</v>
      </c>
      <c r="I214" s="608" t="str">
        <f t="shared" si="33"/>
        <v>Over Heads</v>
      </c>
      <c r="J214" s="608" t="str">
        <f t="shared" si="33"/>
        <v>Forecast</v>
      </c>
      <c r="K214" s="166" t="str">
        <f>K$52</f>
        <v>Forecast Period</v>
      </c>
    </row>
    <row r="215" spans="1:11" s="613" customFormat="1" x14ac:dyDescent="0.2">
      <c r="A215" s="208" t="s">
        <v>296</v>
      </c>
      <c r="B215" s="57" t="s">
        <v>16</v>
      </c>
      <c r="C215" s="57" t="s">
        <v>17</v>
      </c>
      <c r="D215" s="605" t="str">
        <f>D$53</f>
        <v>Expenditures</v>
      </c>
      <c r="E215" s="605" t="str">
        <f t="shared" ref="E215:J215" si="34">E$53</f>
        <v>Overheads</v>
      </c>
      <c r="F215" s="605" t="str">
        <f t="shared" si="34"/>
        <v>CWIP Exp</v>
      </c>
      <c r="G215" s="170" t="str">
        <f>G53</f>
        <v>Plant Adds</v>
      </c>
      <c r="H215" s="605" t="str">
        <f t="shared" si="34"/>
        <v>CWIP Closed</v>
      </c>
      <c r="I215" s="605" t="str">
        <f t="shared" si="34"/>
        <v>Closed to PIS</v>
      </c>
      <c r="J215" s="605" t="str">
        <f t="shared" si="34"/>
        <v>Period CWIP</v>
      </c>
      <c r="K215" s="605" t="str">
        <f>K$53</f>
        <v>Incremental CWIP</v>
      </c>
    </row>
    <row r="216" spans="1:11" s="613" customFormat="1" x14ac:dyDescent="0.2">
      <c r="A216" s="171">
        <f>A210+1</f>
        <v>159</v>
      </c>
      <c r="B216" s="58" t="s">
        <v>6</v>
      </c>
      <c r="C216" s="371">
        <v>2013</v>
      </c>
      <c r="D216" s="610" t="s">
        <v>400</v>
      </c>
      <c r="E216" s="610" t="s">
        <v>400</v>
      </c>
      <c r="F216" s="610" t="s">
        <v>400</v>
      </c>
      <c r="G216" s="610" t="s">
        <v>400</v>
      </c>
      <c r="H216" s="610" t="s">
        <v>400</v>
      </c>
      <c r="I216" s="610" t="s">
        <v>400</v>
      </c>
      <c r="J216" s="173">
        <f>I25</f>
        <v>10206388.680000002</v>
      </c>
      <c r="K216" s="610" t="s">
        <v>400</v>
      </c>
    </row>
    <row r="217" spans="1:11" s="613" customFormat="1" x14ac:dyDescent="0.2">
      <c r="A217" s="171">
        <f>A216+1</f>
        <v>160</v>
      </c>
      <c r="B217" s="58" t="s">
        <v>7</v>
      </c>
      <c r="C217" s="371">
        <v>2014</v>
      </c>
      <c r="D217" s="244">
        <v>1400000</v>
      </c>
      <c r="E217" s="173">
        <v>105000</v>
      </c>
      <c r="F217" s="173">
        <f>E217+D217</f>
        <v>1505000</v>
      </c>
      <c r="G217" s="244">
        <v>671621.65</v>
      </c>
      <c r="H217" s="244">
        <v>-278378.35000000003</v>
      </c>
      <c r="I217" s="173">
        <v>71250</v>
      </c>
      <c r="J217" s="173">
        <f>J216+F217-G217-I217</f>
        <v>10968517.030000001</v>
      </c>
      <c r="K217" s="173">
        <f>J217-$J$216</f>
        <v>762128.34999999963</v>
      </c>
    </row>
    <row r="218" spans="1:11" s="613" customFormat="1" x14ac:dyDescent="0.2">
      <c r="A218" s="171">
        <f t="shared" ref="A218:A241" si="35">A217+1</f>
        <v>161</v>
      </c>
      <c r="B218" s="53" t="s">
        <v>8</v>
      </c>
      <c r="C218" s="371">
        <v>2014</v>
      </c>
      <c r="D218" s="244">
        <v>889000</v>
      </c>
      <c r="E218" s="173">
        <v>66675</v>
      </c>
      <c r="F218" s="173">
        <f t="shared" ref="F218:F240" si="36">E218+D218</f>
        <v>955675</v>
      </c>
      <c r="G218" s="244">
        <v>657000</v>
      </c>
      <c r="H218" s="244">
        <v>0</v>
      </c>
      <c r="I218" s="173">
        <v>49275</v>
      </c>
      <c r="J218" s="173">
        <f t="shared" ref="J218:J240" si="37">J217+F218-G218-I218</f>
        <v>11217917.030000001</v>
      </c>
      <c r="K218" s="173">
        <f t="shared" ref="K218:K240" si="38">J218-$J$216</f>
        <v>1011528.3499999996</v>
      </c>
    </row>
    <row r="219" spans="1:11" s="613" customFormat="1" x14ac:dyDescent="0.2">
      <c r="A219" s="171">
        <f t="shared" si="35"/>
        <v>162</v>
      </c>
      <c r="B219" s="53" t="s">
        <v>18</v>
      </c>
      <c r="C219" s="371">
        <v>2014</v>
      </c>
      <c r="D219" s="244">
        <v>1275000</v>
      </c>
      <c r="E219" s="173">
        <v>95625</v>
      </c>
      <c r="F219" s="173">
        <f t="shared" si="36"/>
        <v>1370625</v>
      </c>
      <c r="G219" s="244">
        <v>12441767.029999979</v>
      </c>
      <c r="H219" s="244">
        <v>10484767.029999979</v>
      </c>
      <c r="I219" s="173">
        <v>146775</v>
      </c>
      <c r="J219" s="173">
        <f t="shared" si="37"/>
        <v>2.2351741790771484E-8</v>
      </c>
      <c r="K219" s="173">
        <f t="shared" si="38"/>
        <v>-10206388.679999979</v>
      </c>
    </row>
    <row r="220" spans="1:11" s="613" customFormat="1" x14ac:dyDescent="0.2">
      <c r="A220" s="171">
        <f t="shared" si="35"/>
        <v>163</v>
      </c>
      <c r="B220" s="58" t="s">
        <v>9</v>
      </c>
      <c r="C220" s="371">
        <v>2014</v>
      </c>
      <c r="D220" s="244">
        <v>1310000</v>
      </c>
      <c r="E220" s="173">
        <v>98250</v>
      </c>
      <c r="F220" s="173">
        <f t="shared" si="36"/>
        <v>1408250</v>
      </c>
      <c r="G220" s="244">
        <v>1310000</v>
      </c>
      <c r="H220" s="244">
        <v>0</v>
      </c>
      <c r="I220" s="173">
        <v>98250</v>
      </c>
      <c r="J220" s="173">
        <f t="shared" si="37"/>
        <v>2.2351741790771484E-8</v>
      </c>
      <c r="K220" s="173">
        <f t="shared" si="38"/>
        <v>-10206388.679999979</v>
      </c>
    </row>
    <row r="221" spans="1:11" s="613" customFormat="1" x14ac:dyDescent="0.2">
      <c r="A221" s="171">
        <f t="shared" si="35"/>
        <v>164</v>
      </c>
      <c r="B221" s="53" t="s">
        <v>10</v>
      </c>
      <c r="C221" s="371">
        <v>2014</v>
      </c>
      <c r="D221" s="244">
        <v>500000</v>
      </c>
      <c r="E221" s="173">
        <v>37500</v>
      </c>
      <c r="F221" s="173">
        <f t="shared" si="36"/>
        <v>537500</v>
      </c>
      <c r="G221" s="244">
        <v>500000</v>
      </c>
      <c r="H221" s="244">
        <v>0</v>
      </c>
      <c r="I221" s="173">
        <v>37500</v>
      </c>
      <c r="J221" s="173">
        <f t="shared" si="37"/>
        <v>2.2351741790771484E-8</v>
      </c>
      <c r="K221" s="173">
        <f t="shared" si="38"/>
        <v>-10206388.679999979</v>
      </c>
    </row>
    <row r="222" spans="1:11" s="613" customFormat="1" x14ac:dyDescent="0.2">
      <c r="A222" s="171">
        <f t="shared" si="35"/>
        <v>165</v>
      </c>
      <c r="B222" s="53" t="s">
        <v>25</v>
      </c>
      <c r="C222" s="371">
        <v>2014</v>
      </c>
      <c r="D222" s="244">
        <v>600000</v>
      </c>
      <c r="E222" s="173">
        <v>45000</v>
      </c>
      <c r="F222" s="173">
        <f t="shared" si="36"/>
        <v>645000</v>
      </c>
      <c r="G222" s="244">
        <v>600000</v>
      </c>
      <c r="H222" s="244">
        <v>0</v>
      </c>
      <c r="I222" s="173">
        <v>45000</v>
      </c>
      <c r="J222" s="173">
        <f t="shared" si="37"/>
        <v>2.2351741790771484E-8</v>
      </c>
      <c r="K222" s="173">
        <f t="shared" si="38"/>
        <v>-10206388.679999979</v>
      </c>
    </row>
    <row r="223" spans="1:11" s="613" customFormat="1" x14ac:dyDescent="0.2">
      <c r="A223" s="171">
        <f t="shared" si="35"/>
        <v>166</v>
      </c>
      <c r="B223" s="58" t="s">
        <v>11</v>
      </c>
      <c r="C223" s="371">
        <v>2014</v>
      </c>
      <c r="D223" s="244">
        <v>800000</v>
      </c>
      <c r="E223" s="173">
        <v>60000</v>
      </c>
      <c r="F223" s="173">
        <f t="shared" si="36"/>
        <v>860000</v>
      </c>
      <c r="G223" s="244">
        <v>800000</v>
      </c>
      <c r="H223" s="244">
        <v>0</v>
      </c>
      <c r="I223" s="173">
        <v>60000</v>
      </c>
      <c r="J223" s="173">
        <f t="shared" si="37"/>
        <v>2.2351741790771484E-8</v>
      </c>
      <c r="K223" s="173">
        <f t="shared" si="38"/>
        <v>-10206388.679999979</v>
      </c>
    </row>
    <row r="224" spans="1:11" s="613" customFormat="1" x14ac:dyDescent="0.2">
      <c r="A224" s="171">
        <f t="shared" si="35"/>
        <v>167</v>
      </c>
      <c r="B224" s="53" t="s">
        <v>12</v>
      </c>
      <c r="C224" s="371">
        <v>2014</v>
      </c>
      <c r="D224" s="244">
        <v>1300000</v>
      </c>
      <c r="E224" s="173">
        <v>97500</v>
      </c>
      <c r="F224" s="173">
        <f t="shared" si="36"/>
        <v>1397500</v>
      </c>
      <c r="G224" s="244">
        <v>1300000</v>
      </c>
      <c r="H224" s="244">
        <v>0</v>
      </c>
      <c r="I224" s="173">
        <v>97500</v>
      </c>
      <c r="J224" s="173">
        <f t="shared" si="37"/>
        <v>2.2351741790771484E-8</v>
      </c>
      <c r="K224" s="173">
        <f t="shared" si="38"/>
        <v>-10206388.679999979</v>
      </c>
    </row>
    <row r="225" spans="1:11" s="613" customFormat="1" x14ac:dyDescent="0.2">
      <c r="A225" s="171">
        <f t="shared" si="35"/>
        <v>168</v>
      </c>
      <c r="B225" s="53" t="s">
        <v>13</v>
      </c>
      <c r="C225" s="371">
        <v>2014</v>
      </c>
      <c r="D225" s="244">
        <v>1200000</v>
      </c>
      <c r="E225" s="173">
        <v>90000</v>
      </c>
      <c r="F225" s="173">
        <f t="shared" si="36"/>
        <v>1290000</v>
      </c>
      <c r="G225" s="244">
        <v>1200000</v>
      </c>
      <c r="H225" s="244">
        <v>0</v>
      </c>
      <c r="I225" s="173">
        <v>90000</v>
      </c>
      <c r="J225" s="173">
        <f t="shared" si="37"/>
        <v>2.2351741790771484E-8</v>
      </c>
      <c r="K225" s="173">
        <f t="shared" si="38"/>
        <v>-10206388.679999979</v>
      </c>
    </row>
    <row r="226" spans="1:11" s="613" customFormat="1" x14ac:dyDescent="0.2">
      <c r="A226" s="171">
        <f t="shared" si="35"/>
        <v>169</v>
      </c>
      <c r="B226" s="58" t="s">
        <v>15</v>
      </c>
      <c r="C226" s="371">
        <v>2014</v>
      </c>
      <c r="D226" s="244">
        <v>1200000</v>
      </c>
      <c r="E226" s="173">
        <v>90000</v>
      </c>
      <c r="F226" s="173">
        <f t="shared" si="36"/>
        <v>1290000</v>
      </c>
      <c r="G226" s="244">
        <v>1200000</v>
      </c>
      <c r="H226" s="244">
        <v>0</v>
      </c>
      <c r="I226" s="173">
        <v>90000</v>
      </c>
      <c r="J226" s="173">
        <f t="shared" si="37"/>
        <v>2.2351741790771484E-8</v>
      </c>
      <c r="K226" s="173">
        <f t="shared" si="38"/>
        <v>-10206388.679999979</v>
      </c>
    </row>
    <row r="227" spans="1:11" s="613" customFormat="1" x14ac:dyDescent="0.2">
      <c r="A227" s="171">
        <f t="shared" si="35"/>
        <v>170</v>
      </c>
      <c r="B227" s="58" t="s">
        <v>14</v>
      </c>
      <c r="C227" s="371">
        <v>2014</v>
      </c>
      <c r="D227" s="244">
        <v>1300000</v>
      </c>
      <c r="E227" s="173">
        <v>97500</v>
      </c>
      <c r="F227" s="173">
        <f t="shared" si="36"/>
        <v>1397500</v>
      </c>
      <c r="G227" s="244">
        <v>1300000</v>
      </c>
      <c r="H227" s="244">
        <v>0</v>
      </c>
      <c r="I227" s="173">
        <v>97500</v>
      </c>
      <c r="J227" s="173">
        <f t="shared" si="37"/>
        <v>2.2351741790771484E-8</v>
      </c>
      <c r="K227" s="173">
        <f t="shared" si="38"/>
        <v>-10206388.679999979</v>
      </c>
    </row>
    <row r="228" spans="1:11" s="613" customFormat="1" x14ac:dyDescent="0.2">
      <c r="A228" s="171">
        <f t="shared" si="35"/>
        <v>171</v>
      </c>
      <c r="B228" s="58" t="s">
        <v>6</v>
      </c>
      <c r="C228" s="371">
        <v>2014</v>
      </c>
      <c r="D228" s="244">
        <v>1800000</v>
      </c>
      <c r="E228" s="173">
        <v>135000</v>
      </c>
      <c r="F228" s="173">
        <f t="shared" si="36"/>
        <v>1935000</v>
      </c>
      <c r="G228" s="244">
        <v>1800000</v>
      </c>
      <c r="H228" s="244">
        <v>0</v>
      </c>
      <c r="I228" s="173">
        <v>135000</v>
      </c>
      <c r="J228" s="173">
        <f t="shared" si="37"/>
        <v>2.2351741790771484E-8</v>
      </c>
      <c r="K228" s="173">
        <f t="shared" si="38"/>
        <v>-10206388.679999979</v>
      </c>
    </row>
    <row r="229" spans="1:11" s="613" customFormat="1" x14ac:dyDescent="0.2">
      <c r="A229" s="171">
        <f t="shared" si="35"/>
        <v>172</v>
      </c>
      <c r="B229" s="58" t="s">
        <v>7</v>
      </c>
      <c r="C229" s="371">
        <v>2015</v>
      </c>
      <c r="D229" s="244">
        <v>1100000</v>
      </c>
      <c r="E229" s="173">
        <v>82500</v>
      </c>
      <c r="F229" s="173">
        <f t="shared" si="36"/>
        <v>1182500</v>
      </c>
      <c r="G229" s="244">
        <v>1100000</v>
      </c>
      <c r="H229" s="244">
        <v>0</v>
      </c>
      <c r="I229" s="173">
        <v>82500</v>
      </c>
      <c r="J229" s="173">
        <f t="shared" si="37"/>
        <v>2.2351741790771484E-8</v>
      </c>
      <c r="K229" s="173">
        <f t="shared" si="38"/>
        <v>-10206388.679999979</v>
      </c>
    </row>
    <row r="230" spans="1:11" s="613" customFormat="1" x14ac:dyDescent="0.2">
      <c r="A230" s="171">
        <f t="shared" si="35"/>
        <v>173</v>
      </c>
      <c r="B230" s="53" t="s">
        <v>8</v>
      </c>
      <c r="C230" s="371">
        <v>2015</v>
      </c>
      <c r="D230" s="244">
        <v>900000</v>
      </c>
      <c r="E230" s="173">
        <v>67500</v>
      </c>
      <c r="F230" s="173">
        <f t="shared" si="36"/>
        <v>967500</v>
      </c>
      <c r="G230" s="244">
        <v>900000</v>
      </c>
      <c r="H230" s="244">
        <v>0</v>
      </c>
      <c r="I230" s="173">
        <v>67500</v>
      </c>
      <c r="J230" s="173">
        <f t="shared" si="37"/>
        <v>2.2351741790771484E-8</v>
      </c>
      <c r="K230" s="173">
        <f t="shared" si="38"/>
        <v>-10206388.679999979</v>
      </c>
    </row>
    <row r="231" spans="1:11" s="613" customFormat="1" x14ac:dyDescent="0.2">
      <c r="A231" s="171">
        <f t="shared" si="35"/>
        <v>174</v>
      </c>
      <c r="B231" s="53" t="s">
        <v>18</v>
      </c>
      <c r="C231" s="371">
        <v>2015</v>
      </c>
      <c r="D231" s="244">
        <v>500000</v>
      </c>
      <c r="E231" s="173">
        <v>37500</v>
      </c>
      <c r="F231" s="173">
        <f t="shared" si="36"/>
        <v>537500</v>
      </c>
      <c r="G231" s="244">
        <v>500000</v>
      </c>
      <c r="H231" s="244">
        <v>0</v>
      </c>
      <c r="I231" s="173">
        <v>37500</v>
      </c>
      <c r="J231" s="173">
        <f t="shared" si="37"/>
        <v>2.2351741790771484E-8</v>
      </c>
      <c r="K231" s="173">
        <f t="shared" si="38"/>
        <v>-10206388.679999979</v>
      </c>
    </row>
    <row r="232" spans="1:11" s="613" customFormat="1" x14ac:dyDescent="0.2">
      <c r="A232" s="171">
        <f t="shared" si="35"/>
        <v>175</v>
      </c>
      <c r="B232" s="58" t="s">
        <v>9</v>
      </c>
      <c r="C232" s="371">
        <v>2015</v>
      </c>
      <c r="D232" s="244">
        <v>300000</v>
      </c>
      <c r="E232" s="173">
        <v>22500</v>
      </c>
      <c r="F232" s="173">
        <f t="shared" si="36"/>
        <v>322500</v>
      </c>
      <c r="G232" s="244">
        <v>300000</v>
      </c>
      <c r="H232" s="244">
        <v>0</v>
      </c>
      <c r="I232" s="173">
        <v>22500</v>
      </c>
      <c r="J232" s="173">
        <f t="shared" si="37"/>
        <v>2.2351741790771484E-8</v>
      </c>
      <c r="K232" s="173">
        <f t="shared" si="38"/>
        <v>-10206388.679999979</v>
      </c>
    </row>
    <row r="233" spans="1:11" s="613" customFormat="1" x14ac:dyDescent="0.2">
      <c r="A233" s="171">
        <f t="shared" si="35"/>
        <v>176</v>
      </c>
      <c r="B233" s="53" t="s">
        <v>10</v>
      </c>
      <c r="C233" s="371">
        <v>2015</v>
      </c>
      <c r="D233" s="244">
        <v>200000</v>
      </c>
      <c r="E233" s="173">
        <v>15000</v>
      </c>
      <c r="F233" s="173">
        <f t="shared" si="36"/>
        <v>215000</v>
      </c>
      <c r="G233" s="244">
        <v>200000</v>
      </c>
      <c r="H233" s="244">
        <v>0</v>
      </c>
      <c r="I233" s="173">
        <v>15000</v>
      </c>
      <c r="J233" s="173">
        <f t="shared" si="37"/>
        <v>2.2351741790771484E-8</v>
      </c>
      <c r="K233" s="173">
        <f t="shared" si="38"/>
        <v>-10206388.679999979</v>
      </c>
    </row>
    <row r="234" spans="1:11" s="613" customFormat="1" x14ac:dyDescent="0.2">
      <c r="A234" s="171">
        <f t="shared" si="35"/>
        <v>177</v>
      </c>
      <c r="B234" s="53" t="s">
        <v>25</v>
      </c>
      <c r="C234" s="371">
        <v>2015</v>
      </c>
      <c r="D234" s="244">
        <v>100000</v>
      </c>
      <c r="E234" s="173">
        <v>7500</v>
      </c>
      <c r="F234" s="173">
        <f t="shared" si="36"/>
        <v>107500</v>
      </c>
      <c r="G234" s="244">
        <v>100000</v>
      </c>
      <c r="H234" s="244">
        <v>0</v>
      </c>
      <c r="I234" s="173">
        <v>7500</v>
      </c>
      <c r="J234" s="173">
        <f t="shared" si="37"/>
        <v>2.2351741790771484E-8</v>
      </c>
      <c r="K234" s="173">
        <f t="shared" si="38"/>
        <v>-10206388.679999979</v>
      </c>
    </row>
    <row r="235" spans="1:11" s="613" customFormat="1" x14ac:dyDescent="0.2">
      <c r="A235" s="171">
        <f t="shared" si="35"/>
        <v>178</v>
      </c>
      <c r="B235" s="58" t="s">
        <v>11</v>
      </c>
      <c r="C235" s="371">
        <v>2015</v>
      </c>
      <c r="D235" s="244">
        <v>100000</v>
      </c>
      <c r="E235" s="173">
        <v>7500</v>
      </c>
      <c r="F235" s="173">
        <f t="shared" si="36"/>
        <v>107500</v>
      </c>
      <c r="G235" s="244">
        <v>100000</v>
      </c>
      <c r="H235" s="244">
        <v>0</v>
      </c>
      <c r="I235" s="173">
        <v>7500</v>
      </c>
      <c r="J235" s="173">
        <f t="shared" si="37"/>
        <v>2.2351741790771484E-8</v>
      </c>
      <c r="K235" s="173">
        <f t="shared" si="38"/>
        <v>-10206388.679999979</v>
      </c>
    </row>
    <row r="236" spans="1:11" s="613" customFormat="1" x14ac:dyDescent="0.2">
      <c r="A236" s="171">
        <f t="shared" si="35"/>
        <v>179</v>
      </c>
      <c r="B236" s="53" t="s">
        <v>12</v>
      </c>
      <c r="C236" s="371">
        <v>2015</v>
      </c>
      <c r="D236" s="244">
        <v>80000</v>
      </c>
      <c r="E236" s="173">
        <v>6000</v>
      </c>
      <c r="F236" s="173">
        <f t="shared" si="36"/>
        <v>86000</v>
      </c>
      <c r="G236" s="244">
        <v>80000</v>
      </c>
      <c r="H236" s="244">
        <v>0</v>
      </c>
      <c r="I236" s="173">
        <v>6000</v>
      </c>
      <c r="J236" s="173">
        <f t="shared" si="37"/>
        <v>2.2351741790771484E-8</v>
      </c>
      <c r="K236" s="173">
        <f t="shared" si="38"/>
        <v>-10206388.679999979</v>
      </c>
    </row>
    <row r="237" spans="1:11" s="613" customFormat="1" x14ac:dyDescent="0.2">
      <c r="A237" s="171">
        <f t="shared" si="35"/>
        <v>180</v>
      </c>
      <c r="B237" s="53" t="s">
        <v>13</v>
      </c>
      <c r="C237" s="371">
        <v>2015</v>
      </c>
      <c r="D237" s="244">
        <v>50000</v>
      </c>
      <c r="E237" s="173">
        <v>3750</v>
      </c>
      <c r="F237" s="173">
        <f t="shared" si="36"/>
        <v>53750</v>
      </c>
      <c r="G237" s="244">
        <v>50000</v>
      </c>
      <c r="H237" s="244">
        <v>0</v>
      </c>
      <c r="I237" s="173">
        <v>3750</v>
      </c>
      <c r="J237" s="173">
        <f t="shared" si="37"/>
        <v>2.2351741790771484E-8</v>
      </c>
      <c r="K237" s="173">
        <f t="shared" si="38"/>
        <v>-10206388.679999979</v>
      </c>
    </row>
    <row r="238" spans="1:11" s="613" customFormat="1" x14ac:dyDescent="0.2">
      <c r="A238" s="171">
        <f t="shared" si="35"/>
        <v>181</v>
      </c>
      <c r="B238" s="53" t="s">
        <v>15</v>
      </c>
      <c r="C238" s="371">
        <v>2015</v>
      </c>
      <c r="D238" s="244">
        <v>0</v>
      </c>
      <c r="E238" s="173">
        <v>0</v>
      </c>
      <c r="F238" s="173">
        <f t="shared" si="36"/>
        <v>0</v>
      </c>
      <c r="G238" s="244">
        <v>0</v>
      </c>
      <c r="H238" s="244">
        <v>0</v>
      </c>
      <c r="I238" s="173">
        <v>0</v>
      </c>
      <c r="J238" s="173">
        <f t="shared" si="37"/>
        <v>2.2351741790771484E-8</v>
      </c>
      <c r="K238" s="173">
        <f t="shared" si="38"/>
        <v>-10206388.679999979</v>
      </c>
    </row>
    <row r="239" spans="1:11" s="613" customFormat="1" x14ac:dyDescent="0.2">
      <c r="A239" s="171">
        <f t="shared" si="35"/>
        <v>182</v>
      </c>
      <c r="B239" s="53" t="s">
        <v>14</v>
      </c>
      <c r="C239" s="371">
        <v>2015</v>
      </c>
      <c r="D239" s="244">
        <v>0</v>
      </c>
      <c r="E239" s="173">
        <v>0</v>
      </c>
      <c r="F239" s="173">
        <f t="shared" si="36"/>
        <v>0</v>
      </c>
      <c r="G239" s="244">
        <v>0</v>
      </c>
      <c r="H239" s="244">
        <v>0</v>
      </c>
      <c r="I239" s="173">
        <v>0</v>
      </c>
      <c r="J239" s="173">
        <f t="shared" si="37"/>
        <v>2.2351741790771484E-8</v>
      </c>
      <c r="K239" s="173">
        <f t="shared" si="38"/>
        <v>-10206388.679999979</v>
      </c>
    </row>
    <row r="240" spans="1:11" s="613" customFormat="1" x14ac:dyDescent="0.2">
      <c r="A240" s="171">
        <f t="shared" si="35"/>
        <v>183</v>
      </c>
      <c r="B240" s="53" t="s">
        <v>6</v>
      </c>
      <c r="C240" s="371">
        <v>2015</v>
      </c>
      <c r="D240" s="244">
        <v>0</v>
      </c>
      <c r="E240" s="173">
        <v>0</v>
      </c>
      <c r="F240" s="173">
        <f t="shared" si="36"/>
        <v>0</v>
      </c>
      <c r="G240" s="244">
        <v>0</v>
      </c>
      <c r="H240" s="244">
        <v>0</v>
      </c>
      <c r="I240" s="173">
        <v>0</v>
      </c>
      <c r="J240" s="173">
        <f t="shared" si="37"/>
        <v>2.2351741790771484E-8</v>
      </c>
      <c r="K240" s="181">
        <f t="shared" si="38"/>
        <v>-10206388.679999979</v>
      </c>
    </row>
    <row r="241" spans="1:11" s="613" customFormat="1" x14ac:dyDescent="0.2">
      <c r="A241" s="171">
        <f t="shared" si="35"/>
        <v>184</v>
      </c>
      <c r="B241"/>
      <c r="C241" s="611" t="s">
        <v>418</v>
      </c>
      <c r="D241"/>
      <c r="E241"/>
      <c r="F241"/>
      <c r="G241"/>
      <c r="H241"/>
      <c r="I241"/>
      <c r="J241"/>
      <c r="K241" s="612">
        <f>AVERAGE(K228:K240)</f>
        <v>-10206388.679999979</v>
      </c>
    </row>
    <row r="242" spans="1:11" s="613" customFormat="1" x14ac:dyDescent="0.2">
      <c r="A242" s="171"/>
      <c r="B242"/>
      <c r="C242" s="611"/>
      <c r="D242"/>
      <c r="E242"/>
      <c r="F242"/>
      <c r="G242"/>
      <c r="H242"/>
      <c r="I242"/>
      <c r="J242"/>
      <c r="K242" s="612"/>
    </row>
    <row r="243" spans="1:11" s="613" customFormat="1" x14ac:dyDescent="0.2">
      <c r="B243" s="614" t="s">
        <v>433</v>
      </c>
      <c r="D243" s="750" t="s">
        <v>434</v>
      </c>
      <c r="E243" s="750"/>
    </row>
    <row r="244" spans="1:11" s="613" customFormat="1" x14ac:dyDescent="0.2">
      <c r="A244" s="605"/>
      <c r="B244" s="605"/>
      <c r="C244" s="605"/>
      <c r="D244" s="605" t="s">
        <v>152</v>
      </c>
      <c r="E244" s="605" t="s">
        <v>153</v>
      </c>
      <c r="F244" s="605" t="s">
        <v>154</v>
      </c>
      <c r="G244" s="605" t="s">
        <v>155</v>
      </c>
      <c r="H244" s="605" t="s">
        <v>371</v>
      </c>
      <c r="I244" s="605" t="s">
        <v>372</v>
      </c>
      <c r="J244" s="605" t="s">
        <v>386</v>
      </c>
      <c r="K244" s="605" t="s">
        <v>387</v>
      </c>
    </row>
    <row r="245" spans="1:11" s="613" customFormat="1" ht="38.25" x14ac:dyDescent="0.2">
      <c r="D245" s="615"/>
      <c r="E245" s="616" t="s">
        <v>421</v>
      </c>
      <c r="F245" s="610" t="s">
        <v>422</v>
      </c>
      <c r="G245" s="453"/>
      <c r="H245" s="615"/>
      <c r="I245" s="616" t="s">
        <v>423</v>
      </c>
      <c r="J245" s="616" t="s">
        <v>424</v>
      </c>
      <c r="K245" s="616" t="s">
        <v>425</v>
      </c>
    </row>
    <row r="246" spans="1:11" s="613" customFormat="1" x14ac:dyDescent="0.2">
      <c r="D246" s="615"/>
      <c r="E246" s="615"/>
      <c r="F246" s="615"/>
      <c r="G246" s="166" t="s">
        <v>435</v>
      </c>
      <c r="H246" s="615"/>
      <c r="I246" s="615"/>
    </row>
    <row r="247" spans="1:11" s="613" customFormat="1" x14ac:dyDescent="0.2">
      <c r="A247" s="608"/>
      <c r="B247" s="608"/>
      <c r="C247" s="608"/>
      <c r="D247" s="608" t="str">
        <f>D$52</f>
        <v>Forecast</v>
      </c>
      <c r="E247" s="608" t="str">
        <f t="shared" ref="E247:J247" si="39">E$52</f>
        <v>Corporate</v>
      </c>
      <c r="F247" s="608" t="str">
        <f t="shared" si="39"/>
        <v xml:space="preserve">Total </v>
      </c>
      <c r="G247" s="608" t="s">
        <v>325</v>
      </c>
      <c r="H247" s="608" t="str">
        <f t="shared" si="39"/>
        <v>Prior Period</v>
      </c>
      <c r="I247" s="608" t="str">
        <f t="shared" si="39"/>
        <v>Over Heads</v>
      </c>
      <c r="J247" s="608" t="str">
        <f t="shared" si="39"/>
        <v>Forecast</v>
      </c>
      <c r="K247" s="166" t="str">
        <f>K$52</f>
        <v>Forecast Period</v>
      </c>
    </row>
    <row r="248" spans="1:11" s="613" customFormat="1" x14ac:dyDescent="0.2">
      <c r="A248" s="208" t="s">
        <v>296</v>
      </c>
      <c r="B248" s="57" t="s">
        <v>16</v>
      </c>
      <c r="C248" s="57" t="s">
        <v>17</v>
      </c>
      <c r="D248" s="605" t="str">
        <f>D$53</f>
        <v>Expenditures</v>
      </c>
      <c r="E248" s="605" t="str">
        <f t="shared" ref="E248:J248" si="40">E$53</f>
        <v>Overheads</v>
      </c>
      <c r="F248" s="605" t="str">
        <f t="shared" si="40"/>
        <v>CWIP Exp</v>
      </c>
      <c r="G248" s="605" t="s">
        <v>413</v>
      </c>
      <c r="H248" s="605" t="str">
        <f t="shared" si="40"/>
        <v>CWIP Closed</v>
      </c>
      <c r="I248" s="605" t="str">
        <f t="shared" si="40"/>
        <v>Closed to PIS</v>
      </c>
      <c r="J248" s="605" t="str">
        <f t="shared" si="40"/>
        <v>Period CWIP</v>
      </c>
      <c r="K248" s="605" t="str">
        <f>K$53</f>
        <v>Incremental CWIP</v>
      </c>
    </row>
    <row r="249" spans="1:11" s="613" customFormat="1" x14ac:dyDescent="0.2">
      <c r="A249" s="171">
        <f>A241+1</f>
        <v>185</v>
      </c>
      <c r="B249" s="58" t="s">
        <v>6</v>
      </c>
      <c r="C249" s="371">
        <v>2013</v>
      </c>
      <c r="D249" s="610" t="s">
        <v>400</v>
      </c>
      <c r="E249" s="610" t="s">
        <v>400</v>
      </c>
      <c r="F249" s="610" t="s">
        <v>400</v>
      </c>
      <c r="G249" s="610" t="s">
        <v>400</v>
      </c>
      <c r="H249" s="610" t="s">
        <v>400</v>
      </c>
      <c r="I249" s="610" t="s">
        <v>400</v>
      </c>
      <c r="J249" s="173">
        <f>D45</f>
        <v>21945221.93</v>
      </c>
      <c r="K249" s="610" t="s">
        <v>400</v>
      </c>
    </row>
    <row r="250" spans="1:11" s="613" customFormat="1" x14ac:dyDescent="0.2">
      <c r="A250" s="171">
        <f>A249+1</f>
        <v>186</v>
      </c>
      <c r="B250" s="58" t="s">
        <v>7</v>
      </c>
      <c r="C250" s="371">
        <v>2014</v>
      </c>
      <c r="D250" s="244">
        <v>1268000</v>
      </c>
      <c r="E250" s="173">
        <v>95100</v>
      </c>
      <c r="F250" s="173">
        <f>E250+D250</f>
        <v>1363100</v>
      </c>
      <c r="G250" s="244">
        <v>0</v>
      </c>
      <c r="H250" s="244">
        <v>0</v>
      </c>
      <c r="I250" s="173">
        <v>0</v>
      </c>
      <c r="J250" s="173">
        <f>J249+F250-G250-I250</f>
        <v>23308321.93</v>
      </c>
      <c r="K250" s="173">
        <f>J250-$J$249</f>
        <v>1363100</v>
      </c>
    </row>
    <row r="251" spans="1:11" s="613" customFormat="1" x14ac:dyDescent="0.2">
      <c r="A251" s="171">
        <f t="shared" ref="A251:A274" si="41">A250+1</f>
        <v>187</v>
      </c>
      <c r="B251" s="53" t="s">
        <v>8</v>
      </c>
      <c r="C251" s="371">
        <v>2014</v>
      </c>
      <c r="D251" s="244">
        <v>788000</v>
      </c>
      <c r="E251" s="173">
        <v>59100</v>
      </c>
      <c r="F251" s="173">
        <f t="shared" ref="F251:F273" si="42">E251+D251</f>
        <v>847100</v>
      </c>
      <c r="G251" s="244">
        <v>0</v>
      </c>
      <c r="H251" s="244">
        <v>0</v>
      </c>
      <c r="I251" s="173">
        <v>0</v>
      </c>
      <c r="J251" s="173">
        <f t="shared" ref="J251:J273" si="43">J250+F251-G251-I251</f>
        <v>24155421.93</v>
      </c>
      <c r="K251" s="173">
        <f t="shared" ref="K251:K273" si="44">J251-$J$249</f>
        <v>2210200</v>
      </c>
    </row>
    <row r="252" spans="1:11" s="613" customFormat="1" x14ac:dyDescent="0.2">
      <c r="A252" s="171">
        <f t="shared" si="41"/>
        <v>188</v>
      </c>
      <c r="B252" s="53" t="s">
        <v>18</v>
      </c>
      <c r="C252" s="371">
        <v>2014</v>
      </c>
      <c r="D252" s="244">
        <v>7020000</v>
      </c>
      <c r="E252" s="173">
        <v>526500</v>
      </c>
      <c r="F252" s="173">
        <f t="shared" si="42"/>
        <v>7546500</v>
      </c>
      <c r="G252" s="244">
        <v>0</v>
      </c>
      <c r="H252" s="244">
        <v>0</v>
      </c>
      <c r="I252" s="173">
        <v>0</v>
      </c>
      <c r="J252" s="173">
        <f t="shared" si="43"/>
        <v>31701921.93</v>
      </c>
      <c r="K252" s="173">
        <f t="shared" si="44"/>
        <v>9756700</v>
      </c>
    </row>
    <row r="253" spans="1:11" s="613" customFormat="1" x14ac:dyDescent="0.2">
      <c r="A253" s="171">
        <f t="shared" si="41"/>
        <v>189</v>
      </c>
      <c r="B253" s="58" t="s">
        <v>9</v>
      </c>
      <c r="C253" s="371">
        <v>2014</v>
      </c>
      <c r="D253" s="244">
        <v>1025000</v>
      </c>
      <c r="E253" s="173">
        <v>76875</v>
      </c>
      <c r="F253" s="173">
        <f t="shared" si="42"/>
        <v>1101875</v>
      </c>
      <c r="G253" s="244">
        <v>0</v>
      </c>
      <c r="H253" s="244">
        <v>0</v>
      </c>
      <c r="I253" s="173">
        <v>0</v>
      </c>
      <c r="J253" s="173">
        <f t="shared" si="43"/>
        <v>32803796.93</v>
      </c>
      <c r="K253" s="173">
        <f t="shared" si="44"/>
        <v>10858575</v>
      </c>
    </row>
    <row r="254" spans="1:11" s="613" customFormat="1" x14ac:dyDescent="0.2">
      <c r="A254" s="171">
        <f t="shared" si="41"/>
        <v>190</v>
      </c>
      <c r="B254" s="53" t="s">
        <v>10</v>
      </c>
      <c r="C254" s="371">
        <v>2014</v>
      </c>
      <c r="D254" s="244">
        <v>1000000</v>
      </c>
      <c r="E254" s="173">
        <v>75000</v>
      </c>
      <c r="F254" s="173">
        <f t="shared" si="42"/>
        <v>1075000</v>
      </c>
      <c r="G254" s="244">
        <v>0</v>
      </c>
      <c r="H254" s="244">
        <v>0</v>
      </c>
      <c r="I254" s="173">
        <v>0</v>
      </c>
      <c r="J254" s="173">
        <f t="shared" si="43"/>
        <v>33878796.93</v>
      </c>
      <c r="K254" s="173">
        <f t="shared" si="44"/>
        <v>11933575</v>
      </c>
    </row>
    <row r="255" spans="1:11" s="613" customFormat="1" x14ac:dyDescent="0.2">
      <c r="A255" s="171">
        <f t="shared" si="41"/>
        <v>191</v>
      </c>
      <c r="B255" s="53" t="s">
        <v>25</v>
      </c>
      <c r="C255" s="371">
        <v>2014</v>
      </c>
      <c r="D255" s="244">
        <v>1550000</v>
      </c>
      <c r="E255" s="173">
        <v>116250</v>
      </c>
      <c r="F255" s="173">
        <f t="shared" si="42"/>
        <v>1666250</v>
      </c>
      <c r="G255" s="244">
        <v>0</v>
      </c>
      <c r="H255" s="244">
        <v>0</v>
      </c>
      <c r="I255" s="173">
        <v>0</v>
      </c>
      <c r="J255" s="173">
        <f t="shared" si="43"/>
        <v>35545046.93</v>
      </c>
      <c r="K255" s="173">
        <f t="shared" si="44"/>
        <v>13599825</v>
      </c>
    </row>
    <row r="256" spans="1:11" s="613" customFormat="1" x14ac:dyDescent="0.2">
      <c r="A256" s="171">
        <f t="shared" si="41"/>
        <v>192</v>
      </c>
      <c r="B256" s="58" t="s">
        <v>11</v>
      </c>
      <c r="C256" s="371">
        <v>2014</v>
      </c>
      <c r="D256" s="244">
        <v>1625000</v>
      </c>
      <c r="E256" s="173">
        <v>121875</v>
      </c>
      <c r="F256" s="173">
        <f t="shared" si="42"/>
        <v>1746875</v>
      </c>
      <c r="G256" s="244">
        <v>0</v>
      </c>
      <c r="H256" s="244">
        <v>0</v>
      </c>
      <c r="I256" s="173">
        <v>0</v>
      </c>
      <c r="J256" s="173">
        <f t="shared" si="43"/>
        <v>37291921.93</v>
      </c>
      <c r="K256" s="173">
        <f t="shared" si="44"/>
        <v>15346700</v>
      </c>
    </row>
    <row r="257" spans="1:11" s="613" customFormat="1" x14ac:dyDescent="0.2">
      <c r="A257" s="171">
        <f t="shared" si="41"/>
        <v>193</v>
      </c>
      <c r="B257" s="53" t="s">
        <v>12</v>
      </c>
      <c r="C257" s="371">
        <v>2014</v>
      </c>
      <c r="D257" s="244">
        <v>1200000</v>
      </c>
      <c r="E257" s="173">
        <v>90000</v>
      </c>
      <c r="F257" s="173">
        <f t="shared" si="42"/>
        <v>1290000</v>
      </c>
      <c r="G257" s="244">
        <v>0</v>
      </c>
      <c r="H257" s="244">
        <v>0</v>
      </c>
      <c r="I257" s="173">
        <v>0</v>
      </c>
      <c r="J257" s="173">
        <f t="shared" si="43"/>
        <v>38581921.93</v>
      </c>
      <c r="K257" s="173">
        <f t="shared" si="44"/>
        <v>16636700</v>
      </c>
    </row>
    <row r="258" spans="1:11" s="613" customFormat="1" x14ac:dyDescent="0.2">
      <c r="A258" s="171">
        <f t="shared" si="41"/>
        <v>194</v>
      </c>
      <c r="B258" s="53" t="s">
        <v>13</v>
      </c>
      <c r="C258" s="371">
        <v>2014</v>
      </c>
      <c r="D258" s="244">
        <v>1100000</v>
      </c>
      <c r="E258" s="173">
        <v>82500</v>
      </c>
      <c r="F258" s="173">
        <f t="shared" si="42"/>
        <v>1182500</v>
      </c>
      <c r="G258" s="244">
        <v>0</v>
      </c>
      <c r="H258" s="244">
        <v>0</v>
      </c>
      <c r="I258" s="173">
        <v>0</v>
      </c>
      <c r="J258" s="173">
        <f t="shared" si="43"/>
        <v>39764421.93</v>
      </c>
      <c r="K258" s="173">
        <f t="shared" si="44"/>
        <v>17819200</v>
      </c>
    </row>
    <row r="259" spans="1:11" s="613" customFormat="1" x14ac:dyDescent="0.2">
      <c r="A259" s="171">
        <f t="shared" si="41"/>
        <v>195</v>
      </c>
      <c r="B259" s="58" t="s">
        <v>15</v>
      </c>
      <c r="C259" s="371">
        <v>2014</v>
      </c>
      <c r="D259" s="244">
        <v>950000</v>
      </c>
      <c r="E259" s="173">
        <v>71250</v>
      </c>
      <c r="F259" s="173">
        <f t="shared" si="42"/>
        <v>1021250</v>
      </c>
      <c r="G259" s="244">
        <v>0</v>
      </c>
      <c r="H259" s="244">
        <v>0</v>
      </c>
      <c r="I259" s="173">
        <v>0</v>
      </c>
      <c r="J259" s="173">
        <f t="shared" si="43"/>
        <v>40785671.93</v>
      </c>
      <c r="K259" s="173">
        <f t="shared" si="44"/>
        <v>18840450</v>
      </c>
    </row>
    <row r="260" spans="1:11" s="613" customFormat="1" x14ac:dyDescent="0.2">
      <c r="A260" s="171">
        <f t="shared" si="41"/>
        <v>196</v>
      </c>
      <c r="B260" s="58" t="s">
        <v>14</v>
      </c>
      <c r="C260" s="371">
        <v>2014</v>
      </c>
      <c r="D260" s="244">
        <v>1000000</v>
      </c>
      <c r="E260" s="173">
        <v>75000</v>
      </c>
      <c r="F260" s="173">
        <f t="shared" si="42"/>
        <v>1075000</v>
      </c>
      <c r="G260" s="244">
        <v>0</v>
      </c>
      <c r="H260" s="244">
        <v>0</v>
      </c>
      <c r="I260" s="173">
        <v>0</v>
      </c>
      <c r="J260" s="173">
        <f t="shared" si="43"/>
        <v>41860671.93</v>
      </c>
      <c r="K260" s="173">
        <f t="shared" si="44"/>
        <v>19915450</v>
      </c>
    </row>
    <row r="261" spans="1:11" s="613" customFormat="1" x14ac:dyDescent="0.2">
      <c r="A261" s="171">
        <f t="shared" si="41"/>
        <v>197</v>
      </c>
      <c r="B261" s="58" t="s">
        <v>6</v>
      </c>
      <c r="C261" s="371">
        <v>2014</v>
      </c>
      <c r="D261" s="244">
        <v>1174000</v>
      </c>
      <c r="E261" s="173">
        <v>88050</v>
      </c>
      <c r="F261" s="173">
        <f t="shared" si="42"/>
        <v>1262050</v>
      </c>
      <c r="G261" s="244">
        <v>41145221.93000003</v>
      </c>
      <c r="H261" s="244">
        <v>21945221.930000026</v>
      </c>
      <c r="I261" s="173">
        <v>1440000.0000000002</v>
      </c>
      <c r="J261" s="173">
        <f t="shared" si="43"/>
        <v>537499.99999996996</v>
      </c>
      <c r="K261" s="173">
        <f t="shared" si="44"/>
        <v>-21407721.93000003</v>
      </c>
    </row>
    <row r="262" spans="1:11" s="613" customFormat="1" x14ac:dyDescent="0.2">
      <c r="A262" s="171">
        <f t="shared" si="41"/>
        <v>198</v>
      </c>
      <c r="B262" s="58" t="s">
        <v>7</v>
      </c>
      <c r="C262" s="371">
        <v>2015</v>
      </c>
      <c r="D262" s="244">
        <v>100000</v>
      </c>
      <c r="E262" s="173">
        <v>7500</v>
      </c>
      <c r="F262" s="173">
        <f t="shared" si="42"/>
        <v>107500</v>
      </c>
      <c r="G262" s="244">
        <v>0</v>
      </c>
      <c r="H262" s="244">
        <v>0</v>
      </c>
      <c r="I262" s="173">
        <v>0</v>
      </c>
      <c r="J262" s="173">
        <f t="shared" si="43"/>
        <v>644999.99999996996</v>
      </c>
      <c r="K262" s="173">
        <f t="shared" si="44"/>
        <v>-21300221.93000003</v>
      </c>
    </row>
    <row r="263" spans="1:11" s="613" customFormat="1" x14ac:dyDescent="0.2">
      <c r="A263" s="171">
        <f t="shared" si="41"/>
        <v>199</v>
      </c>
      <c r="B263" s="53" t="s">
        <v>8</v>
      </c>
      <c r="C263" s="371">
        <v>2015</v>
      </c>
      <c r="D263" s="244">
        <v>100000</v>
      </c>
      <c r="E263" s="173">
        <v>7500</v>
      </c>
      <c r="F263" s="173">
        <f t="shared" si="42"/>
        <v>107500</v>
      </c>
      <c r="G263" s="244">
        <v>0</v>
      </c>
      <c r="H263" s="244">
        <v>0</v>
      </c>
      <c r="I263" s="173">
        <v>0</v>
      </c>
      <c r="J263" s="173">
        <f t="shared" si="43"/>
        <v>752499.99999996996</v>
      </c>
      <c r="K263" s="173">
        <f t="shared" si="44"/>
        <v>-21192721.93000003</v>
      </c>
    </row>
    <row r="264" spans="1:11" s="613" customFormat="1" x14ac:dyDescent="0.2">
      <c r="A264" s="171">
        <f t="shared" si="41"/>
        <v>200</v>
      </c>
      <c r="B264" s="53" t="s">
        <v>18</v>
      </c>
      <c r="C264" s="371">
        <v>2015</v>
      </c>
      <c r="D264" s="244">
        <v>150000</v>
      </c>
      <c r="E264" s="173">
        <v>11250</v>
      </c>
      <c r="F264" s="173">
        <f t="shared" si="42"/>
        <v>161250</v>
      </c>
      <c r="G264" s="244">
        <v>0</v>
      </c>
      <c r="H264" s="244">
        <v>0</v>
      </c>
      <c r="I264" s="173">
        <v>0</v>
      </c>
      <c r="J264" s="173">
        <f t="shared" si="43"/>
        <v>913749.99999996996</v>
      </c>
      <c r="K264" s="173">
        <f t="shared" si="44"/>
        <v>-21031471.93000003</v>
      </c>
    </row>
    <row r="265" spans="1:11" s="613" customFormat="1" x14ac:dyDescent="0.2">
      <c r="A265" s="171">
        <f t="shared" si="41"/>
        <v>201</v>
      </c>
      <c r="B265" s="58" t="s">
        <v>9</v>
      </c>
      <c r="C265" s="371">
        <v>2015</v>
      </c>
      <c r="D265" s="244">
        <v>150000</v>
      </c>
      <c r="E265" s="173">
        <v>11250</v>
      </c>
      <c r="F265" s="173">
        <f t="shared" si="42"/>
        <v>161250</v>
      </c>
      <c r="G265" s="244">
        <v>0</v>
      </c>
      <c r="H265" s="244">
        <v>0</v>
      </c>
      <c r="I265" s="173">
        <v>0</v>
      </c>
      <c r="J265" s="173">
        <f t="shared" si="43"/>
        <v>1074999.99999997</v>
      </c>
      <c r="K265" s="173">
        <f t="shared" si="44"/>
        <v>-20870221.93000003</v>
      </c>
    </row>
    <row r="266" spans="1:11" s="613" customFormat="1" x14ac:dyDescent="0.2">
      <c r="A266" s="171">
        <f t="shared" si="41"/>
        <v>202</v>
      </c>
      <c r="B266" s="53" t="s">
        <v>10</v>
      </c>
      <c r="C266" s="371">
        <v>2015</v>
      </c>
      <c r="D266" s="244">
        <v>150000</v>
      </c>
      <c r="E266" s="173">
        <v>11250</v>
      </c>
      <c r="F266" s="173">
        <f t="shared" si="42"/>
        <v>161250</v>
      </c>
      <c r="G266" s="244">
        <v>0</v>
      </c>
      <c r="H266" s="244">
        <v>0</v>
      </c>
      <c r="I266" s="173">
        <v>0</v>
      </c>
      <c r="J266" s="173">
        <f t="shared" si="43"/>
        <v>1236249.99999997</v>
      </c>
      <c r="K266" s="173">
        <f t="shared" si="44"/>
        <v>-20708971.93000003</v>
      </c>
    </row>
    <row r="267" spans="1:11" s="613" customFormat="1" x14ac:dyDescent="0.2">
      <c r="A267" s="171">
        <f t="shared" si="41"/>
        <v>203</v>
      </c>
      <c r="B267" s="53" t="s">
        <v>25</v>
      </c>
      <c r="C267" s="371">
        <v>2015</v>
      </c>
      <c r="D267" s="244">
        <v>150000</v>
      </c>
      <c r="E267" s="173">
        <v>11250</v>
      </c>
      <c r="F267" s="173">
        <f t="shared" si="42"/>
        <v>161250</v>
      </c>
      <c r="G267" s="244">
        <v>0</v>
      </c>
      <c r="H267" s="244">
        <v>0</v>
      </c>
      <c r="I267" s="173">
        <v>0</v>
      </c>
      <c r="J267" s="173">
        <f t="shared" si="43"/>
        <v>1397499.99999997</v>
      </c>
      <c r="K267" s="173">
        <f t="shared" si="44"/>
        <v>-20547721.93000003</v>
      </c>
    </row>
    <row r="268" spans="1:11" s="613" customFormat="1" x14ac:dyDescent="0.2">
      <c r="A268" s="171">
        <f t="shared" si="41"/>
        <v>204</v>
      </c>
      <c r="B268" s="58" t="s">
        <v>11</v>
      </c>
      <c r="C268" s="371">
        <v>2015</v>
      </c>
      <c r="D268" s="244">
        <v>200000</v>
      </c>
      <c r="E268" s="173">
        <v>15000</v>
      </c>
      <c r="F268" s="173">
        <f t="shared" si="42"/>
        <v>215000</v>
      </c>
      <c r="G268" s="244">
        <v>0</v>
      </c>
      <c r="H268" s="244">
        <v>0</v>
      </c>
      <c r="I268" s="173">
        <v>0</v>
      </c>
      <c r="J268" s="173">
        <f t="shared" si="43"/>
        <v>1612499.99999997</v>
      </c>
      <c r="K268" s="173">
        <f t="shared" si="44"/>
        <v>-20332721.93000003</v>
      </c>
    </row>
    <row r="269" spans="1:11" s="613" customFormat="1" x14ac:dyDescent="0.2">
      <c r="A269" s="171">
        <f t="shared" si="41"/>
        <v>205</v>
      </c>
      <c r="B269" s="53" t="s">
        <v>12</v>
      </c>
      <c r="C269" s="371">
        <v>2015</v>
      </c>
      <c r="D269" s="244">
        <v>2000000</v>
      </c>
      <c r="E269" s="173">
        <v>150000</v>
      </c>
      <c r="F269" s="173">
        <f t="shared" si="42"/>
        <v>2150000</v>
      </c>
      <c r="G269" s="244">
        <v>0</v>
      </c>
      <c r="H269" s="244">
        <v>0</v>
      </c>
      <c r="I269" s="173">
        <v>0</v>
      </c>
      <c r="J269" s="173">
        <f t="shared" si="43"/>
        <v>3762499.9999999702</v>
      </c>
      <c r="K269" s="173">
        <f t="shared" si="44"/>
        <v>-18182721.93000003</v>
      </c>
    </row>
    <row r="270" spans="1:11" s="613" customFormat="1" x14ac:dyDescent="0.2">
      <c r="A270" s="171">
        <f t="shared" si="41"/>
        <v>206</v>
      </c>
      <c r="B270" s="53" t="s">
        <v>13</v>
      </c>
      <c r="C270" s="371">
        <v>2015</v>
      </c>
      <c r="D270" s="244">
        <v>1000000</v>
      </c>
      <c r="E270" s="173">
        <v>75000</v>
      </c>
      <c r="F270" s="173">
        <f t="shared" si="42"/>
        <v>1075000</v>
      </c>
      <c r="G270" s="244">
        <v>0</v>
      </c>
      <c r="H270" s="244">
        <v>0</v>
      </c>
      <c r="I270" s="173">
        <v>0</v>
      </c>
      <c r="J270" s="173">
        <f t="shared" si="43"/>
        <v>4837499.9999999702</v>
      </c>
      <c r="K270" s="173">
        <f t="shared" si="44"/>
        <v>-17107721.93000003</v>
      </c>
    </row>
    <row r="271" spans="1:11" s="613" customFormat="1" x14ac:dyDescent="0.2">
      <c r="A271" s="171">
        <f t="shared" si="41"/>
        <v>207</v>
      </c>
      <c r="B271" s="53" t="s">
        <v>15</v>
      </c>
      <c r="C271" s="371">
        <v>2015</v>
      </c>
      <c r="D271" s="244">
        <v>1000000</v>
      </c>
      <c r="E271" s="173">
        <v>75000</v>
      </c>
      <c r="F271" s="173">
        <f t="shared" si="42"/>
        <v>1075000</v>
      </c>
      <c r="G271" s="244">
        <v>0</v>
      </c>
      <c r="H271" s="244">
        <v>0</v>
      </c>
      <c r="I271" s="173">
        <v>0</v>
      </c>
      <c r="J271" s="173">
        <f t="shared" si="43"/>
        <v>5912499.9999999702</v>
      </c>
      <c r="K271" s="173">
        <f t="shared" si="44"/>
        <v>-16032721.93000003</v>
      </c>
    </row>
    <row r="272" spans="1:11" s="613" customFormat="1" x14ac:dyDescent="0.2">
      <c r="A272" s="171">
        <f t="shared" si="41"/>
        <v>208</v>
      </c>
      <c r="B272" s="53" t="s">
        <v>14</v>
      </c>
      <c r="C272" s="371">
        <v>2015</v>
      </c>
      <c r="D272" s="244">
        <v>5000000</v>
      </c>
      <c r="E272" s="173">
        <v>375000</v>
      </c>
      <c r="F272" s="173">
        <f t="shared" si="42"/>
        <v>5375000</v>
      </c>
      <c r="G272" s="244">
        <v>0</v>
      </c>
      <c r="H272" s="244">
        <v>0</v>
      </c>
      <c r="I272" s="173">
        <v>0</v>
      </c>
      <c r="J272" s="173">
        <f t="shared" si="43"/>
        <v>11287499.99999997</v>
      </c>
      <c r="K272" s="173">
        <f t="shared" si="44"/>
        <v>-10657721.93000003</v>
      </c>
    </row>
    <row r="273" spans="1:13" s="613" customFormat="1" x14ac:dyDescent="0.2">
      <c r="A273" s="171">
        <f t="shared" si="41"/>
        <v>209</v>
      </c>
      <c r="B273" s="53" t="s">
        <v>6</v>
      </c>
      <c r="C273" s="371">
        <v>2015</v>
      </c>
      <c r="D273" s="244">
        <v>1000000</v>
      </c>
      <c r="E273" s="173">
        <v>75000</v>
      </c>
      <c r="F273" s="173">
        <f t="shared" si="42"/>
        <v>1075000</v>
      </c>
      <c r="G273" s="244">
        <v>0</v>
      </c>
      <c r="H273" s="244">
        <v>0</v>
      </c>
      <c r="I273" s="173">
        <v>0</v>
      </c>
      <c r="J273" s="173">
        <f t="shared" si="43"/>
        <v>12362499.99999997</v>
      </c>
      <c r="K273" s="181">
        <f t="shared" si="44"/>
        <v>-9582721.9300000295</v>
      </c>
    </row>
    <row r="274" spans="1:13" s="613" customFormat="1" x14ac:dyDescent="0.2">
      <c r="A274" s="171">
        <f t="shared" si="41"/>
        <v>210</v>
      </c>
      <c r="B274"/>
      <c r="C274" s="611" t="s">
        <v>418</v>
      </c>
      <c r="D274"/>
      <c r="E274"/>
      <c r="F274"/>
      <c r="G274"/>
      <c r="H274"/>
      <c r="I274"/>
      <c r="J274"/>
      <c r="K274" s="612">
        <f>AVERAGE(K261:K273)</f>
        <v>-18381183.468461573</v>
      </c>
    </row>
    <row r="275" spans="1:13" s="613" customFormat="1" ht="12.75" customHeight="1" x14ac:dyDescent="0.2">
      <c r="A275" s="171"/>
      <c r="B275"/>
      <c r="C275" s="611"/>
      <c r="D275"/>
      <c r="E275"/>
      <c r="F275"/>
      <c r="G275"/>
      <c r="H275"/>
      <c r="I275"/>
      <c r="J275"/>
      <c r="K275" s="612"/>
    </row>
    <row r="276" spans="1:13" s="613" customFormat="1" x14ac:dyDescent="0.2">
      <c r="B276" s="614" t="s">
        <v>436</v>
      </c>
      <c r="D276" s="750" t="s">
        <v>437</v>
      </c>
      <c r="E276" s="750"/>
    </row>
    <row r="277" spans="1:13" s="613" customFormat="1" x14ac:dyDescent="0.2">
      <c r="D277" s="615"/>
      <c r="E277" s="616"/>
      <c r="F277" s="610"/>
      <c r="G277" s="608" t="str">
        <f>G51</f>
        <v>Unloaded</v>
      </c>
      <c r="H277" s="615"/>
      <c r="I277" s="616"/>
      <c r="J277" s="616"/>
      <c r="K277" s="616"/>
    </row>
    <row r="278" spans="1:13" s="613" customFormat="1" x14ac:dyDescent="0.2">
      <c r="A278" s="608"/>
      <c r="B278" s="608"/>
      <c r="C278" s="608"/>
      <c r="D278" s="608" t="str">
        <f>D$52</f>
        <v>Forecast</v>
      </c>
      <c r="E278" s="608" t="str">
        <f t="shared" ref="E278:J278" si="45">E$52</f>
        <v>Corporate</v>
      </c>
      <c r="F278" s="608" t="str">
        <f t="shared" si="45"/>
        <v xml:space="preserve">Total </v>
      </c>
      <c r="G278" s="608" t="str">
        <f>G52</f>
        <v>Total</v>
      </c>
      <c r="H278" s="608" t="str">
        <f t="shared" si="45"/>
        <v>Prior Period</v>
      </c>
      <c r="I278" s="608" t="str">
        <f t="shared" si="45"/>
        <v>Over Heads</v>
      </c>
      <c r="J278" s="608" t="str">
        <f t="shared" si="45"/>
        <v>Forecast</v>
      </c>
      <c r="K278" s="166" t="str">
        <f>K$52</f>
        <v>Forecast Period</v>
      </c>
    </row>
    <row r="279" spans="1:13" s="613" customFormat="1" x14ac:dyDescent="0.2">
      <c r="A279" s="208" t="s">
        <v>296</v>
      </c>
      <c r="B279" s="57" t="s">
        <v>16</v>
      </c>
      <c r="C279" s="57" t="s">
        <v>17</v>
      </c>
      <c r="D279" s="605" t="str">
        <f>D$53</f>
        <v>Expenditures</v>
      </c>
      <c r="E279" s="605" t="str">
        <f t="shared" ref="E279:J279" si="46">E$53</f>
        <v>Overheads</v>
      </c>
      <c r="F279" s="605" t="str">
        <f t="shared" si="46"/>
        <v>CWIP Exp</v>
      </c>
      <c r="G279" s="605" t="str">
        <f>G53</f>
        <v>Plant Adds</v>
      </c>
      <c r="H279" s="605" t="str">
        <f t="shared" si="46"/>
        <v>CWIP Closed</v>
      </c>
      <c r="I279" s="605" t="str">
        <f t="shared" si="46"/>
        <v>Closed to PIS</v>
      </c>
      <c r="J279" s="605" t="str">
        <f t="shared" si="46"/>
        <v>Period CWIP</v>
      </c>
      <c r="K279" s="605" t="str">
        <f>K$53</f>
        <v>Incremental CWIP</v>
      </c>
    </row>
    <row r="280" spans="1:13" s="613" customFormat="1" x14ac:dyDescent="0.2">
      <c r="A280" s="171">
        <f>A274+1</f>
        <v>211</v>
      </c>
      <c r="B280" s="58" t="s">
        <v>6</v>
      </c>
      <c r="C280" s="371">
        <v>2013</v>
      </c>
      <c r="D280" s="610" t="s">
        <v>400</v>
      </c>
      <c r="E280" s="610" t="s">
        <v>400</v>
      </c>
      <c r="F280" s="610" t="s">
        <v>400</v>
      </c>
      <c r="G280" s="610" t="s">
        <v>400</v>
      </c>
      <c r="H280" s="610" t="s">
        <v>400</v>
      </c>
      <c r="I280" s="610" t="s">
        <v>400</v>
      </c>
      <c r="J280" s="173">
        <f>E45</f>
        <v>0</v>
      </c>
      <c r="K280" s="610" t="s">
        <v>400</v>
      </c>
    </row>
    <row r="281" spans="1:13" s="613" customFormat="1" x14ac:dyDescent="0.2">
      <c r="A281" s="171">
        <f>A280+1</f>
        <v>212</v>
      </c>
      <c r="B281" s="58" t="s">
        <v>7</v>
      </c>
      <c r="C281" s="371">
        <v>2014</v>
      </c>
      <c r="D281" s="244">
        <v>124000</v>
      </c>
      <c r="E281" s="173">
        <v>9300</v>
      </c>
      <c r="F281" s="173">
        <f>E281+D281</f>
        <v>133300</v>
      </c>
      <c r="G281" s="244">
        <v>124000</v>
      </c>
      <c r="H281" s="244">
        <v>0</v>
      </c>
      <c r="I281" s="173">
        <v>9300</v>
      </c>
      <c r="J281" s="173">
        <f>J280+F281-G281-I281</f>
        <v>0</v>
      </c>
      <c r="K281" s="173">
        <f>J281-$J$280</f>
        <v>0</v>
      </c>
    </row>
    <row r="282" spans="1:13" s="613" customFormat="1" x14ac:dyDescent="0.2">
      <c r="A282" s="171">
        <f t="shared" ref="A282:A305" si="47">A281+1</f>
        <v>213</v>
      </c>
      <c r="B282" s="53" t="s">
        <v>8</v>
      </c>
      <c r="C282" s="371">
        <v>2014</v>
      </c>
      <c r="D282" s="244">
        <v>3000</v>
      </c>
      <c r="E282" s="173">
        <v>225</v>
      </c>
      <c r="F282" s="173">
        <f t="shared" ref="F282:F304" si="48">E282+D282</f>
        <v>3225</v>
      </c>
      <c r="G282" s="244">
        <v>3000</v>
      </c>
      <c r="H282" s="244">
        <v>0</v>
      </c>
      <c r="I282" s="173">
        <v>225</v>
      </c>
      <c r="J282" s="173">
        <f t="shared" ref="J282:J304" si="49">J281+F282-G282-I282</f>
        <v>0</v>
      </c>
      <c r="K282" s="173">
        <f t="shared" ref="K282:K304" si="50">J282-$J$280</f>
        <v>0</v>
      </c>
    </row>
    <row r="283" spans="1:13" s="613" customFormat="1" x14ac:dyDescent="0.2">
      <c r="A283" s="171">
        <f t="shared" si="47"/>
        <v>214</v>
      </c>
      <c r="B283" s="53" t="s">
        <v>18</v>
      </c>
      <c r="C283" s="371">
        <v>2014</v>
      </c>
      <c r="D283" s="244">
        <v>30000</v>
      </c>
      <c r="E283" s="173">
        <v>2250</v>
      </c>
      <c r="F283" s="173">
        <f t="shared" si="48"/>
        <v>32250</v>
      </c>
      <c r="G283" s="244">
        <v>30000</v>
      </c>
      <c r="H283" s="244">
        <v>0</v>
      </c>
      <c r="I283" s="173">
        <v>2250</v>
      </c>
      <c r="J283" s="173">
        <f t="shared" si="49"/>
        <v>0</v>
      </c>
      <c r="K283" s="173">
        <f t="shared" si="50"/>
        <v>0</v>
      </c>
    </row>
    <row r="284" spans="1:13" s="613" customFormat="1" x14ac:dyDescent="0.2">
      <c r="A284" s="171">
        <f t="shared" si="47"/>
        <v>215</v>
      </c>
      <c r="B284" s="58" t="s">
        <v>9</v>
      </c>
      <c r="C284" s="371">
        <v>2014</v>
      </c>
      <c r="D284" s="244">
        <v>50000</v>
      </c>
      <c r="E284" s="173">
        <v>3750</v>
      </c>
      <c r="F284" s="173">
        <f t="shared" si="48"/>
        <v>53750</v>
      </c>
      <c r="G284" s="244">
        <v>30000</v>
      </c>
      <c r="H284" s="244">
        <v>0</v>
      </c>
      <c r="I284" s="173">
        <v>2250</v>
      </c>
      <c r="J284" s="173">
        <f t="shared" si="49"/>
        <v>21500</v>
      </c>
      <c r="K284" s="173">
        <f t="shared" si="50"/>
        <v>21500</v>
      </c>
    </row>
    <row r="285" spans="1:13" s="613" customFormat="1" x14ac:dyDescent="0.2">
      <c r="A285" s="171">
        <f t="shared" si="47"/>
        <v>216</v>
      </c>
      <c r="B285" s="53" t="s">
        <v>10</v>
      </c>
      <c r="C285" s="371">
        <v>2014</v>
      </c>
      <c r="D285" s="244">
        <v>90000</v>
      </c>
      <c r="E285" s="173">
        <v>6750</v>
      </c>
      <c r="F285" s="173">
        <f t="shared" si="48"/>
        <v>96750</v>
      </c>
      <c r="G285" s="244">
        <v>30000</v>
      </c>
      <c r="H285" s="244">
        <v>0</v>
      </c>
      <c r="I285" s="173">
        <v>2250</v>
      </c>
      <c r="J285" s="173">
        <f t="shared" si="49"/>
        <v>86000</v>
      </c>
      <c r="K285" s="173">
        <f t="shared" si="50"/>
        <v>86000</v>
      </c>
      <c r="L285" s="608"/>
      <c r="M285" s="608"/>
    </row>
    <row r="286" spans="1:13" s="613" customFormat="1" x14ac:dyDescent="0.2">
      <c r="A286" s="171">
        <f t="shared" si="47"/>
        <v>217</v>
      </c>
      <c r="B286" s="53" t="s">
        <v>25</v>
      </c>
      <c r="C286" s="371">
        <v>2014</v>
      </c>
      <c r="D286" s="244">
        <v>90000</v>
      </c>
      <c r="E286" s="173">
        <v>6750</v>
      </c>
      <c r="F286" s="173">
        <f t="shared" si="48"/>
        <v>96750</v>
      </c>
      <c r="G286" s="244">
        <v>30000</v>
      </c>
      <c r="H286" s="244">
        <v>0</v>
      </c>
      <c r="I286" s="173">
        <v>2250</v>
      </c>
      <c r="J286" s="173">
        <f t="shared" si="49"/>
        <v>150500</v>
      </c>
      <c r="K286" s="173">
        <f t="shared" si="50"/>
        <v>150500</v>
      </c>
      <c r="L286" s="605"/>
      <c r="M286" s="605"/>
    </row>
    <row r="287" spans="1:13" s="613" customFormat="1" x14ac:dyDescent="0.2">
      <c r="A287" s="171">
        <f t="shared" si="47"/>
        <v>218</v>
      </c>
      <c r="B287" s="58" t="s">
        <v>11</v>
      </c>
      <c r="C287" s="371">
        <v>2014</v>
      </c>
      <c r="D287" s="244">
        <v>90000</v>
      </c>
      <c r="E287" s="173">
        <v>6750</v>
      </c>
      <c r="F287" s="173">
        <f t="shared" si="48"/>
        <v>96750</v>
      </c>
      <c r="G287" s="244">
        <v>30000</v>
      </c>
      <c r="H287" s="244">
        <v>0</v>
      </c>
      <c r="I287" s="173">
        <v>2250</v>
      </c>
      <c r="J287" s="173">
        <f t="shared" si="49"/>
        <v>215000</v>
      </c>
      <c r="K287" s="173">
        <f t="shared" si="50"/>
        <v>215000</v>
      </c>
    </row>
    <row r="288" spans="1:13" s="613" customFormat="1" x14ac:dyDescent="0.2">
      <c r="A288" s="171">
        <f t="shared" si="47"/>
        <v>219</v>
      </c>
      <c r="B288" s="53" t="s">
        <v>12</v>
      </c>
      <c r="C288" s="371">
        <v>2014</v>
      </c>
      <c r="D288" s="244">
        <v>90000</v>
      </c>
      <c r="E288" s="173">
        <v>6750</v>
      </c>
      <c r="F288" s="173">
        <f t="shared" si="48"/>
        <v>96750</v>
      </c>
      <c r="G288" s="244">
        <v>30000</v>
      </c>
      <c r="H288" s="244">
        <v>0</v>
      </c>
      <c r="I288" s="173">
        <v>2250</v>
      </c>
      <c r="J288" s="173">
        <f t="shared" si="49"/>
        <v>279500</v>
      </c>
      <c r="K288" s="173">
        <f t="shared" si="50"/>
        <v>279500</v>
      </c>
    </row>
    <row r="289" spans="1:11" s="613" customFormat="1" x14ac:dyDescent="0.2">
      <c r="A289" s="171">
        <f t="shared" si="47"/>
        <v>220</v>
      </c>
      <c r="B289" s="53" t="s">
        <v>13</v>
      </c>
      <c r="C289" s="371">
        <v>2014</v>
      </c>
      <c r="D289" s="244">
        <v>90000</v>
      </c>
      <c r="E289" s="173">
        <v>6750</v>
      </c>
      <c r="F289" s="173">
        <f t="shared" si="48"/>
        <v>96750</v>
      </c>
      <c r="G289" s="244">
        <v>30000</v>
      </c>
      <c r="H289" s="244">
        <v>0</v>
      </c>
      <c r="I289" s="173">
        <v>2250</v>
      </c>
      <c r="J289" s="173">
        <f t="shared" si="49"/>
        <v>344000</v>
      </c>
      <c r="K289" s="173">
        <f t="shared" si="50"/>
        <v>344000</v>
      </c>
    </row>
    <row r="290" spans="1:11" s="613" customFormat="1" x14ac:dyDescent="0.2">
      <c r="A290" s="171">
        <f t="shared" si="47"/>
        <v>221</v>
      </c>
      <c r="B290" s="58" t="s">
        <v>15</v>
      </c>
      <c r="C290" s="371">
        <v>2014</v>
      </c>
      <c r="D290" s="244">
        <v>90000</v>
      </c>
      <c r="E290" s="173">
        <v>6750</v>
      </c>
      <c r="F290" s="173">
        <f t="shared" si="48"/>
        <v>96750</v>
      </c>
      <c r="G290" s="244">
        <v>30000</v>
      </c>
      <c r="H290" s="244">
        <v>0</v>
      </c>
      <c r="I290" s="173">
        <v>2250</v>
      </c>
      <c r="J290" s="173">
        <f t="shared" si="49"/>
        <v>408500</v>
      </c>
      <c r="K290" s="173">
        <f t="shared" si="50"/>
        <v>408500</v>
      </c>
    </row>
    <row r="291" spans="1:11" s="613" customFormat="1" x14ac:dyDescent="0.2">
      <c r="A291" s="171">
        <f t="shared" si="47"/>
        <v>222</v>
      </c>
      <c r="B291" s="58" t="s">
        <v>14</v>
      </c>
      <c r="C291" s="371">
        <v>2014</v>
      </c>
      <c r="D291" s="244">
        <v>450000</v>
      </c>
      <c r="E291" s="173">
        <v>33750</v>
      </c>
      <c r="F291" s="173">
        <f t="shared" si="48"/>
        <v>483750</v>
      </c>
      <c r="G291" s="244">
        <v>300000</v>
      </c>
      <c r="H291" s="244">
        <v>0</v>
      </c>
      <c r="I291" s="173">
        <v>22500</v>
      </c>
      <c r="J291" s="173">
        <f t="shared" si="49"/>
        <v>569750</v>
      </c>
      <c r="K291" s="173">
        <f t="shared" si="50"/>
        <v>569750</v>
      </c>
    </row>
    <row r="292" spans="1:11" s="613" customFormat="1" x14ac:dyDescent="0.2">
      <c r="A292" s="171">
        <f t="shared" si="47"/>
        <v>223</v>
      </c>
      <c r="B292" s="58" t="s">
        <v>6</v>
      </c>
      <c r="C292" s="371">
        <v>2014</v>
      </c>
      <c r="D292" s="244">
        <v>480000</v>
      </c>
      <c r="E292" s="173">
        <v>36000</v>
      </c>
      <c r="F292" s="173">
        <f t="shared" si="48"/>
        <v>516000</v>
      </c>
      <c r="G292" s="244">
        <v>330000</v>
      </c>
      <c r="H292" s="244">
        <v>0</v>
      </c>
      <c r="I292" s="173">
        <v>24750</v>
      </c>
      <c r="J292" s="173">
        <f t="shared" si="49"/>
        <v>731000</v>
      </c>
      <c r="K292" s="173">
        <f t="shared" si="50"/>
        <v>731000</v>
      </c>
    </row>
    <row r="293" spans="1:11" s="613" customFormat="1" x14ac:dyDescent="0.2">
      <c r="A293" s="171">
        <f t="shared" si="47"/>
        <v>224</v>
      </c>
      <c r="B293" s="58" t="s">
        <v>7</v>
      </c>
      <c r="C293" s="371">
        <v>2015</v>
      </c>
      <c r="D293" s="244">
        <v>350000</v>
      </c>
      <c r="E293" s="173">
        <v>26250</v>
      </c>
      <c r="F293" s="173">
        <f t="shared" si="48"/>
        <v>376250</v>
      </c>
      <c r="G293" s="244">
        <v>50000</v>
      </c>
      <c r="H293" s="244">
        <v>0</v>
      </c>
      <c r="I293" s="173">
        <v>3750</v>
      </c>
      <c r="J293" s="173">
        <f t="shared" si="49"/>
        <v>1053500</v>
      </c>
      <c r="K293" s="173">
        <f t="shared" si="50"/>
        <v>1053500</v>
      </c>
    </row>
    <row r="294" spans="1:11" s="613" customFormat="1" x14ac:dyDescent="0.2">
      <c r="A294" s="171">
        <f t="shared" si="47"/>
        <v>225</v>
      </c>
      <c r="B294" s="53" t="s">
        <v>8</v>
      </c>
      <c r="C294" s="371">
        <v>2015</v>
      </c>
      <c r="D294" s="244">
        <v>200000</v>
      </c>
      <c r="E294" s="173">
        <v>15000</v>
      </c>
      <c r="F294" s="173">
        <f t="shared" si="48"/>
        <v>215000</v>
      </c>
      <c r="G294" s="244">
        <v>50000</v>
      </c>
      <c r="H294" s="244">
        <v>0</v>
      </c>
      <c r="I294" s="173">
        <v>3750</v>
      </c>
      <c r="J294" s="173">
        <f t="shared" si="49"/>
        <v>1214750</v>
      </c>
      <c r="K294" s="173">
        <f t="shared" si="50"/>
        <v>1214750</v>
      </c>
    </row>
    <row r="295" spans="1:11" s="613" customFormat="1" x14ac:dyDescent="0.2">
      <c r="A295" s="171">
        <f t="shared" si="47"/>
        <v>226</v>
      </c>
      <c r="B295" s="53" t="s">
        <v>18</v>
      </c>
      <c r="C295" s="371">
        <v>2015</v>
      </c>
      <c r="D295" s="244">
        <v>350000</v>
      </c>
      <c r="E295" s="173">
        <v>26250</v>
      </c>
      <c r="F295" s="173">
        <f t="shared" si="48"/>
        <v>376250</v>
      </c>
      <c r="G295" s="244">
        <v>50000</v>
      </c>
      <c r="H295" s="244">
        <v>0</v>
      </c>
      <c r="I295" s="173">
        <v>3750</v>
      </c>
      <c r="J295" s="173">
        <f t="shared" si="49"/>
        <v>1537250</v>
      </c>
      <c r="K295" s="173">
        <f t="shared" si="50"/>
        <v>1537250</v>
      </c>
    </row>
    <row r="296" spans="1:11" s="613" customFormat="1" x14ac:dyDescent="0.2">
      <c r="A296" s="171">
        <f t="shared" si="47"/>
        <v>227</v>
      </c>
      <c r="B296" s="58" t="s">
        <v>9</v>
      </c>
      <c r="C296" s="371">
        <v>2015</v>
      </c>
      <c r="D296" s="244">
        <v>290000</v>
      </c>
      <c r="E296" s="173">
        <v>21750</v>
      </c>
      <c r="F296" s="173">
        <f t="shared" si="48"/>
        <v>311750</v>
      </c>
      <c r="G296" s="244">
        <v>50000</v>
      </c>
      <c r="H296" s="244">
        <v>0</v>
      </c>
      <c r="I296" s="173">
        <v>3750</v>
      </c>
      <c r="J296" s="173">
        <f t="shared" si="49"/>
        <v>1795250</v>
      </c>
      <c r="K296" s="173">
        <f t="shared" si="50"/>
        <v>1795250</v>
      </c>
    </row>
    <row r="297" spans="1:11" s="613" customFormat="1" x14ac:dyDescent="0.2">
      <c r="A297" s="171">
        <f t="shared" si="47"/>
        <v>228</v>
      </c>
      <c r="B297" s="53" t="s">
        <v>10</v>
      </c>
      <c r="C297" s="371">
        <v>2015</v>
      </c>
      <c r="D297" s="244">
        <v>480000</v>
      </c>
      <c r="E297" s="173">
        <v>36000</v>
      </c>
      <c r="F297" s="173">
        <f t="shared" si="48"/>
        <v>516000</v>
      </c>
      <c r="G297" s="244">
        <v>2150000</v>
      </c>
      <c r="H297" s="244">
        <v>0</v>
      </c>
      <c r="I297" s="173">
        <v>161250</v>
      </c>
      <c r="J297" s="173">
        <f t="shared" si="49"/>
        <v>0</v>
      </c>
      <c r="K297" s="173">
        <f t="shared" si="50"/>
        <v>0</v>
      </c>
    </row>
    <row r="298" spans="1:11" s="613" customFormat="1" x14ac:dyDescent="0.2">
      <c r="A298" s="171">
        <f t="shared" si="47"/>
        <v>229</v>
      </c>
      <c r="B298" s="53" t="s">
        <v>25</v>
      </c>
      <c r="C298" s="371">
        <v>2015</v>
      </c>
      <c r="D298" s="244">
        <v>443000</v>
      </c>
      <c r="E298" s="173">
        <v>33225</v>
      </c>
      <c r="F298" s="173">
        <f t="shared" si="48"/>
        <v>476225</v>
      </c>
      <c r="G298" s="244">
        <v>443000</v>
      </c>
      <c r="H298" s="244">
        <v>0</v>
      </c>
      <c r="I298" s="173">
        <v>33225</v>
      </c>
      <c r="J298" s="173">
        <f t="shared" si="49"/>
        <v>0</v>
      </c>
      <c r="K298" s="173">
        <f t="shared" si="50"/>
        <v>0</v>
      </c>
    </row>
    <row r="299" spans="1:11" s="613" customFormat="1" x14ac:dyDescent="0.2">
      <c r="A299" s="171">
        <f t="shared" si="47"/>
        <v>230</v>
      </c>
      <c r="B299" s="58" t="s">
        <v>11</v>
      </c>
      <c r="C299" s="371">
        <v>2015</v>
      </c>
      <c r="D299" s="244">
        <v>50000</v>
      </c>
      <c r="E299" s="173">
        <v>3750</v>
      </c>
      <c r="F299" s="173">
        <f t="shared" si="48"/>
        <v>53750</v>
      </c>
      <c r="G299" s="244">
        <v>50000</v>
      </c>
      <c r="H299" s="244">
        <v>0</v>
      </c>
      <c r="I299" s="173">
        <v>3750</v>
      </c>
      <c r="J299" s="173">
        <f t="shared" si="49"/>
        <v>0</v>
      </c>
      <c r="K299" s="173">
        <f t="shared" si="50"/>
        <v>0</v>
      </c>
    </row>
    <row r="300" spans="1:11" s="613" customFormat="1" x14ac:dyDescent="0.2">
      <c r="A300" s="171">
        <f t="shared" si="47"/>
        <v>231</v>
      </c>
      <c r="B300" s="53" t="s">
        <v>12</v>
      </c>
      <c r="C300" s="371">
        <v>2015</v>
      </c>
      <c r="D300" s="244">
        <v>50000</v>
      </c>
      <c r="E300" s="173">
        <v>3750</v>
      </c>
      <c r="F300" s="173">
        <f t="shared" si="48"/>
        <v>53750</v>
      </c>
      <c r="G300" s="244">
        <v>50000</v>
      </c>
      <c r="H300" s="244">
        <v>0</v>
      </c>
      <c r="I300" s="173">
        <v>3750</v>
      </c>
      <c r="J300" s="173">
        <f t="shared" si="49"/>
        <v>0</v>
      </c>
      <c r="K300" s="173">
        <f t="shared" si="50"/>
        <v>0</v>
      </c>
    </row>
    <row r="301" spans="1:11" s="613" customFormat="1" x14ac:dyDescent="0.2">
      <c r="A301" s="171">
        <f t="shared" si="47"/>
        <v>232</v>
      </c>
      <c r="B301" s="53" t="s">
        <v>13</v>
      </c>
      <c r="C301" s="371">
        <v>2015</v>
      </c>
      <c r="D301" s="244">
        <v>50000</v>
      </c>
      <c r="E301" s="173">
        <v>3750</v>
      </c>
      <c r="F301" s="173">
        <f t="shared" si="48"/>
        <v>53750</v>
      </c>
      <c r="G301" s="244">
        <v>50000</v>
      </c>
      <c r="H301" s="244">
        <v>0</v>
      </c>
      <c r="I301" s="173">
        <v>3750</v>
      </c>
      <c r="J301" s="173">
        <f t="shared" si="49"/>
        <v>0</v>
      </c>
      <c r="K301" s="173">
        <f t="shared" si="50"/>
        <v>0</v>
      </c>
    </row>
    <row r="302" spans="1:11" s="613" customFormat="1" x14ac:dyDescent="0.2">
      <c r="A302" s="171">
        <f t="shared" si="47"/>
        <v>233</v>
      </c>
      <c r="B302" s="53" t="s">
        <v>15</v>
      </c>
      <c r="C302" s="371">
        <v>2015</v>
      </c>
      <c r="D302" s="244">
        <v>2600000</v>
      </c>
      <c r="E302" s="173">
        <v>195000</v>
      </c>
      <c r="F302" s="173">
        <f t="shared" si="48"/>
        <v>2795000</v>
      </c>
      <c r="G302" s="244">
        <v>2600000</v>
      </c>
      <c r="H302" s="244">
        <v>0</v>
      </c>
      <c r="I302" s="173">
        <v>195000</v>
      </c>
      <c r="J302" s="173">
        <f t="shared" si="49"/>
        <v>0</v>
      </c>
      <c r="K302" s="173">
        <f t="shared" si="50"/>
        <v>0</v>
      </c>
    </row>
    <row r="303" spans="1:11" s="613" customFormat="1" x14ac:dyDescent="0.2">
      <c r="A303" s="171">
        <f t="shared" si="47"/>
        <v>234</v>
      </c>
      <c r="B303" s="53" t="s">
        <v>14</v>
      </c>
      <c r="C303" s="371">
        <v>2015</v>
      </c>
      <c r="D303" s="244">
        <v>2650000</v>
      </c>
      <c r="E303" s="173">
        <v>198750</v>
      </c>
      <c r="F303" s="173">
        <f t="shared" si="48"/>
        <v>2848750</v>
      </c>
      <c r="G303" s="244">
        <v>2650000</v>
      </c>
      <c r="H303" s="244">
        <v>0</v>
      </c>
      <c r="I303" s="173">
        <v>198750</v>
      </c>
      <c r="J303" s="173">
        <f t="shared" si="49"/>
        <v>0</v>
      </c>
      <c r="K303" s="173">
        <f t="shared" si="50"/>
        <v>0</v>
      </c>
    </row>
    <row r="304" spans="1:11" s="613" customFormat="1" x14ac:dyDescent="0.2">
      <c r="A304" s="171">
        <f t="shared" si="47"/>
        <v>235</v>
      </c>
      <c r="B304" s="53" t="s">
        <v>6</v>
      </c>
      <c r="C304" s="371">
        <v>2015</v>
      </c>
      <c r="D304" s="244">
        <v>2800000</v>
      </c>
      <c r="E304" s="173">
        <v>210000</v>
      </c>
      <c r="F304" s="173">
        <f t="shared" si="48"/>
        <v>3010000</v>
      </c>
      <c r="G304" s="244">
        <v>2800000</v>
      </c>
      <c r="H304" s="244">
        <v>0</v>
      </c>
      <c r="I304" s="173">
        <v>210000</v>
      </c>
      <c r="J304" s="173">
        <f t="shared" si="49"/>
        <v>0</v>
      </c>
      <c r="K304" s="181">
        <f t="shared" si="50"/>
        <v>0</v>
      </c>
    </row>
    <row r="305" spans="1:12" s="613" customFormat="1" x14ac:dyDescent="0.2">
      <c r="A305" s="171">
        <f t="shared" si="47"/>
        <v>236</v>
      </c>
      <c r="B305"/>
      <c r="C305" s="611" t="s">
        <v>418</v>
      </c>
      <c r="D305"/>
      <c r="E305"/>
      <c r="F305"/>
      <c r="G305"/>
      <c r="H305"/>
      <c r="I305"/>
      <c r="J305"/>
      <c r="K305" s="612">
        <f>AVERAGE(K292:K304)</f>
        <v>487057.69230769231</v>
      </c>
    </row>
    <row r="306" spans="1:12" s="613" customFormat="1" x14ac:dyDescent="0.2">
      <c r="A306" s="171"/>
      <c r="B306"/>
      <c r="C306" s="611"/>
      <c r="D306"/>
      <c r="E306"/>
      <c r="F306"/>
      <c r="G306"/>
      <c r="H306"/>
      <c r="I306"/>
      <c r="J306"/>
      <c r="K306" s="612"/>
    </row>
    <row r="307" spans="1:12" s="613" customFormat="1" x14ac:dyDescent="0.2">
      <c r="B307" s="614" t="s">
        <v>438</v>
      </c>
      <c r="D307" s="750" t="s">
        <v>439</v>
      </c>
      <c r="E307" s="750"/>
    </row>
    <row r="308" spans="1:12" s="613" customFormat="1" x14ac:dyDescent="0.2">
      <c r="A308" s="605"/>
      <c r="B308" s="605"/>
      <c r="C308" s="605"/>
      <c r="D308" s="605" t="s">
        <v>152</v>
      </c>
      <c r="E308" s="605" t="s">
        <v>153</v>
      </c>
      <c r="F308" s="605" t="s">
        <v>154</v>
      </c>
      <c r="G308" s="605" t="s">
        <v>155</v>
      </c>
      <c r="H308" s="605" t="s">
        <v>371</v>
      </c>
      <c r="I308" s="605" t="s">
        <v>372</v>
      </c>
      <c r="J308" s="605" t="s">
        <v>386</v>
      </c>
      <c r="K308" s="605" t="s">
        <v>387</v>
      </c>
    </row>
    <row r="309" spans="1:12" s="613" customFormat="1" ht="38.25" x14ac:dyDescent="0.2">
      <c r="D309" s="615"/>
      <c r="E309" s="616" t="s">
        <v>421</v>
      </c>
      <c r="F309" s="610" t="s">
        <v>422</v>
      </c>
      <c r="G309" s="453"/>
      <c r="H309" s="615"/>
      <c r="I309" s="616" t="s">
        <v>423</v>
      </c>
      <c r="J309" s="616" t="s">
        <v>424</v>
      </c>
      <c r="K309" s="616" t="s">
        <v>425</v>
      </c>
    </row>
    <row r="310" spans="1:12" s="613" customFormat="1" x14ac:dyDescent="0.2">
      <c r="D310" s="615"/>
      <c r="E310" s="615"/>
      <c r="F310" s="615"/>
      <c r="G310" s="166" t="str">
        <f>G51</f>
        <v>Unloaded</v>
      </c>
      <c r="H310" s="615"/>
      <c r="I310" s="615"/>
    </row>
    <row r="311" spans="1:12" s="613" customFormat="1" x14ac:dyDescent="0.2">
      <c r="A311" s="608"/>
      <c r="B311" s="608"/>
      <c r="C311" s="608"/>
      <c r="D311" s="608" t="str">
        <f>D$52</f>
        <v>Forecast</v>
      </c>
      <c r="E311" s="608" t="str">
        <f t="shared" ref="E311:J311" si="51">E$52</f>
        <v>Corporate</v>
      </c>
      <c r="F311" s="608" t="str">
        <f t="shared" si="51"/>
        <v xml:space="preserve">Total </v>
      </c>
      <c r="G311" s="166" t="str">
        <f>G52</f>
        <v>Total</v>
      </c>
      <c r="H311" s="608" t="str">
        <f t="shared" si="51"/>
        <v>Prior Period</v>
      </c>
      <c r="I311" s="608" t="str">
        <f t="shared" si="51"/>
        <v>Over Heads</v>
      </c>
      <c r="J311" s="608" t="str">
        <f t="shared" si="51"/>
        <v>Forecast</v>
      </c>
      <c r="K311" s="166" t="str">
        <f>K$52</f>
        <v>Forecast Period</v>
      </c>
    </row>
    <row r="312" spans="1:12" s="613" customFormat="1" x14ac:dyDescent="0.2">
      <c r="A312" s="208" t="s">
        <v>296</v>
      </c>
      <c r="B312" s="57" t="s">
        <v>16</v>
      </c>
      <c r="C312" s="57" t="s">
        <v>17</v>
      </c>
      <c r="D312" s="605" t="str">
        <f>D$53</f>
        <v>Expenditures</v>
      </c>
      <c r="E312" s="605" t="str">
        <f t="shared" ref="E312:J312" si="52">E$53</f>
        <v>Overheads</v>
      </c>
      <c r="F312" s="605" t="str">
        <f t="shared" si="52"/>
        <v>CWIP Exp</v>
      </c>
      <c r="G312" s="170" t="str">
        <f>G53</f>
        <v>Plant Adds</v>
      </c>
      <c r="H312" s="605" t="str">
        <f t="shared" si="52"/>
        <v>CWIP Closed</v>
      </c>
      <c r="I312" s="605" t="str">
        <f t="shared" si="52"/>
        <v>Closed to PIS</v>
      </c>
      <c r="J312" s="605" t="str">
        <f t="shared" si="52"/>
        <v>Period CWIP</v>
      </c>
      <c r="K312" s="605" t="str">
        <f>K$53</f>
        <v>Incremental CWIP</v>
      </c>
    </row>
    <row r="313" spans="1:12" s="613" customFormat="1" x14ac:dyDescent="0.2">
      <c r="A313" s="171">
        <f>A305+1</f>
        <v>237</v>
      </c>
      <c r="B313" s="58" t="s">
        <v>6</v>
      </c>
      <c r="C313" s="371">
        <v>2013</v>
      </c>
      <c r="D313" s="610" t="s">
        <v>400</v>
      </c>
      <c r="E313" s="610" t="s">
        <v>400</v>
      </c>
      <c r="F313" s="610" t="s">
        <v>400</v>
      </c>
      <c r="G313" s="610" t="s">
        <v>400</v>
      </c>
      <c r="H313" s="610" t="s">
        <v>400</v>
      </c>
      <c r="I313" s="610" t="s">
        <v>400</v>
      </c>
      <c r="J313" s="173">
        <f>F45</f>
        <v>22710040.250000004</v>
      </c>
      <c r="K313" s="610" t="s">
        <v>400</v>
      </c>
    </row>
    <row r="314" spans="1:12" s="613" customFormat="1" x14ac:dyDescent="0.2">
      <c r="A314" s="171">
        <f>A313+1</f>
        <v>238</v>
      </c>
      <c r="B314" s="58" t="s">
        <v>7</v>
      </c>
      <c r="C314" s="371">
        <v>2014</v>
      </c>
      <c r="D314" s="244">
        <v>157978.77000000002</v>
      </c>
      <c r="E314" s="173">
        <v>11848.40775</v>
      </c>
      <c r="F314" s="173">
        <f>E314+D314</f>
        <v>169827.17775000003</v>
      </c>
      <c r="G314" s="244">
        <v>0</v>
      </c>
      <c r="H314" s="244">
        <v>0</v>
      </c>
      <c r="I314" s="173">
        <v>0</v>
      </c>
      <c r="J314" s="173">
        <f>J313+F314-G314-I314</f>
        <v>22879867.427750003</v>
      </c>
      <c r="K314" s="173">
        <f>J314-$J$313</f>
        <v>169827.17774999887</v>
      </c>
      <c r="L314" s="608"/>
    </row>
    <row r="315" spans="1:12" s="613" customFormat="1" x14ac:dyDescent="0.2">
      <c r="A315" s="171">
        <f t="shared" ref="A315:A338" si="53">A314+1</f>
        <v>239</v>
      </c>
      <c r="B315" s="53" t="s">
        <v>8</v>
      </c>
      <c r="C315" s="371">
        <v>2014</v>
      </c>
      <c r="D315" s="244">
        <v>585626.12</v>
      </c>
      <c r="E315" s="173">
        <v>43921.958999999995</v>
      </c>
      <c r="F315" s="173">
        <f t="shared" ref="F315:F337" si="54">E315+D315</f>
        <v>629548.07900000003</v>
      </c>
      <c r="G315" s="244">
        <v>0</v>
      </c>
      <c r="H315" s="244">
        <v>0</v>
      </c>
      <c r="I315" s="173">
        <v>0</v>
      </c>
      <c r="J315" s="173">
        <f t="shared" ref="J315:J337" si="55">J314+F315-G315-I315</f>
        <v>23509415.506750003</v>
      </c>
      <c r="K315" s="173">
        <f t="shared" ref="K315:K337" si="56">J315-$J$313</f>
        <v>799375.25674999878</v>
      </c>
      <c r="L315" s="608"/>
    </row>
    <row r="316" spans="1:12" s="613" customFormat="1" x14ac:dyDescent="0.2">
      <c r="A316" s="171">
        <f t="shared" si="53"/>
        <v>240</v>
      </c>
      <c r="B316" s="53" t="s">
        <v>18</v>
      </c>
      <c r="C316" s="371">
        <v>2014</v>
      </c>
      <c r="D316" s="244">
        <v>394356</v>
      </c>
      <c r="E316" s="173">
        <v>29576.699999999997</v>
      </c>
      <c r="F316" s="173">
        <f t="shared" si="54"/>
        <v>423932.7</v>
      </c>
      <c r="G316" s="244">
        <v>0</v>
      </c>
      <c r="H316" s="244">
        <v>0</v>
      </c>
      <c r="I316" s="173">
        <v>0</v>
      </c>
      <c r="J316" s="173">
        <f t="shared" si="55"/>
        <v>23933348.206750002</v>
      </c>
      <c r="K316" s="173">
        <f t="shared" si="56"/>
        <v>1223307.956749998</v>
      </c>
      <c r="L316" s="608"/>
    </row>
    <row r="317" spans="1:12" s="613" customFormat="1" x14ac:dyDescent="0.2">
      <c r="A317" s="171">
        <f t="shared" si="53"/>
        <v>241</v>
      </c>
      <c r="B317" s="58" t="s">
        <v>9</v>
      </c>
      <c r="C317" s="371">
        <v>2014</v>
      </c>
      <c r="D317" s="244">
        <v>784073.60857222229</v>
      </c>
      <c r="E317" s="173">
        <v>58805.520642916672</v>
      </c>
      <c r="F317" s="173">
        <f t="shared" si="54"/>
        <v>842879.12921513896</v>
      </c>
      <c r="G317" s="244">
        <v>0</v>
      </c>
      <c r="H317" s="244">
        <v>0</v>
      </c>
      <c r="I317" s="173">
        <v>0</v>
      </c>
      <c r="J317" s="173">
        <f t="shared" si="55"/>
        <v>24776227.335965142</v>
      </c>
      <c r="K317" s="173">
        <f t="shared" si="56"/>
        <v>2066187.0859651379</v>
      </c>
      <c r="L317" s="605"/>
    </row>
    <row r="318" spans="1:12" s="613" customFormat="1" x14ac:dyDescent="0.2">
      <c r="A318" s="171">
        <f t="shared" si="53"/>
        <v>242</v>
      </c>
      <c r="B318" s="53" t="s">
        <v>10</v>
      </c>
      <c r="C318" s="371">
        <v>2014</v>
      </c>
      <c r="D318" s="244">
        <v>785501.20140555559</v>
      </c>
      <c r="E318" s="173">
        <v>58912.590105416668</v>
      </c>
      <c r="F318" s="173">
        <f t="shared" si="54"/>
        <v>844413.79151097231</v>
      </c>
      <c r="G318" s="244">
        <v>0</v>
      </c>
      <c r="H318" s="244">
        <v>0</v>
      </c>
      <c r="I318" s="173">
        <v>0</v>
      </c>
      <c r="J318" s="173">
        <f t="shared" si="55"/>
        <v>25620641.127476115</v>
      </c>
      <c r="K318" s="173">
        <f t="shared" si="56"/>
        <v>2910600.8774761111</v>
      </c>
    </row>
    <row r="319" spans="1:12" s="613" customFormat="1" x14ac:dyDescent="0.2">
      <c r="A319" s="171">
        <f t="shared" si="53"/>
        <v>243</v>
      </c>
      <c r="B319" s="53" t="s">
        <v>25</v>
      </c>
      <c r="C319" s="371">
        <v>2014</v>
      </c>
      <c r="D319" s="244">
        <v>799164.36915555538</v>
      </c>
      <c r="E319" s="173">
        <v>59937.327686666649</v>
      </c>
      <c r="F319" s="173">
        <f t="shared" si="54"/>
        <v>859101.69684222201</v>
      </c>
      <c r="G319" s="244">
        <v>0</v>
      </c>
      <c r="H319" s="244">
        <v>0</v>
      </c>
      <c r="I319" s="173">
        <v>0</v>
      </c>
      <c r="J319" s="173">
        <f t="shared" si="55"/>
        <v>26479742.824318338</v>
      </c>
      <c r="K319" s="173">
        <f t="shared" si="56"/>
        <v>3769702.5743183345</v>
      </c>
    </row>
    <row r="320" spans="1:12" s="613" customFormat="1" x14ac:dyDescent="0.2">
      <c r="A320" s="171">
        <f t="shared" si="53"/>
        <v>244</v>
      </c>
      <c r="B320" s="58" t="s">
        <v>11</v>
      </c>
      <c r="C320" s="371">
        <v>2014</v>
      </c>
      <c r="D320" s="244">
        <v>799164.3691555555</v>
      </c>
      <c r="E320" s="173">
        <v>59937.327686666657</v>
      </c>
      <c r="F320" s="173">
        <f t="shared" si="54"/>
        <v>859101.69684222213</v>
      </c>
      <c r="G320" s="244">
        <v>0</v>
      </c>
      <c r="H320" s="244">
        <v>0</v>
      </c>
      <c r="I320" s="173">
        <v>0</v>
      </c>
      <c r="J320" s="173">
        <f t="shared" si="55"/>
        <v>27338844.521160562</v>
      </c>
      <c r="K320" s="173">
        <f t="shared" si="56"/>
        <v>4628804.2711605579</v>
      </c>
    </row>
    <row r="321" spans="1:11" s="613" customFormat="1" x14ac:dyDescent="0.2">
      <c r="A321" s="171">
        <f t="shared" si="53"/>
        <v>245</v>
      </c>
      <c r="B321" s="53" t="s">
        <v>12</v>
      </c>
      <c r="C321" s="371">
        <v>2014</v>
      </c>
      <c r="D321" s="244">
        <v>956881.36915555561</v>
      </c>
      <c r="E321" s="173">
        <v>71766.102686666665</v>
      </c>
      <c r="F321" s="173">
        <f t="shared" si="54"/>
        <v>1028647.4718422223</v>
      </c>
      <c r="G321" s="244">
        <v>0</v>
      </c>
      <c r="H321" s="244">
        <v>0</v>
      </c>
      <c r="I321" s="173">
        <v>0</v>
      </c>
      <c r="J321" s="173">
        <f t="shared" si="55"/>
        <v>28367491.993002784</v>
      </c>
      <c r="K321" s="173">
        <f t="shared" si="56"/>
        <v>5657451.7430027798</v>
      </c>
    </row>
    <row r="322" spans="1:11" s="613" customFormat="1" x14ac:dyDescent="0.2">
      <c r="A322" s="171">
        <f t="shared" si="53"/>
        <v>246</v>
      </c>
      <c r="B322" s="53" t="s">
        <v>13</v>
      </c>
      <c r="C322" s="371">
        <v>2014</v>
      </c>
      <c r="D322" s="244">
        <v>1103028.7396805556</v>
      </c>
      <c r="E322" s="173">
        <v>82727.155476041677</v>
      </c>
      <c r="F322" s="173">
        <f t="shared" si="54"/>
        <v>1185755.8951565973</v>
      </c>
      <c r="G322" s="244">
        <v>0</v>
      </c>
      <c r="H322" s="244">
        <v>0</v>
      </c>
      <c r="I322" s="173">
        <v>0</v>
      </c>
      <c r="J322" s="173">
        <f t="shared" si="55"/>
        <v>29553247.888159379</v>
      </c>
      <c r="K322" s="173">
        <f t="shared" si="56"/>
        <v>6843207.6381593756</v>
      </c>
    </row>
    <row r="323" spans="1:11" s="613" customFormat="1" x14ac:dyDescent="0.2">
      <c r="A323" s="171">
        <f t="shared" si="53"/>
        <v>247</v>
      </c>
      <c r="B323" s="58" t="s">
        <v>15</v>
      </c>
      <c r="C323" s="371">
        <v>2014</v>
      </c>
      <c r="D323" s="244">
        <v>1550481.7396805561</v>
      </c>
      <c r="E323" s="173">
        <v>116286.13047604171</v>
      </c>
      <c r="F323" s="173">
        <f t="shared" si="54"/>
        <v>1666767.8701565978</v>
      </c>
      <c r="G323" s="244">
        <v>0</v>
      </c>
      <c r="H323" s="244">
        <v>0</v>
      </c>
      <c r="I323" s="173">
        <v>0</v>
      </c>
      <c r="J323" s="173">
        <f t="shared" si="55"/>
        <v>31220015.758315977</v>
      </c>
      <c r="K323" s="173">
        <f t="shared" si="56"/>
        <v>8509975.508315973</v>
      </c>
    </row>
    <row r="324" spans="1:11" s="613" customFormat="1" x14ac:dyDescent="0.2">
      <c r="A324" s="171">
        <f t="shared" si="53"/>
        <v>248</v>
      </c>
      <c r="B324" s="58" t="s">
        <v>14</v>
      </c>
      <c r="C324" s="371">
        <v>2014</v>
      </c>
      <c r="D324" s="244">
        <v>1539883.0865972226</v>
      </c>
      <c r="E324" s="173">
        <v>115491.23149479169</v>
      </c>
      <c r="F324" s="173">
        <f t="shared" si="54"/>
        <v>1655374.3180920142</v>
      </c>
      <c r="G324" s="244">
        <v>0</v>
      </c>
      <c r="H324" s="244">
        <v>0</v>
      </c>
      <c r="I324" s="173">
        <v>0</v>
      </c>
      <c r="J324" s="173">
        <f t="shared" si="55"/>
        <v>32875390.076407991</v>
      </c>
      <c r="K324" s="173">
        <f t="shared" si="56"/>
        <v>10165349.826407988</v>
      </c>
    </row>
    <row r="325" spans="1:11" s="613" customFormat="1" x14ac:dyDescent="0.2">
      <c r="A325" s="171">
        <f t="shared" si="53"/>
        <v>249</v>
      </c>
      <c r="B325" s="58" t="s">
        <v>6</v>
      </c>
      <c r="C325" s="371">
        <v>2014</v>
      </c>
      <c r="D325" s="244">
        <v>1343923.0865972214</v>
      </c>
      <c r="E325" s="173">
        <v>100794.2314947916</v>
      </c>
      <c r="F325" s="173">
        <f t="shared" si="54"/>
        <v>1444717.318092013</v>
      </c>
      <c r="G325" s="244">
        <v>0</v>
      </c>
      <c r="H325" s="244">
        <v>0</v>
      </c>
      <c r="I325" s="173">
        <v>0</v>
      </c>
      <c r="J325" s="173">
        <f t="shared" si="55"/>
        <v>34320107.394500002</v>
      </c>
      <c r="K325" s="173">
        <f t="shared" si="56"/>
        <v>11610067.144499999</v>
      </c>
    </row>
    <row r="326" spans="1:11" s="613" customFormat="1" x14ac:dyDescent="0.2">
      <c r="A326" s="171">
        <f t="shared" si="53"/>
        <v>250</v>
      </c>
      <c r="B326" s="58" t="s">
        <v>7</v>
      </c>
      <c r="C326" s="371">
        <v>2015</v>
      </c>
      <c r="D326" s="244">
        <v>1262626.1971367984</v>
      </c>
      <c r="E326" s="173">
        <v>94696.964785259872</v>
      </c>
      <c r="F326" s="173">
        <f t="shared" si="54"/>
        <v>1357323.1619220583</v>
      </c>
      <c r="G326" s="244">
        <v>0</v>
      </c>
      <c r="H326" s="244">
        <v>0</v>
      </c>
      <c r="I326" s="173">
        <v>0</v>
      </c>
      <c r="J326" s="173">
        <f t="shared" si="55"/>
        <v>35677430.556422062</v>
      </c>
      <c r="K326" s="173">
        <f t="shared" si="56"/>
        <v>12967390.306422058</v>
      </c>
    </row>
    <row r="327" spans="1:11" s="613" customFormat="1" x14ac:dyDescent="0.2">
      <c r="A327" s="171">
        <f t="shared" si="53"/>
        <v>251</v>
      </c>
      <c r="B327" s="53" t="s">
        <v>8</v>
      </c>
      <c r="C327" s="371">
        <v>2015</v>
      </c>
      <c r="D327" s="244">
        <v>1282051.6289330686</v>
      </c>
      <c r="E327" s="173">
        <v>96153.872169980139</v>
      </c>
      <c r="F327" s="173">
        <f t="shared" si="54"/>
        <v>1378205.5011030487</v>
      </c>
      <c r="G327" s="244">
        <v>0</v>
      </c>
      <c r="H327" s="244">
        <v>0</v>
      </c>
      <c r="I327" s="173">
        <v>0</v>
      </c>
      <c r="J327" s="173">
        <f t="shared" si="55"/>
        <v>37055636.057525113</v>
      </c>
      <c r="K327" s="173">
        <f t="shared" si="56"/>
        <v>14345595.807525109</v>
      </c>
    </row>
    <row r="328" spans="1:11" s="613" customFormat="1" x14ac:dyDescent="0.2">
      <c r="A328" s="171">
        <f t="shared" si="53"/>
        <v>252</v>
      </c>
      <c r="B328" s="53" t="s">
        <v>18</v>
      </c>
      <c r="C328" s="371">
        <v>2015</v>
      </c>
      <c r="D328" s="244">
        <v>1316209.1389632272</v>
      </c>
      <c r="E328" s="173">
        <v>98715.685422242037</v>
      </c>
      <c r="F328" s="173">
        <f t="shared" si="54"/>
        <v>1414924.8243854693</v>
      </c>
      <c r="G328" s="244">
        <v>0</v>
      </c>
      <c r="H328" s="244">
        <v>0</v>
      </c>
      <c r="I328" s="173">
        <v>0</v>
      </c>
      <c r="J328" s="173">
        <f t="shared" si="55"/>
        <v>38470560.881910585</v>
      </c>
      <c r="K328" s="173">
        <f t="shared" si="56"/>
        <v>15760520.631910581</v>
      </c>
    </row>
    <row r="329" spans="1:11" s="613" customFormat="1" x14ac:dyDescent="0.2">
      <c r="A329" s="171">
        <f t="shared" si="53"/>
        <v>253</v>
      </c>
      <c r="B329" s="58" t="s">
        <v>9</v>
      </c>
      <c r="C329" s="371">
        <v>2015</v>
      </c>
      <c r="D329" s="244">
        <v>1350527.0554068778</v>
      </c>
      <c r="E329" s="173">
        <v>101289.52915551583</v>
      </c>
      <c r="F329" s="173">
        <f t="shared" si="54"/>
        <v>1451816.5845623936</v>
      </c>
      <c r="G329" s="244">
        <v>0</v>
      </c>
      <c r="H329" s="244">
        <v>0</v>
      </c>
      <c r="I329" s="173">
        <v>0</v>
      </c>
      <c r="J329" s="173">
        <f t="shared" si="55"/>
        <v>39922377.466472976</v>
      </c>
      <c r="K329" s="173">
        <f t="shared" si="56"/>
        <v>17212337.216472972</v>
      </c>
    </row>
    <row r="330" spans="1:11" s="613" customFormat="1" x14ac:dyDescent="0.2">
      <c r="A330" s="171">
        <f t="shared" si="53"/>
        <v>254</v>
      </c>
      <c r="B330" s="53" t="s">
        <v>10</v>
      </c>
      <c r="C330" s="371">
        <v>2015</v>
      </c>
      <c r="D330" s="244">
        <v>1352793.5289813222</v>
      </c>
      <c r="E330" s="173">
        <v>101459.51467359916</v>
      </c>
      <c r="F330" s="173">
        <f t="shared" si="54"/>
        <v>1454253.0436549215</v>
      </c>
      <c r="G330" s="244">
        <v>0</v>
      </c>
      <c r="H330" s="244">
        <v>0</v>
      </c>
      <c r="I330" s="173">
        <v>0</v>
      </c>
      <c r="J330" s="173">
        <f t="shared" si="55"/>
        <v>41376630.510127895</v>
      </c>
      <c r="K330" s="173">
        <f t="shared" si="56"/>
        <v>18666590.260127891</v>
      </c>
    </row>
    <row r="331" spans="1:11" s="613" customFormat="1" x14ac:dyDescent="0.2">
      <c r="A331" s="171">
        <f t="shared" si="53"/>
        <v>255</v>
      </c>
      <c r="B331" s="53" t="s">
        <v>25</v>
      </c>
      <c r="C331" s="371">
        <v>2015</v>
      </c>
      <c r="D331" s="244">
        <v>1374485.4343520366</v>
      </c>
      <c r="E331" s="173">
        <v>103086.40757640274</v>
      </c>
      <c r="F331" s="173">
        <f t="shared" si="54"/>
        <v>1477571.8419284392</v>
      </c>
      <c r="G331" s="244">
        <v>0</v>
      </c>
      <c r="H331" s="244">
        <v>0</v>
      </c>
      <c r="I331" s="173">
        <v>0</v>
      </c>
      <c r="J331" s="173">
        <f t="shared" si="55"/>
        <v>42854202.352056332</v>
      </c>
      <c r="K331" s="173">
        <f t="shared" si="56"/>
        <v>20144162.102056328</v>
      </c>
    </row>
    <row r="332" spans="1:11" s="613" customFormat="1" x14ac:dyDescent="0.2">
      <c r="A332" s="171">
        <f t="shared" si="53"/>
        <v>256</v>
      </c>
      <c r="B332" s="58" t="s">
        <v>11</v>
      </c>
      <c r="C332" s="371">
        <v>2015</v>
      </c>
      <c r="D332" s="244">
        <v>1374485.4343520366</v>
      </c>
      <c r="E332" s="173">
        <v>103086.40757640274</v>
      </c>
      <c r="F332" s="173">
        <f t="shared" si="54"/>
        <v>1477571.8419284392</v>
      </c>
      <c r="G332" s="244">
        <v>0</v>
      </c>
      <c r="H332" s="244">
        <v>0</v>
      </c>
      <c r="I332" s="173">
        <v>0</v>
      </c>
      <c r="J332" s="173">
        <f t="shared" si="55"/>
        <v>44331774.193984769</v>
      </c>
      <c r="K332" s="173">
        <f t="shared" si="56"/>
        <v>21621733.943984766</v>
      </c>
    </row>
    <row r="333" spans="1:11" s="613" customFormat="1" x14ac:dyDescent="0.2">
      <c r="A333" s="171">
        <f t="shared" si="53"/>
        <v>257</v>
      </c>
      <c r="B333" s="53" t="s">
        <v>12</v>
      </c>
      <c r="C333" s="371">
        <v>2015</v>
      </c>
      <c r="D333" s="244">
        <v>3749360.9000663222</v>
      </c>
      <c r="E333" s="173">
        <v>281202.06750497414</v>
      </c>
      <c r="F333" s="173">
        <f t="shared" si="54"/>
        <v>4030562.9675712963</v>
      </c>
      <c r="G333" s="244">
        <v>0</v>
      </c>
      <c r="H333" s="244">
        <v>0</v>
      </c>
      <c r="I333" s="173">
        <v>0</v>
      </c>
      <c r="J333" s="173">
        <f t="shared" si="55"/>
        <v>48362337.161556065</v>
      </c>
      <c r="K333" s="173">
        <f t="shared" si="56"/>
        <v>25652296.911556061</v>
      </c>
    </row>
    <row r="334" spans="1:11" s="613" customFormat="1" x14ac:dyDescent="0.2">
      <c r="A334" s="171">
        <f t="shared" si="53"/>
        <v>258</v>
      </c>
      <c r="B334" s="53" t="s">
        <v>13</v>
      </c>
      <c r="C334" s="371">
        <v>2015</v>
      </c>
      <c r="D334" s="244">
        <v>3763306.5457806084</v>
      </c>
      <c r="E334" s="173">
        <v>282247.99093354563</v>
      </c>
      <c r="F334" s="173">
        <f t="shared" si="54"/>
        <v>4045554.5367141543</v>
      </c>
      <c r="G334" s="244">
        <v>0</v>
      </c>
      <c r="H334" s="244">
        <v>0</v>
      </c>
      <c r="I334" s="173">
        <v>0</v>
      </c>
      <c r="J334" s="173">
        <f t="shared" si="55"/>
        <v>52407891.698270217</v>
      </c>
      <c r="K334" s="173">
        <f t="shared" si="56"/>
        <v>29697851.448270213</v>
      </c>
    </row>
    <row r="335" spans="1:11" s="613" customFormat="1" x14ac:dyDescent="0.2">
      <c r="A335" s="171">
        <f t="shared" si="53"/>
        <v>259</v>
      </c>
      <c r="B335" s="53" t="s">
        <v>15</v>
      </c>
      <c r="C335" s="371">
        <v>2015</v>
      </c>
      <c r="D335" s="244">
        <v>9026272.4038758483</v>
      </c>
      <c r="E335" s="173">
        <v>676970.43029068864</v>
      </c>
      <c r="F335" s="173">
        <f t="shared" si="54"/>
        <v>9703242.8341665361</v>
      </c>
      <c r="G335" s="244">
        <v>0</v>
      </c>
      <c r="H335" s="244">
        <v>0</v>
      </c>
      <c r="I335" s="173">
        <v>0</v>
      </c>
      <c r="J335" s="173">
        <f t="shared" si="55"/>
        <v>62111134.532436751</v>
      </c>
      <c r="K335" s="173">
        <f t="shared" si="56"/>
        <v>39401094.282436743</v>
      </c>
    </row>
    <row r="336" spans="1:11" s="613" customFormat="1" x14ac:dyDescent="0.2">
      <c r="A336" s="171">
        <f t="shared" si="53"/>
        <v>260</v>
      </c>
      <c r="B336" s="53" t="s">
        <v>14</v>
      </c>
      <c r="C336" s="371">
        <v>2015</v>
      </c>
      <c r="D336" s="244">
        <v>9009445.7803616412</v>
      </c>
      <c r="E336" s="173">
        <v>675708.43352712307</v>
      </c>
      <c r="F336" s="173">
        <f t="shared" si="54"/>
        <v>9685154.2138887644</v>
      </c>
      <c r="G336" s="244">
        <v>0</v>
      </c>
      <c r="H336" s="244">
        <v>0</v>
      </c>
      <c r="I336" s="173">
        <v>0</v>
      </c>
      <c r="J336" s="173">
        <f t="shared" si="55"/>
        <v>71796288.746325523</v>
      </c>
      <c r="K336" s="173">
        <f t="shared" si="56"/>
        <v>49086248.496325523</v>
      </c>
    </row>
    <row r="337" spans="1:11" s="613" customFormat="1" x14ac:dyDescent="0.2">
      <c r="A337" s="171">
        <f t="shared" si="53"/>
        <v>261</v>
      </c>
      <c r="B337" s="53" t="s">
        <v>6</v>
      </c>
      <c r="C337" s="371">
        <v>2015</v>
      </c>
      <c r="D337" s="244">
        <v>8848435.9517902099</v>
      </c>
      <c r="E337" s="173">
        <v>663632.69638426567</v>
      </c>
      <c r="F337" s="173">
        <f t="shared" si="54"/>
        <v>9512068.6481744759</v>
      </c>
      <c r="G337" s="244">
        <v>0</v>
      </c>
      <c r="H337" s="244">
        <v>0</v>
      </c>
      <c r="I337" s="173">
        <v>0</v>
      </c>
      <c r="J337" s="173">
        <f t="shared" si="55"/>
        <v>81308357.394500002</v>
      </c>
      <c r="K337" s="181">
        <f t="shared" si="56"/>
        <v>58598317.144500002</v>
      </c>
    </row>
    <row r="338" spans="1:11" s="613" customFormat="1" x14ac:dyDescent="0.2">
      <c r="A338" s="171">
        <f t="shared" si="53"/>
        <v>262</v>
      </c>
      <c r="B338"/>
      <c r="C338" s="611" t="s">
        <v>418</v>
      </c>
      <c r="D338"/>
      <c r="E338"/>
      <c r="F338"/>
      <c r="G338"/>
      <c r="H338"/>
      <c r="I338"/>
      <c r="J338"/>
      <c r="K338" s="612">
        <f>AVERAGE(K325:K337)</f>
        <v>25751092.74585294</v>
      </c>
    </row>
    <row r="339" spans="1:11" s="613" customFormat="1" x14ac:dyDescent="0.2">
      <c r="A339" s="171"/>
      <c r="B339"/>
      <c r="C339" s="611"/>
      <c r="D339"/>
      <c r="E339"/>
      <c r="F339"/>
      <c r="G339"/>
      <c r="H339"/>
      <c r="I339"/>
      <c r="J339"/>
      <c r="K339" s="612"/>
    </row>
    <row r="340" spans="1:11" s="613" customFormat="1" x14ac:dyDescent="0.2">
      <c r="B340" s="614" t="s">
        <v>440</v>
      </c>
      <c r="D340" s="750" t="s">
        <v>441</v>
      </c>
      <c r="E340" s="750"/>
    </row>
    <row r="341" spans="1:11" s="613" customFormat="1" x14ac:dyDescent="0.2">
      <c r="D341" s="615"/>
      <c r="E341" s="615"/>
      <c r="F341" s="615"/>
      <c r="G341" s="166" t="str">
        <f>G51</f>
        <v>Unloaded</v>
      </c>
      <c r="H341" s="615"/>
      <c r="I341" s="615"/>
    </row>
    <row r="342" spans="1:11" s="613" customFormat="1" x14ac:dyDescent="0.2">
      <c r="A342" s="608"/>
      <c r="B342" s="608"/>
      <c r="C342" s="608"/>
      <c r="D342" s="608" t="str">
        <f>D$52</f>
        <v>Forecast</v>
      </c>
      <c r="E342" s="608" t="str">
        <f t="shared" ref="E342:J342" si="57">E$52</f>
        <v>Corporate</v>
      </c>
      <c r="F342" s="608" t="str">
        <f t="shared" si="57"/>
        <v xml:space="preserve">Total </v>
      </c>
      <c r="G342" s="166" t="str">
        <f>G52</f>
        <v>Total</v>
      </c>
      <c r="H342" s="608" t="str">
        <f t="shared" si="57"/>
        <v>Prior Period</v>
      </c>
      <c r="I342" s="608" t="str">
        <f t="shared" si="57"/>
        <v>Over Heads</v>
      </c>
      <c r="J342" s="608" t="str">
        <f t="shared" si="57"/>
        <v>Forecast</v>
      </c>
      <c r="K342" s="166" t="str">
        <f>K$52</f>
        <v>Forecast Period</v>
      </c>
    </row>
    <row r="343" spans="1:11" s="613" customFormat="1" x14ac:dyDescent="0.2">
      <c r="A343" s="208" t="s">
        <v>296</v>
      </c>
      <c r="B343" s="57" t="s">
        <v>16</v>
      </c>
      <c r="C343" s="57" t="s">
        <v>17</v>
      </c>
      <c r="D343" s="605" t="str">
        <f>D$53</f>
        <v>Expenditures</v>
      </c>
      <c r="E343" s="605" t="str">
        <f t="shared" ref="E343:J343" si="58">E$53</f>
        <v>Overheads</v>
      </c>
      <c r="F343" s="605" t="str">
        <f t="shared" si="58"/>
        <v>CWIP Exp</v>
      </c>
      <c r="G343" s="170" t="str">
        <f>G53</f>
        <v>Plant Adds</v>
      </c>
      <c r="H343" s="605" t="str">
        <f t="shared" si="58"/>
        <v>CWIP Closed</v>
      </c>
      <c r="I343" s="605" t="str">
        <f t="shared" si="58"/>
        <v>Closed to PIS</v>
      </c>
      <c r="J343" s="605" t="str">
        <f t="shared" si="58"/>
        <v>Period CWIP</v>
      </c>
      <c r="K343" s="605" t="str">
        <f>K$53</f>
        <v>Incremental CWIP</v>
      </c>
    </row>
    <row r="344" spans="1:11" s="613" customFormat="1" x14ac:dyDescent="0.2">
      <c r="A344" s="171">
        <f>A338+1</f>
        <v>263</v>
      </c>
      <c r="B344" s="58" t="s">
        <v>6</v>
      </c>
      <c r="C344" s="371">
        <v>2013</v>
      </c>
      <c r="D344" s="610" t="s">
        <v>400</v>
      </c>
      <c r="E344" s="610" t="s">
        <v>400</v>
      </c>
      <c r="F344" s="610" t="s">
        <v>400</v>
      </c>
      <c r="G344" s="610" t="s">
        <v>400</v>
      </c>
      <c r="H344" s="610" t="s">
        <v>400</v>
      </c>
      <c r="I344" s="610" t="s">
        <v>400</v>
      </c>
      <c r="J344" s="173">
        <f>G45</f>
        <v>21116952.730378974</v>
      </c>
      <c r="K344" s="610" t="s">
        <v>400</v>
      </c>
    </row>
    <row r="345" spans="1:11" s="613" customFormat="1" x14ac:dyDescent="0.2">
      <c r="A345" s="171">
        <f>A344+1</f>
        <v>264</v>
      </c>
      <c r="B345" s="58" t="s">
        <v>7</v>
      </c>
      <c r="C345" s="371">
        <v>2014</v>
      </c>
      <c r="D345" s="244">
        <v>410482.16820000001</v>
      </c>
      <c r="E345" s="173">
        <v>30786.162615000001</v>
      </c>
      <c r="F345" s="173">
        <f>E345+D345</f>
        <v>441268.33081499999</v>
      </c>
      <c r="G345" s="244">
        <v>0</v>
      </c>
      <c r="H345" s="244">
        <v>0</v>
      </c>
      <c r="I345" s="173">
        <v>0</v>
      </c>
      <c r="J345" s="173">
        <f>J344+F345-G345-I345</f>
        <v>21558221.061193973</v>
      </c>
      <c r="K345" s="173">
        <f>J345-$J$344</f>
        <v>441268.3308149986</v>
      </c>
    </row>
    <row r="346" spans="1:11" s="613" customFormat="1" x14ac:dyDescent="0.2">
      <c r="A346" s="171">
        <f t="shared" ref="A346:A369" si="59">A345+1</f>
        <v>265</v>
      </c>
      <c r="B346" s="53" t="s">
        <v>8</v>
      </c>
      <c r="C346" s="371">
        <v>2014</v>
      </c>
      <c r="D346" s="244">
        <v>500399.73559999996</v>
      </c>
      <c r="E346" s="173">
        <v>37529.980169999995</v>
      </c>
      <c r="F346" s="173">
        <f t="shared" ref="F346:F368" si="60">E346+D346</f>
        <v>537929.71576999989</v>
      </c>
      <c r="G346" s="244">
        <v>0</v>
      </c>
      <c r="H346" s="244">
        <v>0</v>
      </c>
      <c r="I346" s="173">
        <v>0</v>
      </c>
      <c r="J346" s="173">
        <f t="shared" ref="J346:J368" si="61">J345+F346-G346-I346</f>
        <v>22096150.776963972</v>
      </c>
      <c r="K346" s="173">
        <f t="shared" ref="K346:K368" si="62">J346-$J$344</f>
        <v>979198.04658499733</v>
      </c>
    </row>
    <row r="347" spans="1:11" s="613" customFormat="1" x14ac:dyDescent="0.2">
      <c r="A347" s="171">
        <f t="shared" si="59"/>
        <v>266</v>
      </c>
      <c r="B347" s="53" t="s">
        <v>18</v>
      </c>
      <c r="C347" s="371">
        <v>2014</v>
      </c>
      <c r="D347" s="244">
        <v>787166.42974666646</v>
      </c>
      <c r="E347" s="173">
        <v>59037.48223099998</v>
      </c>
      <c r="F347" s="173">
        <f t="shared" si="60"/>
        <v>846203.91197766643</v>
      </c>
      <c r="G347" s="244">
        <v>0</v>
      </c>
      <c r="H347" s="244">
        <v>0</v>
      </c>
      <c r="I347" s="173">
        <v>0</v>
      </c>
      <c r="J347" s="173">
        <f t="shared" si="61"/>
        <v>22942354.688941639</v>
      </c>
      <c r="K347" s="173">
        <f t="shared" si="62"/>
        <v>1825401.9585626647</v>
      </c>
    </row>
    <row r="348" spans="1:11" s="613" customFormat="1" x14ac:dyDescent="0.2">
      <c r="A348" s="171">
        <f t="shared" si="59"/>
        <v>267</v>
      </c>
      <c r="B348" s="58" t="s">
        <v>9</v>
      </c>
      <c r="C348" s="371">
        <v>2014</v>
      </c>
      <c r="D348" s="244">
        <v>1061230.7809958956</v>
      </c>
      <c r="E348" s="173">
        <v>79592.308574692172</v>
      </c>
      <c r="F348" s="173">
        <f t="shared" si="60"/>
        <v>1140823.0895705877</v>
      </c>
      <c r="G348" s="244">
        <v>0</v>
      </c>
      <c r="H348" s="244">
        <v>0</v>
      </c>
      <c r="I348" s="173">
        <v>0</v>
      </c>
      <c r="J348" s="173">
        <f t="shared" si="61"/>
        <v>24083177.778512228</v>
      </c>
      <c r="K348" s="173">
        <f t="shared" si="62"/>
        <v>2966225.0481332541</v>
      </c>
    </row>
    <row r="349" spans="1:11" s="613" customFormat="1" x14ac:dyDescent="0.2">
      <c r="A349" s="171">
        <f t="shared" si="59"/>
        <v>268</v>
      </c>
      <c r="B349" s="53" t="s">
        <v>10</v>
      </c>
      <c r="C349" s="371">
        <v>2014</v>
      </c>
      <c r="D349" s="244">
        <v>1150656.1884958956</v>
      </c>
      <c r="E349" s="173">
        <v>86299.214137192161</v>
      </c>
      <c r="F349" s="173">
        <f t="shared" si="60"/>
        <v>1236955.4026330877</v>
      </c>
      <c r="G349" s="244">
        <v>0</v>
      </c>
      <c r="H349" s="244">
        <v>0</v>
      </c>
      <c r="I349" s="173">
        <v>0</v>
      </c>
      <c r="J349" s="173">
        <f t="shared" si="61"/>
        <v>25320133.181145318</v>
      </c>
      <c r="K349" s="173">
        <f t="shared" si="62"/>
        <v>4203180.4507663436</v>
      </c>
    </row>
    <row r="350" spans="1:11" s="613" customFormat="1" x14ac:dyDescent="0.2">
      <c r="A350" s="171">
        <f t="shared" si="59"/>
        <v>269</v>
      </c>
      <c r="B350" s="53" t="s">
        <v>25</v>
      </c>
      <c r="C350" s="371">
        <v>2014</v>
      </c>
      <c r="D350" s="244">
        <v>1170840.5401558955</v>
      </c>
      <c r="E350" s="173">
        <v>87813.040511692161</v>
      </c>
      <c r="F350" s="173">
        <f t="shared" si="60"/>
        <v>1258653.5806675877</v>
      </c>
      <c r="G350" s="244">
        <v>0</v>
      </c>
      <c r="H350" s="244">
        <v>0</v>
      </c>
      <c r="I350" s="173">
        <v>0</v>
      </c>
      <c r="J350" s="173">
        <f t="shared" si="61"/>
        <v>26578786.761812907</v>
      </c>
      <c r="K350" s="173">
        <f t="shared" si="62"/>
        <v>5461834.0314339325</v>
      </c>
    </row>
    <row r="351" spans="1:11" s="613" customFormat="1" x14ac:dyDescent="0.2">
      <c r="A351" s="171">
        <f t="shared" si="59"/>
        <v>270</v>
      </c>
      <c r="B351" s="58" t="s">
        <v>11</v>
      </c>
      <c r="C351" s="371">
        <v>2014</v>
      </c>
      <c r="D351" s="244">
        <v>968006.36958389566</v>
      </c>
      <c r="E351" s="173">
        <v>72600.477718792172</v>
      </c>
      <c r="F351" s="173">
        <f t="shared" si="60"/>
        <v>1040606.8473026878</v>
      </c>
      <c r="G351" s="244">
        <v>0</v>
      </c>
      <c r="H351" s="244">
        <v>0</v>
      </c>
      <c r="I351" s="173">
        <v>0</v>
      </c>
      <c r="J351" s="173">
        <f t="shared" si="61"/>
        <v>27619393.609115593</v>
      </c>
      <c r="K351" s="173">
        <f t="shared" si="62"/>
        <v>6502440.8787366189</v>
      </c>
    </row>
    <row r="352" spans="1:11" s="613" customFormat="1" x14ac:dyDescent="0.2">
      <c r="A352" s="171">
        <f t="shared" si="59"/>
        <v>271</v>
      </c>
      <c r="B352" s="53" t="s">
        <v>12</v>
      </c>
      <c r="C352" s="371">
        <v>2014</v>
      </c>
      <c r="D352" s="244">
        <v>903686.74300389562</v>
      </c>
      <c r="E352" s="173">
        <v>67776.505725292169</v>
      </c>
      <c r="F352" s="173">
        <f t="shared" si="60"/>
        <v>971463.24872918776</v>
      </c>
      <c r="G352" s="244">
        <v>0</v>
      </c>
      <c r="H352" s="244">
        <v>0</v>
      </c>
      <c r="I352" s="173">
        <v>0</v>
      </c>
      <c r="J352" s="173">
        <f t="shared" si="61"/>
        <v>28590856.857844781</v>
      </c>
      <c r="K352" s="173">
        <f t="shared" si="62"/>
        <v>7473904.1274658069</v>
      </c>
    </row>
    <row r="353" spans="1:11" s="613" customFormat="1" x14ac:dyDescent="0.2">
      <c r="A353" s="171">
        <f t="shared" si="59"/>
        <v>272</v>
      </c>
      <c r="B353" s="53" t="s">
        <v>13</v>
      </c>
      <c r="C353" s="371">
        <v>2014</v>
      </c>
      <c r="D353" s="244">
        <v>914876.05300389545</v>
      </c>
      <c r="E353" s="173">
        <v>68615.703975292156</v>
      </c>
      <c r="F353" s="173">
        <f t="shared" si="60"/>
        <v>983491.7569791876</v>
      </c>
      <c r="G353" s="244">
        <v>0</v>
      </c>
      <c r="H353" s="244">
        <v>0</v>
      </c>
      <c r="I353" s="173">
        <v>0</v>
      </c>
      <c r="J353" s="173">
        <f t="shared" si="61"/>
        <v>29574348.614823967</v>
      </c>
      <c r="K353" s="173">
        <f t="shared" si="62"/>
        <v>8457395.884444993</v>
      </c>
    </row>
    <row r="354" spans="1:11" s="613" customFormat="1" x14ac:dyDescent="0.2">
      <c r="A354" s="171">
        <f t="shared" si="59"/>
        <v>273</v>
      </c>
      <c r="B354" s="58" t="s">
        <v>15</v>
      </c>
      <c r="C354" s="371">
        <v>2014</v>
      </c>
      <c r="D354" s="244">
        <v>920018.99542389554</v>
      </c>
      <c r="E354" s="173">
        <v>69001.424656792165</v>
      </c>
      <c r="F354" s="173">
        <f t="shared" si="60"/>
        <v>989020.42008068773</v>
      </c>
      <c r="G354" s="244">
        <v>0</v>
      </c>
      <c r="H354" s="244">
        <v>0</v>
      </c>
      <c r="I354" s="173">
        <v>0</v>
      </c>
      <c r="J354" s="173">
        <f t="shared" si="61"/>
        <v>30563369.034904655</v>
      </c>
      <c r="K354" s="173">
        <f t="shared" si="62"/>
        <v>9446416.3045256808</v>
      </c>
    </row>
    <row r="355" spans="1:11" s="613" customFormat="1" x14ac:dyDescent="0.2">
      <c r="A355" s="171">
        <f t="shared" si="59"/>
        <v>274</v>
      </c>
      <c r="B355" s="58" t="s">
        <v>14</v>
      </c>
      <c r="C355" s="371">
        <v>2014</v>
      </c>
      <c r="D355" s="244">
        <v>938239.39542389556</v>
      </c>
      <c r="E355" s="173">
        <v>70367.954656792164</v>
      </c>
      <c r="F355" s="173">
        <f t="shared" si="60"/>
        <v>1008607.3500806878</v>
      </c>
      <c r="G355" s="244">
        <v>0</v>
      </c>
      <c r="H355" s="244">
        <v>0</v>
      </c>
      <c r="I355" s="173">
        <v>0</v>
      </c>
      <c r="J355" s="173">
        <f t="shared" si="61"/>
        <v>31571976.384985343</v>
      </c>
      <c r="K355" s="173">
        <f t="shared" si="62"/>
        <v>10455023.654606368</v>
      </c>
    </row>
    <row r="356" spans="1:11" s="613" customFormat="1" x14ac:dyDescent="0.2">
      <c r="A356" s="171">
        <f t="shared" si="59"/>
        <v>275</v>
      </c>
      <c r="B356" s="58" t="s">
        <v>6</v>
      </c>
      <c r="C356" s="371">
        <v>2014</v>
      </c>
      <c r="D356" s="244">
        <v>938239.39542389556</v>
      </c>
      <c r="E356" s="173">
        <v>70367.954656792164</v>
      </c>
      <c r="F356" s="173">
        <f t="shared" si="60"/>
        <v>1008607.3500806878</v>
      </c>
      <c r="G356" s="244">
        <v>0</v>
      </c>
      <c r="H356" s="244">
        <v>0</v>
      </c>
      <c r="I356" s="173">
        <v>0</v>
      </c>
      <c r="J356" s="173">
        <f t="shared" si="61"/>
        <v>32580583.73506603</v>
      </c>
      <c r="K356" s="173">
        <f t="shared" si="62"/>
        <v>11463631.004687056</v>
      </c>
    </row>
    <row r="357" spans="1:11" s="613" customFormat="1" x14ac:dyDescent="0.2">
      <c r="A357" s="171">
        <f t="shared" si="59"/>
        <v>276</v>
      </c>
      <c r="B357" s="58" t="s">
        <v>7</v>
      </c>
      <c r="C357" s="371">
        <v>2015</v>
      </c>
      <c r="D357" s="244">
        <v>1049893.3340194025</v>
      </c>
      <c r="E357" s="173">
        <v>78742.000051455179</v>
      </c>
      <c r="F357" s="173">
        <f t="shared" si="60"/>
        <v>1128635.3340708576</v>
      </c>
      <c r="G357" s="244">
        <v>0</v>
      </c>
      <c r="H357" s="244">
        <v>0</v>
      </c>
      <c r="I357" s="173">
        <v>0</v>
      </c>
      <c r="J357" s="173">
        <f t="shared" si="61"/>
        <v>33709219.069136888</v>
      </c>
      <c r="K357" s="173">
        <f t="shared" si="62"/>
        <v>12592266.338757914</v>
      </c>
    </row>
    <row r="358" spans="1:11" s="613" customFormat="1" x14ac:dyDescent="0.2">
      <c r="A358" s="171">
        <f t="shared" si="59"/>
        <v>277</v>
      </c>
      <c r="B358" s="53" t="s">
        <v>8</v>
      </c>
      <c r="C358" s="371">
        <v>2015</v>
      </c>
      <c r="D358" s="244">
        <v>5549196.9670194024</v>
      </c>
      <c r="E358" s="173">
        <v>416189.77252645517</v>
      </c>
      <c r="F358" s="173">
        <f t="shared" si="60"/>
        <v>5965386.7395458575</v>
      </c>
      <c r="G358" s="244">
        <v>0</v>
      </c>
      <c r="H358" s="244">
        <v>0</v>
      </c>
      <c r="I358" s="173">
        <v>0</v>
      </c>
      <c r="J358" s="173">
        <f t="shared" si="61"/>
        <v>39674605.808682747</v>
      </c>
      <c r="K358" s="173">
        <f t="shared" si="62"/>
        <v>18557653.078303773</v>
      </c>
    </row>
    <row r="359" spans="1:11" s="613" customFormat="1" x14ac:dyDescent="0.2">
      <c r="A359" s="171">
        <f t="shared" si="59"/>
        <v>278</v>
      </c>
      <c r="B359" s="53" t="s">
        <v>18</v>
      </c>
      <c r="C359" s="371">
        <v>2015</v>
      </c>
      <c r="D359" s="244">
        <v>5417035.9270194024</v>
      </c>
      <c r="E359" s="173">
        <v>406277.69452645519</v>
      </c>
      <c r="F359" s="173">
        <f t="shared" si="60"/>
        <v>5823313.6215458577</v>
      </c>
      <c r="G359" s="244">
        <v>0</v>
      </c>
      <c r="H359" s="244">
        <v>0</v>
      </c>
      <c r="I359" s="173">
        <v>0</v>
      </c>
      <c r="J359" s="173">
        <f t="shared" si="61"/>
        <v>45497919.430228606</v>
      </c>
      <c r="K359" s="173">
        <f t="shared" si="62"/>
        <v>24380966.699849632</v>
      </c>
    </row>
    <row r="360" spans="1:11" s="613" customFormat="1" x14ac:dyDescent="0.2">
      <c r="A360" s="171">
        <f t="shared" si="59"/>
        <v>279</v>
      </c>
      <c r="B360" s="58" t="s">
        <v>9</v>
      </c>
      <c r="C360" s="371">
        <v>2015</v>
      </c>
      <c r="D360" s="244">
        <v>1405184.2366529226</v>
      </c>
      <c r="E360" s="173">
        <v>105388.81774896919</v>
      </c>
      <c r="F360" s="173">
        <f t="shared" si="60"/>
        <v>1510573.0544018918</v>
      </c>
      <c r="G360" s="244">
        <v>0</v>
      </c>
      <c r="H360" s="244">
        <v>0</v>
      </c>
      <c r="I360" s="173">
        <v>0</v>
      </c>
      <c r="J360" s="173">
        <f t="shared" si="61"/>
        <v>47008492.484630495</v>
      </c>
      <c r="K360" s="173">
        <f t="shared" si="62"/>
        <v>25891539.754251521</v>
      </c>
    </row>
    <row r="361" spans="1:11" s="613" customFormat="1" x14ac:dyDescent="0.2">
      <c r="A361" s="171">
        <f t="shared" si="59"/>
        <v>280</v>
      </c>
      <c r="B361" s="53" t="s">
        <v>10</v>
      </c>
      <c r="C361" s="371">
        <v>2015</v>
      </c>
      <c r="D361" s="244">
        <v>1340992.9556529229</v>
      </c>
      <c r="E361" s="173">
        <v>100574.47167396921</v>
      </c>
      <c r="F361" s="173">
        <f t="shared" si="60"/>
        <v>1441567.427326892</v>
      </c>
      <c r="G361" s="244">
        <v>0</v>
      </c>
      <c r="H361" s="244">
        <v>0</v>
      </c>
      <c r="I361" s="173">
        <v>0</v>
      </c>
      <c r="J361" s="173">
        <f t="shared" si="61"/>
        <v>48450059.911957391</v>
      </c>
      <c r="K361" s="173">
        <f t="shared" si="62"/>
        <v>27333107.181578416</v>
      </c>
    </row>
    <row r="362" spans="1:11" s="613" customFormat="1" x14ac:dyDescent="0.2">
      <c r="A362" s="171">
        <f t="shared" si="59"/>
        <v>281</v>
      </c>
      <c r="B362" s="53" t="s">
        <v>25</v>
      </c>
      <c r="C362" s="371">
        <v>2015</v>
      </c>
      <c r="D362" s="244">
        <v>1304912.9556529229</v>
      </c>
      <c r="E362" s="173">
        <v>97868.471673969208</v>
      </c>
      <c r="F362" s="173">
        <f t="shared" si="60"/>
        <v>1402781.427326892</v>
      </c>
      <c r="G362" s="244">
        <v>0</v>
      </c>
      <c r="H362" s="244">
        <v>0</v>
      </c>
      <c r="I362" s="173">
        <v>0</v>
      </c>
      <c r="J362" s="173">
        <f t="shared" si="61"/>
        <v>49852841.339284286</v>
      </c>
      <c r="K362" s="173">
        <f t="shared" si="62"/>
        <v>28735888.608905312</v>
      </c>
    </row>
    <row r="363" spans="1:11" s="613" customFormat="1" x14ac:dyDescent="0.2">
      <c r="A363" s="171">
        <f t="shared" si="59"/>
        <v>282</v>
      </c>
      <c r="B363" s="58" t="s">
        <v>11</v>
      </c>
      <c r="C363" s="371">
        <v>2015</v>
      </c>
      <c r="D363" s="244">
        <v>1303136.9176529229</v>
      </c>
      <c r="E363" s="173">
        <v>97735.268823969222</v>
      </c>
      <c r="F363" s="173">
        <f t="shared" si="60"/>
        <v>1400872.1864768921</v>
      </c>
      <c r="G363" s="244">
        <v>0</v>
      </c>
      <c r="H363" s="244">
        <v>0</v>
      </c>
      <c r="I363" s="173">
        <v>0</v>
      </c>
      <c r="J363" s="173">
        <f t="shared" si="61"/>
        <v>51253713.52576118</v>
      </c>
      <c r="K363" s="173">
        <f t="shared" si="62"/>
        <v>30136760.795382205</v>
      </c>
    </row>
    <row r="364" spans="1:11" s="613" customFormat="1" x14ac:dyDescent="0.2">
      <c r="A364" s="171">
        <f t="shared" si="59"/>
        <v>283</v>
      </c>
      <c r="B364" s="53" t="s">
        <v>12</v>
      </c>
      <c r="C364" s="371">
        <v>2015</v>
      </c>
      <c r="D364" s="244">
        <v>1856472.2490372937</v>
      </c>
      <c r="E364" s="173">
        <v>139235.41867779702</v>
      </c>
      <c r="F364" s="173">
        <f t="shared" si="60"/>
        <v>1995707.6677150908</v>
      </c>
      <c r="G364" s="244">
        <v>0</v>
      </c>
      <c r="H364" s="244">
        <v>0</v>
      </c>
      <c r="I364" s="173">
        <v>0</v>
      </c>
      <c r="J364" s="173">
        <f t="shared" si="61"/>
        <v>53249421.193476267</v>
      </c>
      <c r="K364" s="173">
        <f t="shared" si="62"/>
        <v>32132468.463097293</v>
      </c>
    </row>
    <row r="365" spans="1:11" s="613" customFormat="1" x14ac:dyDescent="0.2">
      <c r="A365" s="171">
        <f t="shared" si="59"/>
        <v>284</v>
      </c>
      <c r="B365" s="53" t="s">
        <v>13</v>
      </c>
      <c r="C365" s="371">
        <v>2015</v>
      </c>
      <c r="D365" s="244">
        <v>1856472.2490372937</v>
      </c>
      <c r="E365" s="173">
        <v>139235.41867779702</v>
      </c>
      <c r="F365" s="173">
        <f t="shared" si="60"/>
        <v>1995707.6677150908</v>
      </c>
      <c r="G365" s="244">
        <v>0</v>
      </c>
      <c r="H365" s="244">
        <v>0</v>
      </c>
      <c r="I365" s="173">
        <v>0</v>
      </c>
      <c r="J365" s="173">
        <f t="shared" si="61"/>
        <v>55245128.861191355</v>
      </c>
      <c r="K365" s="173">
        <f t="shared" si="62"/>
        <v>34128176.130812377</v>
      </c>
    </row>
    <row r="366" spans="1:11" s="613" customFormat="1" x14ac:dyDescent="0.2">
      <c r="A366" s="171">
        <f t="shared" si="59"/>
        <v>285</v>
      </c>
      <c r="B366" s="53" t="s">
        <v>15</v>
      </c>
      <c r="C366" s="371">
        <v>2015</v>
      </c>
      <c r="D366" s="244">
        <v>2224037.2490372937</v>
      </c>
      <c r="E366" s="173">
        <v>166802.79367779702</v>
      </c>
      <c r="F366" s="173">
        <f t="shared" si="60"/>
        <v>2390840.0427150908</v>
      </c>
      <c r="G366" s="244">
        <v>0</v>
      </c>
      <c r="H366" s="244">
        <v>0</v>
      </c>
      <c r="I366" s="173">
        <v>0</v>
      </c>
      <c r="J366" s="173">
        <f t="shared" si="61"/>
        <v>57635968.903906442</v>
      </c>
      <c r="K366" s="173">
        <f t="shared" si="62"/>
        <v>36519016.173527464</v>
      </c>
    </row>
    <row r="367" spans="1:11" s="613" customFormat="1" x14ac:dyDescent="0.2">
      <c r="A367" s="171">
        <f t="shared" si="59"/>
        <v>286</v>
      </c>
      <c r="B367" s="53" t="s">
        <v>14</v>
      </c>
      <c r="C367" s="371">
        <v>2015</v>
      </c>
      <c r="D367" s="244">
        <v>2224037.2490372937</v>
      </c>
      <c r="E367" s="173">
        <v>166802.79367779702</v>
      </c>
      <c r="F367" s="173">
        <f t="shared" si="60"/>
        <v>2390840.0427150908</v>
      </c>
      <c r="G367" s="244">
        <v>0</v>
      </c>
      <c r="H367" s="244">
        <v>0</v>
      </c>
      <c r="I367" s="173">
        <v>0</v>
      </c>
      <c r="J367" s="173">
        <f t="shared" si="61"/>
        <v>60026808.94662153</v>
      </c>
      <c r="K367" s="173">
        <f t="shared" si="62"/>
        <v>38909856.216242552</v>
      </c>
    </row>
    <row r="368" spans="1:11" s="613" customFormat="1" x14ac:dyDescent="0.2">
      <c r="A368" s="171">
        <f t="shared" si="59"/>
        <v>287</v>
      </c>
      <c r="B368" s="53" t="s">
        <v>6</v>
      </c>
      <c r="C368" s="371">
        <v>2015</v>
      </c>
      <c r="D368" s="244">
        <v>1447627.080384145</v>
      </c>
      <c r="E368" s="173">
        <v>108572.03102881087</v>
      </c>
      <c r="F368" s="173">
        <f t="shared" si="60"/>
        <v>1556199.1114129559</v>
      </c>
      <c r="G368" s="244">
        <v>0</v>
      </c>
      <c r="H368" s="244">
        <v>0</v>
      </c>
      <c r="I368" s="173">
        <v>0</v>
      </c>
      <c r="J368" s="173">
        <f t="shared" si="61"/>
        <v>61583008.058034487</v>
      </c>
      <c r="K368" s="302">
        <f t="shared" si="62"/>
        <v>40466055.327655509</v>
      </c>
    </row>
    <row r="369" spans="1:11" s="613" customFormat="1" x14ac:dyDescent="0.2">
      <c r="A369" s="171">
        <f t="shared" si="59"/>
        <v>288</v>
      </c>
      <c r="B369"/>
      <c r="C369" s="611" t="s">
        <v>418</v>
      </c>
      <c r="D369"/>
      <c r="E369"/>
      <c r="F369"/>
      <c r="G369"/>
      <c r="H369"/>
      <c r="I369"/>
      <c r="J369"/>
      <c r="K369" s="612">
        <f>AVERAGE(K356:K368)</f>
        <v>27788260.444080848</v>
      </c>
    </row>
    <row r="370" spans="1:11" s="613" customFormat="1" x14ac:dyDescent="0.2">
      <c r="A370" s="171"/>
      <c r="B370"/>
      <c r="C370" s="611"/>
      <c r="D370"/>
      <c r="E370"/>
      <c r="F370"/>
      <c r="G370"/>
      <c r="H370"/>
      <c r="I370"/>
      <c r="J370"/>
      <c r="K370" s="612"/>
    </row>
    <row r="371" spans="1:11" s="613" customFormat="1" x14ac:dyDescent="0.2">
      <c r="B371" s="614" t="s">
        <v>442</v>
      </c>
      <c r="D371" s="618" t="s">
        <v>443</v>
      </c>
      <c r="E371" s="618"/>
      <c r="F371" s="619"/>
    </row>
    <row r="372" spans="1:11" s="613" customFormat="1" x14ac:dyDescent="0.2">
      <c r="A372" s="605"/>
      <c r="B372" s="605"/>
      <c r="C372" s="605"/>
      <c r="D372" s="605" t="s">
        <v>152</v>
      </c>
      <c r="E372" s="605" t="s">
        <v>153</v>
      </c>
      <c r="F372" s="605" t="s">
        <v>154</v>
      </c>
      <c r="G372" s="605" t="s">
        <v>155</v>
      </c>
      <c r="H372" s="605" t="s">
        <v>371</v>
      </c>
      <c r="I372" s="605" t="s">
        <v>372</v>
      </c>
      <c r="J372" s="605" t="s">
        <v>386</v>
      </c>
      <c r="K372" s="605" t="s">
        <v>387</v>
      </c>
    </row>
    <row r="373" spans="1:11" s="613" customFormat="1" ht="38.25" x14ac:dyDescent="0.2">
      <c r="D373" s="615"/>
      <c r="E373" s="616" t="s">
        <v>421</v>
      </c>
      <c r="F373" s="610" t="s">
        <v>422</v>
      </c>
      <c r="G373" s="453"/>
      <c r="H373" s="615"/>
      <c r="I373" s="616" t="s">
        <v>423</v>
      </c>
      <c r="J373" s="616" t="s">
        <v>424</v>
      </c>
      <c r="K373" s="616" t="s">
        <v>425</v>
      </c>
    </row>
    <row r="374" spans="1:11" s="613" customFormat="1" x14ac:dyDescent="0.2">
      <c r="D374" s="615"/>
      <c r="E374" s="616"/>
      <c r="F374" s="610"/>
      <c r="G374" s="226" t="str">
        <f>G51</f>
        <v>Unloaded</v>
      </c>
      <c r="H374" s="615"/>
      <c r="I374" s="616"/>
      <c r="J374" s="616"/>
      <c r="K374" s="616"/>
    </row>
    <row r="375" spans="1:11" s="613" customFormat="1" x14ac:dyDescent="0.2">
      <c r="A375" s="608"/>
      <c r="B375" s="608"/>
      <c r="C375" s="608"/>
      <c r="D375" s="608" t="str">
        <f>D$52</f>
        <v>Forecast</v>
      </c>
      <c r="E375" s="608" t="str">
        <f t="shared" ref="E375:J375" si="63">E$52</f>
        <v>Corporate</v>
      </c>
      <c r="F375" s="608" t="str">
        <f t="shared" si="63"/>
        <v xml:space="preserve">Total </v>
      </c>
      <c r="G375" s="226" t="str">
        <f>G52</f>
        <v>Total</v>
      </c>
      <c r="H375" s="608" t="str">
        <f t="shared" si="63"/>
        <v>Prior Period</v>
      </c>
      <c r="I375" s="608" t="str">
        <f t="shared" si="63"/>
        <v>Over Heads</v>
      </c>
      <c r="J375" s="608" t="str">
        <f t="shared" si="63"/>
        <v>Forecast</v>
      </c>
      <c r="K375" s="608" t="str">
        <f>K$52</f>
        <v>Forecast Period</v>
      </c>
    </row>
    <row r="376" spans="1:11" s="613" customFormat="1" x14ac:dyDescent="0.2">
      <c r="A376" s="208" t="s">
        <v>296</v>
      </c>
      <c r="B376" s="57" t="s">
        <v>16</v>
      </c>
      <c r="C376" s="57" t="s">
        <v>17</v>
      </c>
      <c r="D376" s="605" t="str">
        <f>D$53</f>
        <v>Expenditures</v>
      </c>
      <c r="E376" s="605" t="str">
        <f t="shared" ref="E376:J376" si="64">E$53</f>
        <v>Overheads</v>
      </c>
      <c r="F376" s="605" t="str">
        <f t="shared" si="64"/>
        <v>CWIP Exp</v>
      </c>
      <c r="G376" s="227" t="str">
        <f>G53</f>
        <v>Plant Adds</v>
      </c>
      <c r="H376" s="605" t="str">
        <f t="shared" si="64"/>
        <v>CWIP Closed</v>
      </c>
      <c r="I376" s="605" t="str">
        <f t="shared" si="64"/>
        <v>Closed to PIS</v>
      </c>
      <c r="J376" s="605" t="str">
        <f t="shared" si="64"/>
        <v>Period CWIP</v>
      </c>
      <c r="K376" s="605" t="str">
        <f>K$53</f>
        <v>Incremental CWIP</v>
      </c>
    </row>
    <row r="377" spans="1:11" s="613" customFormat="1" x14ac:dyDescent="0.2">
      <c r="A377" s="171">
        <f>A369+1</f>
        <v>289</v>
      </c>
      <c r="B377" s="58" t="s">
        <v>6</v>
      </c>
      <c r="C377" s="371">
        <v>2013</v>
      </c>
      <c r="D377" s="610" t="s">
        <v>400</v>
      </c>
      <c r="E377" s="610" t="s">
        <v>400</v>
      </c>
      <c r="F377" s="610" t="s">
        <v>400</v>
      </c>
      <c r="G377" s="610" t="s">
        <v>400</v>
      </c>
      <c r="H377" s="610" t="s">
        <v>400</v>
      </c>
      <c r="I377" s="610" t="s">
        <v>400</v>
      </c>
      <c r="J377" s="173">
        <v>0</v>
      </c>
      <c r="K377" s="610" t="s">
        <v>400</v>
      </c>
    </row>
    <row r="378" spans="1:11" s="613" customFormat="1" x14ac:dyDescent="0.2">
      <c r="A378" s="171">
        <f>A377+1</f>
        <v>290</v>
      </c>
      <c r="B378" s="58" t="s">
        <v>7</v>
      </c>
      <c r="C378" s="371">
        <v>2014</v>
      </c>
      <c r="D378" s="244"/>
      <c r="E378" s="173">
        <v>0</v>
      </c>
      <c r="F378" s="173">
        <f>E378+D378</f>
        <v>0</v>
      </c>
      <c r="G378" s="244"/>
      <c r="H378" s="244"/>
      <c r="I378" s="173">
        <v>0</v>
      </c>
      <c r="J378" s="173">
        <f>J377+F378-G378-I378</f>
        <v>0</v>
      </c>
      <c r="K378" s="173">
        <f>J378-$J$377</f>
        <v>0</v>
      </c>
    </row>
    <row r="379" spans="1:11" s="613" customFormat="1" x14ac:dyDescent="0.2">
      <c r="A379" s="171">
        <f t="shared" ref="A379:A402" si="65">A378+1</f>
        <v>291</v>
      </c>
      <c r="B379" s="53" t="s">
        <v>8</v>
      </c>
      <c r="C379" s="371">
        <v>2014</v>
      </c>
      <c r="D379" s="244"/>
      <c r="E379" s="173">
        <v>0</v>
      </c>
      <c r="F379" s="173">
        <f t="shared" ref="F379:F401" si="66">E379+D379</f>
        <v>0</v>
      </c>
      <c r="G379" s="244"/>
      <c r="H379" s="244"/>
      <c r="I379" s="173">
        <v>0</v>
      </c>
      <c r="J379" s="173">
        <f t="shared" ref="J379:J401" si="67">J378+F379-G379-I379</f>
        <v>0</v>
      </c>
      <c r="K379" s="173">
        <f t="shared" ref="K379:K401" si="68">J379-$J$377</f>
        <v>0</v>
      </c>
    </row>
    <row r="380" spans="1:11" s="613" customFormat="1" x14ac:dyDescent="0.2">
      <c r="A380" s="171">
        <f t="shared" si="65"/>
        <v>292</v>
      </c>
      <c r="B380" s="53" t="s">
        <v>18</v>
      </c>
      <c r="C380" s="371">
        <v>2014</v>
      </c>
      <c r="D380" s="244"/>
      <c r="E380" s="173">
        <v>0</v>
      </c>
      <c r="F380" s="173">
        <f t="shared" si="66"/>
        <v>0</v>
      </c>
      <c r="G380" s="244"/>
      <c r="H380" s="244"/>
      <c r="I380" s="173">
        <v>0</v>
      </c>
      <c r="J380" s="173">
        <f t="shared" si="67"/>
        <v>0</v>
      </c>
      <c r="K380" s="173">
        <f t="shared" si="68"/>
        <v>0</v>
      </c>
    </row>
    <row r="381" spans="1:11" s="613" customFormat="1" x14ac:dyDescent="0.2">
      <c r="A381" s="171">
        <f t="shared" si="65"/>
        <v>293</v>
      </c>
      <c r="B381" s="58" t="s">
        <v>9</v>
      </c>
      <c r="C381" s="371">
        <v>2014</v>
      </c>
      <c r="D381" s="244"/>
      <c r="E381" s="173">
        <v>0</v>
      </c>
      <c r="F381" s="173">
        <f t="shared" si="66"/>
        <v>0</v>
      </c>
      <c r="G381" s="244"/>
      <c r="H381" s="244"/>
      <c r="I381" s="173">
        <v>0</v>
      </c>
      <c r="J381" s="173">
        <f t="shared" si="67"/>
        <v>0</v>
      </c>
      <c r="K381" s="173">
        <f t="shared" si="68"/>
        <v>0</v>
      </c>
    </row>
    <row r="382" spans="1:11" s="613" customFormat="1" x14ac:dyDescent="0.2">
      <c r="A382" s="171">
        <f t="shared" si="65"/>
        <v>294</v>
      </c>
      <c r="B382" s="53" t="s">
        <v>10</v>
      </c>
      <c r="C382" s="371">
        <v>2014</v>
      </c>
      <c r="D382" s="244"/>
      <c r="E382" s="173">
        <v>0</v>
      </c>
      <c r="F382" s="173">
        <f t="shared" si="66"/>
        <v>0</v>
      </c>
      <c r="G382" s="244"/>
      <c r="H382" s="244"/>
      <c r="I382" s="173">
        <v>0</v>
      </c>
      <c r="J382" s="173">
        <f t="shared" si="67"/>
        <v>0</v>
      </c>
      <c r="K382" s="173">
        <f t="shared" si="68"/>
        <v>0</v>
      </c>
    </row>
    <row r="383" spans="1:11" s="613" customFormat="1" x14ac:dyDescent="0.2">
      <c r="A383" s="171">
        <f t="shared" si="65"/>
        <v>295</v>
      </c>
      <c r="B383" s="53" t="s">
        <v>25</v>
      </c>
      <c r="C383" s="371">
        <v>2014</v>
      </c>
      <c r="D383" s="244"/>
      <c r="E383" s="173">
        <v>0</v>
      </c>
      <c r="F383" s="173">
        <f t="shared" si="66"/>
        <v>0</v>
      </c>
      <c r="G383" s="244"/>
      <c r="H383" s="244"/>
      <c r="I383" s="173">
        <v>0</v>
      </c>
      <c r="J383" s="173">
        <f t="shared" si="67"/>
        <v>0</v>
      </c>
      <c r="K383" s="173">
        <f t="shared" si="68"/>
        <v>0</v>
      </c>
    </row>
    <row r="384" spans="1:11" s="613" customFormat="1" x14ac:dyDescent="0.2">
      <c r="A384" s="171">
        <f t="shared" si="65"/>
        <v>296</v>
      </c>
      <c r="B384" s="58" t="s">
        <v>11</v>
      </c>
      <c r="C384" s="371">
        <v>2014</v>
      </c>
      <c r="D384" s="244"/>
      <c r="E384" s="173">
        <v>0</v>
      </c>
      <c r="F384" s="173">
        <f t="shared" si="66"/>
        <v>0</v>
      </c>
      <c r="G384" s="244"/>
      <c r="H384" s="244"/>
      <c r="I384" s="173">
        <v>0</v>
      </c>
      <c r="J384" s="173">
        <f t="shared" si="67"/>
        <v>0</v>
      </c>
      <c r="K384" s="173">
        <f t="shared" si="68"/>
        <v>0</v>
      </c>
    </row>
    <row r="385" spans="1:11" s="613" customFormat="1" x14ac:dyDescent="0.2">
      <c r="A385" s="171">
        <f t="shared" si="65"/>
        <v>297</v>
      </c>
      <c r="B385" s="53" t="s">
        <v>12</v>
      </c>
      <c r="C385" s="371">
        <v>2014</v>
      </c>
      <c r="D385" s="244"/>
      <c r="E385" s="173">
        <v>0</v>
      </c>
      <c r="F385" s="173">
        <f t="shared" si="66"/>
        <v>0</v>
      </c>
      <c r="G385" s="244"/>
      <c r="H385" s="244"/>
      <c r="I385" s="173">
        <v>0</v>
      </c>
      <c r="J385" s="173">
        <f t="shared" si="67"/>
        <v>0</v>
      </c>
      <c r="K385" s="173">
        <f t="shared" si="68"/>
        <v>0</v>
      </c>
    </row>
    <row r="386" spans="1:11" s="613" customFormat="1" x14ac:dyDescent="0.2">
      <c r="A386" s="171">
        <f t="shared" si="65"/>
        <v>298</v>
      </c>
      <c r="B386" s="53" t="s">
        <v>13</v>
      </c>
      <c r="C386" s="371">
        <v>2014</v>
      </c>
      <c r="D386" s="244"/>
      <c r="E386" s="173">
        <v>0</v>
      </c>
      <c r="F386" s="173">
        <f t="shared" si="66"/>
        <v>0</v>
      </c>
      <c r="G386" s="244"/>
      <c r="H386" s="244"/>
      <c r="I386" s="173">
        <v>0</v>
      </c>
      <c r="J386" s="173">
        <f t="shared" si="67"/>
        <v>0</v>
      </c>
      <c r="K386" s="173">
        <f t="shared" si="68"/>
        <v>0</v>
      </c>
    </row>
    <row r="387" spans="1:11" s="613" customFormat="1" x14ac:dyDescent="0.2">
      <c r="A387" s="171">
        <f t="shared" si="65"/>
        <v>299</v>
      </c>
      <c r="B387" s="58" t="s">
        <v>15</v>
      </c>
      <c r="C387" s="371">
        <v>2014</v>
      </c>
      <c r="D387" s="244"/>
      <c r="E387" s="173">
        <v>0</v>
      </c>
      <c r="F387" s="173">
        <f t="shared" si="66"/>
        <v>0</v>
      </c>
      <c r="G387" s="244"/>
      <c r="H387" s="244"/>
      <c r="I387" s="173">
        <v>0</v>
      </c>
      <c r="J387" s="173">
        <f t="shared" si="67"/>
        <v>0</v>
      </c>
      <c r="K387" s="173">
        <f t="shared" si="68"/>
        <v>0</v>
      </c>
    </row>
    <row r="388" spans="1:11" s="613" customFormat="1" x14ac:dyDescent="0.2">
      <c r="A388" s="171">
        <f t="shared" si="65"/>
        <v>300</v>
      </c>
      <c r="B388" s="58" t="s">
        <v>14</v>
      </c>
      <c r="C388" s="371">
        <v>2014</v>
      </c>
      <c r="D388" s="244"/>
      <c r="E388" s="173">
        <v>0</v>
      </c>
      <c r="F388" s="173">
        <f t="shared" si="66"/>
        <v>0</v>
      </c>
      <c r="G388" s="244"/>
      <c r="H388" s="244"/>
      <c r="I388" s="173">
        <v>0</v>
      </c>
      <c r="J388" s="173">
        <f t="shared" si="67"/>
        <v>0</v>
      </c>
      <c r="K388" s="173">
        <f t="shared" si="68"/>
        <v>0</v>
      </c>
    </row>
    <row r="389" spans="1:11" s="613" customFormat="1" x14ac:dyDescent="0.2">
      <c r="A389" s="171">
        <f t="shared" si="65"/>
        <v>301</v>
      </c>
      <c r="B389" s="58" t="s">
        <v>6</v>
      </c>
      <c r="C389" s="371">
        <v>2014</v>
      </c>
      <c r="D389" s="244"/>
      <c r="E389" s="173">
        <v>0</v>
      </c>
      <c r="F389" s="173">
        <f t="shared" si="66"/>
        <v>0</v>
      </c>
      <c r="G389" s="244"/>
      <c r="H389" s="244"/>
      <c r="I389" s="173">
        <v>0</v>
      </c>
      <c r="J389" s="173">
        <f t="shared" si="67"/>
        <v>0</v>
      </c>
      <c r="K389" s="173">
        <f t="shared" si="68"/>
        <v>0</v>
      </c>
    </row>
    <row r="390" spans="1:11" s="613" customFormat="1" x14ac:dyDescent="0.2">
      <c r="A390" s="171">
        <f t="shared" si="65"/>
        <v>302</v>
      </c>
      <c r="B390" s="58" t="s">
        <v>7</v>
      </c>
      <c r="C390" s="371">
        <v>2015</v>
      </c>
      <c r="D390" s="244"/>
      <c r="E390" s="173">
        <v>0</v>
      </c>
      <c r="F390" s="173">
        <f t="shared" si="66"/>
        <v>0</v>
      </c>
      <c r="G390" s="244"/>
      <c r="H390" s="244"/>
      <c r="I390" s="173">
        <v>0</v>
      </c>
      <c r="J390" s="173">
        <f t="shared" si="67"/>
        <v>0</v>
      </c>
      <c r="K390" s="173">
        <f t="shared" si="68"/>
        <v>0</v>
      </c>
    </row>
    <row r="391" spans="1:11" s="613" customFormat="1" x14ac:dyDescent="0.2">
      <c r="A391" s="171">
        <f t="shared" si="65"/>
        <v>303</v>
      </c>
      <c r="B391" s="53" t="s">
        <v>8</v>
      </c>
      <c r="C391" s="371">
        <v>2015</v>
      </c>
      <c r="D391" s="244"/>
      <c r="E391" s="173">
        <v>0</v>
      </c>
      <c r="F391" s="173">
        <f t="shared" si="66"/>
        <v>0</v>
      </c>
      <c r="G391" s="244"/>
      <c r="H391" s="244"/>
      <c r="I391" s="173">
        <v>0</v>
      </c>
      <c r="J391" s="173">
        <f t="shared" si="67"/>
        <v>0</v>
      </c>
      <c r="K391" s="173">
        <f t="shared" si="68"/>
        <v>0</v>
      </c>
    </row>
    <row r="392" spans="1:11" s="613" customFormat="1" x14ac:dyDescent="0.2">
      <c r="A392" s="171">
        <f t="shared" si="65"/>
        <v>304</v>
      </c>
      <c r="B392" s="53" t="s">
        <v>18</v>
      </c>
      <c r="C392" s="371">
        <v>2015</v>
      </c>
      <c r="D392" s="244"/>
      <c r="E392" s="173">
        <v>0</v>
      </c>
      <c r="F392" s="173">
        <f t="shared" si="66"/>
        <v>0</v>
      </c>
      <c r="G392" s="244"/>
      <c r="H392" s="244"/>
      <c r="I392" s="173">
        <v>0</v>
      </c>
      <c r="J392" s="173">
        <f t="shared" si="67"/>
        <v>0</v>
      </c>
      <c r="K392" s="173">
        <f t="shared" si="68"/>
        <v>0</v>
      </c>
    </row>
    <row r="393" spans="1:11" s="613" customFormat="1" x14ac:dyDescent="0.2">
      <c r="A393" s="171">
        <f t="shared" si="65"/>
        <v>305</v>
      </c>
      <c r="B393" s="58" t="s">
        <v>9</v>
      </c>
      <c r="C393" s="371">
        <v>2015</v>
      </c>
      <c r="D393" s="244"/>
      <c r="E393" s="173">
        <v>0</v>
      </c>
      <c r="F393" s="173">
        <f t="shared" si="66"/>
        <v>0</v>
      </c>
      <c r="G393" s="244"/>
      <c r="H393" s="244"/>
      <c r="I393" s="173">
        <v>0</v>
      </c>
      <c r="J393" s="173">
        <f t="shared" si="67"/>
        <v>0</v>
      </c>
      <c r="K393" s="173">
        <f t="shared" si="68"/>
        <v>0</v>
      </c>
    </row>
    <row r="394" spans="1:11" s="613" customFormat="1" x14ac:dyDescent="0.2">
      <c r="A394" s="171">
        <f t="shared" si="65"/>
        <v>306</v>
      </c>
      <c r="B394" s="53" t="s">
        <v>10</v>
      </c>
      <c r="C394" s="371">
        <v>2015</v>
      </c>
      <c r="D394" s="244"/>
      <c r="E394" s="173">
        <v>0</v>
      </c>
      <c r="F394" s="173">
        <f t="shared" si="66"/>
        <v>0</v>
      </c>
      <c r="G394" s="244"/>
      <c r="H394" s="244"/>
      <c r="I394" s="173">
        <v>0</v>
      </c>
      <c r="J394" s="173">
        <f t="shared" si="67"/>
        <v>0</v>
      </c>
      <c r="K394" s="173">
        <f t="shared" si="68"/>
        <v>0</v>
      </c>
    </row>
    <row r="395" spans="1:11" s="613" customFormat="1" x14ac:dyDescent="0.2">
      <c r="A395" s="171">
        <f t="shared" si="65"/>
        <v>307</v>
      </c>
      <c r="B395" s="53" t="s">
        <v>25</v>
      </c>
      <c r="C395" s="371">
        <v>2015</v>
      </c>
      <c r="D395" s="244"/>
      <c r="E395" s="173">
        <v>0</v>
      </c>
      <c r="F395" s="173">
        <f t="shared" si="66"/>
        <v>0</v>
      </c>
      <c r="G395" s="244"/>
      <c r="H395" s="244"/>
      <c r="I395" s="173">
        <v>0</v>
      </c>
      <c r="J395" s="173">
        <f t="shared" si="67"/>
        <v>0</v>
      </c>
      <c r="K395" s="173">
        <f t="shared" si="68"/>
        <v>0</v>
      </c>
    </row>
    <row r="396" spans="1:11" s="613" customFormat="1" x14ac:dyDescent="0.2">
      <c r="A396" s="171">
        <f t="shared" si="65"/>
        <v>308</v>
      </c>
      <c r="B396" s="58" t="s">
        <v>11</v>
      </c>
      <c r="C396" s="371">
        <v>2015</v>
      </c>
      <c r="D396" s="244"/>
      <c r="E396" s="173">
        <v>0</v>
      </c>
      <c r="F396" s="173">
        <f t="shared" si="66"/>
        <v>0</v>
      </c>
      <c r="G396" s="244"/>
      <c r="H396" s="244"/>
      <c r="I396" s="173">
        <v>0</v>
      </c>
      <c r="J396" s="173">
        <f t="shared" si="67"/>
        <v>0</v>
      </c>
      <c r="K396" s="173">
        <f t="shared" si="68"/>
        <v>0</v>
      </c>
    </row>
    <row r="397" spans="1:11" s="613" customFormat="1" x14ac:dyDescent="0.2">
      <c r="A397" s="171">
        <f t="shared" si="65"/>
        <v>309</v>
      </c>
      <c r="B397" s="53" t="s">
        <v>12</v>
      </c>
      <c r="C397" s="371">
        <v>2015</v>
      </c>
      <c r="D397" s="244"/>
      <c r="E397" s="173">
        <v>0</v>
      </c>
      <c r="F397" s="173">
        <f t="shared" si="66"/>
        <v>0</v>
      </c>
      <c r="G397" s="244"/>
      <c r="H397" s="244"/>
      <c r="I397" s="173">
        <v>0</v>
      </c>
      <c r="J397" s="173">
        <f t="shared" si="67"/>
        <v>0</v>
      </c>
      <c r="K397" s="173">
        <f t="shared" si="68"/>
        <v>0</v>
      </c>
    </row>
    <row r="398" spans="1:11" s="613" customFormat="1" x14ac:dyDescent="0.2">
      <c r="A398" s="171">
        <f t="shared" si="65"/>
        <v>310</v>
      </c>
      <c r="B398" s="53" t="s">
        <v>13</v>
      </c>
      <c r="C398" s="371">
        <v>2015</v>
      </c>
      <c r="D398" s="244"/>
      <c r="E398" s="173">
        <v>0</v>
      </c>
      <c r="F398" s="173">
        <f t="shared" si="66"/>
        <v>0</v>
      </c>
      <c r="G398" s="244"/>
      <c r="H398" s="244"/>
      <c r="I398" s="173">
        <v>0</v>
      </c>
      <c r="J398" s="173">
        <f t="shared" si="67"/>
        <v>0</v>
      </c>
      <c r="K398" s="173">
        <f t="shared" si="68"/>
        <v>0</v>
      </c>
    </row>
    <row r="399" spans="1:11" s="613" customFormat="1" x14ac:dyDescent="0.2">
      <c r="A399" s="171">
        <f t="shared" si="65"/>
        <v>311</v>
      </c>
      <c r="B399" s="53" t="s">
        <v>15</v>
      </c>
      <c r="C399" s="371">
        <v>2015</v>
      </c>
      <c r="D399" s="244"/>
      <c r="E399" s="173">
        <v>0</v>
      </c>
      <c r="F399" s="173">
        <f t="shared" si="66"/>
        <v>0</v>
      </c>
      <c r="G399" s="244"/>
      <c r="H399" s="244"/>
      <c r="I399" s="173">
        <v>0</v>
      </c>
      <c r="J399" s="173">
        <f t="shared" si="67"/>
        <v>0</v>
      </c>
      <c r="K399" s="173">
        <f t="shared" si="68"/>
        <v>0</v>
      </c>
    </row>
    <row r="400" spans="1:11" s="613" customFormat="1" x14ac:dyDescent="0.2">
      <c r="A400" s="171">
        <f t="shared" si="65"/>
        <v>312</v>
      </c>
      <c r="B400" s="53" t="s">
        <v>14</v>
      </c>
      <c r="C400" s="371">
        <v>2015</v>
      </c>
      <c r="D400" s="244"/>
      <c r="E400" s="173">
        <v>0</v>
      </c>
      <c r="F400" s="173">
        <f t="shared" si="66"/>
        <v>0</v>
      </c>
      <c r="G400" s="244"/>
      <c r="H400" s="244"/>
      <c r="I400" s="173">
        <v>0</v>
      </c>
      <c r="J400" s="173">
        <f t="shared" si="67"/>
        <v>0</v>
      </c>
      <c r="K400" s="173">
        <f t="shared" si="68"/>
        <v>0</v>
      </c>
    </row>
    <row r="401" spans="1:11" s="613" customFormat="1" x14ac:dyDescent="0.2">
      <c r="A401" s="171">
        <f t="shared" si="65"/>
        <v>313</v>
      </c>
      <c r="B401" s="53" t="s">
        <v>6</v>
      </c>
      <c r="C401" s="371">
        <v>2015</v>
      </c>
      <c r="D401" s="244"/>
      <c r="E401" s="173">
        <v>0</v>
      </c>
      <c r="F401" s="173">
        <f t="shared" si="66"/>
        <v>0</v>
      </c>
      <c r="G401" s="244"/>
      <c r="H401" s="244"/>
      <c r="I401" s="173">
        <v>0</v>
      </c>
      <c r="J401" s="173">
        <f t="shared" si="67"/>
        <v>0</v>
      </c>
      <c r="K401" s="181">
        <f t="shared" si="68"/>
        <v>0</v>
      </c>
    </row>
    <row r="402" spans="1:11" s="613" customFormat="1" x14ac:dyDescent="0.2">
      <c r="A402" s="171">
        <f t="shared" si="65"/>
        <v>314</v>
      </c>
      <c r="B402"/>
      <c r="C402" s="611" t="s">
        <v>418</v>
      </c>
      <c r="H402" s="610"/>
      <c r="I402" s="610"/>
      <c r="K402" s="612">
        <f>AVERAGE(K389:K401)</f>
        <v>0</v>
      </c>
    </row>
    <row r="403" spans="1:11" s="613" customFormat="1" x14ac:dyDescent="0.2">
      <c r="A403" s="171"/>
      <c r="B403"/>
      <c r="C403" s="611"/>
      <c r="H403" s="610"/>
      <c r="I403" s="610"/>
      <c r="K403" s="612"/>
    </row>
    <row r="404" spans="1:11" s="613" customFormat="1" x14ac:dyDescent="0.2">
      <c r="A404" s="171"/>
      <c r="B404"/>
      <c r="C404" s="611"/>
      <c r="H404" s="610"/>
      <c r="I404" s="610"/>
      <c r="K404" s="612"/>
    </row>
    <row r="405" spans="1:11" s="613" customFormat="1" x14ac:dyDescent="0.2">
      <c r="A405" s="608"/>
      <c r="B405" s="48" t="s">
        <v>297</v>
      </c>
      <c r="C405"/>
      <c r="D405"/>
      <c r="E405"/>
      <c r="F405"/>
      <c r="G405"/>
      <c r="H405"/>
      <c r="I405"/>
    </row>
    <row r="406" spans="1:11" s="613" customFormat="1" x14ac:dyDescent="0.2">
      <c r="A406" s="608"/>
      <c r="B406" s="53" t="s">
        <v>444</v>
      </c>
    </row>
    <row r="407" spans="1:11" s="613" customFormat="1" x14ac:dyDescent="0.2">
      <c r="A407" s="608"/>
      <c r="B407" s="53" t="s">
        <v>445</v>
      </c>
      <c r="C407"/>
      <c r="D407"/>
      <c r="E407"/>
      <c r="F407"/>
      <c r="G407"/>
      <c r="H407"/>
      <c r="I407"/>
    </row>
    <row r="408" spans="1:11" s="613" customFormat="1" x14ac:dyDescent="0.2">
      <c r="A408" s="608"/>
      <c r="C408"/>
      <c r="D408"/>
      <c r="E408"/>
      <c r="F408"/>
      <c r="G408"/>
      <c r="H408"/>
      <c r="I408"/>
    </row>
    <row r="409" spans="1:11" s="613" customFormat="1" x14ac:dyDescent="0.2">
      <c r="A409" s="608"/>
      <c r="B409" s="162" t="s">
        <v>109</v>
      </c>
      <c r="C409"/>
      <c r="D409"/>
      <c r="E409"/>
      <c r="F409"/>
      <c r="G409"/>
      <c r="H409"/>
      <c r="I409"/>
    </row>
    <row r="410" spans="1:11" s="613" customFormat="1" x14ac:dyDescent="0.2">
      <c r="A410" s="608"/>
      <c r="B410" s="223" t="s">
        <v>446</v>
      </c>
      <c r="C410"/>
      <c r="D410"/>
      <c r="E410"/>
      <c r="F410"/>
      <c r="G410"/>
      <c r="H410"/>
      <c r="I410"/>
    </row>
    <row r="411" spans="1:11" s="613" customFormat="1" x14ac:dyDescent="0.2">
      <c r="A411" s="608"/>
      <c r="B411" s="223" t="s">
        <v>447</v>
      </c>
      <c r="C411"/>
      <c r="D411"/>
      <c r="E411"/>
      <c r="F411"/>
      <c r="G411"/>
      <c r="H411"/>
      <c r="I411"/>
    </row>
    <row r="412" spans="1:11" s="613" customFormat="1" x14ac:dyDescent="0.2">
      <c r="A412" s="608"/>
      <c r="B412" s="174" t="s">
        <v>448</v>
      </c>
      <c r="C412" s="163"/>
      <c r="D412" s="163"/>
      <c r="E412" s="163"/>
      <c r="F412" s="163"/>
      <c r="G412" s="163"/>
      <c r="H412" s="163"/>
      <c r="I412" s="163"/>
    </row>
    <row r="413" spans="1:11" s="613" customFormat="1" x14ac:dyDescent="0.2">
      <c r="A413" s="608"/>
      <c r="B413" s="176"/>
      <c r="C413" s="163"/>
      <c r="D413" s="163"/>
      <c r="E413" s="163"/>
      <c r="F413" s="163"/>
      <c r="G413" s="163"/>
      <c r="H413" s="163"/>
      <c r="I413" s="163"/>
    </row>
    <row r="414" spans="1:11" s="613" customFormat="1" x14ac:dyDescent="0.2">
      <c r="A414" s="608"/>
      <c r="B414" s="53"/>
      <c r="C414" s="411"/>
      <c r="H414" s="610"/>
      <c r="I414" s="610"/>
    </row>
    <row r="415" spans="1:11" s="613" customFormat="1" x14ac:dyDescent="0.2">
      <c r="A415" s="608"/>
      <c r="B415" s="53"/>
      <c r="C415" s="411"/>
      <c r="H415" s="610"/>
      <c r="I415" s="610"/>
    </row>
    <row r="416" spans="1:11" s="613" customFormat="1" x14ac:dyDescent="0.2">
      <c r="A416" s="608"/>
      <c r="B416" s="53"/>
      <c r="C416" s="411"/>
      <c r="H416" s="610"/>
      <c r="I416" s="610"/>
    </row>
    <row r="417" spans="1:11" s="613" customFormat="1" x14ac:dyDescent="0.2">
      <c r="A417" s="608"/>
      <c r="B417" s="53"/>
      <c r="C417" s="411"/>
      <c r="H417" s="610"/>
      <c r="I417" s="610"/>
    </row>
    <row r="418" spans="1:11" s="613" customFormat="1" x14ac:dyDescent="0.2">
      <c r="A418" s="608"/>
      <c r="B418" s="53"/>
      <c r="C418" s="411"/>
      <c r="D418" s="620"/>
      <c r="E418" s="620"/>
      <c r="F418" s="620"/>
      <c r="G418" s="620"/>
      <c r="H418" s="610"/>
      <c r="I418" s="610"/>
    </row>
    <row r="419" spans="1:11" s="613" customFormat="1" x14ac:dyDescent="0.2">
      <c r="A419" s="608"/>
      <c r="C419" s="413"/>
      <c r="D419" s="621"/>
      <c r="E419" s="621"/>
      <c r="F419" s="621"/>
      <c r="G419" s="621"/>
      <c r="H419" s="610"/>
      <c r="I419" s="610"/>
    </row>
    <row r="420" spans="1:11" s="613" customFormat="1" x14ac:dyDescent="0.2"/>
    <row r="421" spans="1:11" s="613" customFormat="1" x14ac:dyDescent="0.2">
      <c r="B421" s="48"/>
    </row>
    <row r="422" spans="1:11" s="613" customFormat="1" x14ac:dyDescent="0.2">
      <c r="B422" s="53"/>
    </row>
    <row r="423" spans="1:11" x14ac:dyDescent="0.2">
      <c r="A423" s="613"/>
      <c r="B423" s="613"/>
      <c r="C423" s="613"/>
      <c r="D423" s="613"/>
      <c r="E423" s="613"/>
      <c r="F423" s="613"/>
      <c r="G423" s="613"/>
      <c r="H423" s="613"/>
      <c r="I423" s="613"/>
      <c r="J423" s="613"/>
      <c r="K423" s="613"/>
    </row>
    <row r="424" spans="1:11" x14ac:dyDescent="0.2">
      <c r="A424" s="613"/>
      <c r="B424" s="622"/>
      <c r="C424" s="613"/>
      <c r="D424" s="613"/>
      <c r="E424" s="613"/>
      <c r="F424" s="613"/>
      <c r="G424" s="613"/>
      <c r="H424" s="613"/>
      <c r="I424" s="613"/>
      <c r="J424" s="613"/>
      <c r="K424" s="613"/>
    </row>
    <row r="425" spans="1:11" x14ac:dyDescent="0.2">
      <c r="A425" s="613"/>
      <c r="B425" s="623"/>
      <c r="C425" s="613"/>
      <c r="D425" s="613"/>
      <c r="E425" s="613"/>
      <c r="F425" s="613"/>
      <c r="G425" s="613"/>
      <c r="H425" s="613"/>
      <c r="I425" s="613"/>
      <c r="J425" s="613"/>
      <c r="K425" s="613"/>
    </row>
    <row r="426" spans="1:11" x14ac:dyDescent="0.2">
      <c r="A426" s="613"/>
      <c r="B426" s="623"/>
      <c r="C426" s="613"/>
      <c r="D426" s="613"/>
      <c r="E426" s="613"/>
      <c r="F426" s="613"/>
      <c r="G426" s="613"/>
      <c r="H426" s="613"/>
      <c r="I426" s="613"/>
      <c r="J426" s="613"/>
      <c r="K426" s="613"/>
    </row>
    <row r="427" spans="1:11" x14ac:dyDescent="0.2">
      <c r="A427" s="613"/>
      <c r="B427" s="623"/>
      <c r="C427" s="613"/>
      <c r="D427" s="613"/>
      <c r="E427" s="613"/>
      <c r="F427" s="613"/>
      <c r="G427" s="613"/>
      <c r="H427" s="613"/>
      <c r="I427" s="613"/>
      <c r="J427" s="613"/>
      <c r="K427" s="613"/>
    </row>
    <row r="428" spans="1:11" x14ac:dyDescent="0.2">
      <c r="A428" s="613"/>
      <c r="B428" s="624"/>
      <c r="C428" s="613"/>
      <c r="D428" s="613"/>
      <c r="E428" s="613"/>
      <c r="F428" s="613"/>
      <c r="G428" s="613"/>
      <c r="H428" s="613"/>
      <c r="I428" s="613"/>
      <c r="J428" s="613"/>
      <c r="K428" s="613"/>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2013 True Up TRR)&amp;RTO12 Draft Annual Update
Attachment 4
WP-Schedule 3-One Time Adj True Up Adj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7"/>
  <dimension ref="A1:K372"/>
  <sheetViews>
    <sheetView topLeftCell="A370" zoomScale="110" zoomScaleNormal="110" workbookViewId="0">
      <selection activeCell="I257" sqref="I257"/>
    </sheetView>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815393483.95000005</v>
      </c>
      <c r="F26" s="173">
        <v>733964477.7506907</v>
      </c>
      <c r="G26" s="173">
        <v>-361221275.88973248</v>
      </c>
      <c r="H26" s="176" t="s">
        <v>1061</v>
      </c>
      <c r="I26" s="163"/>
    </row>
    <row r="27" spans="1:10" x14ac:dyDescent="0.2">
      <c r="A27" s="166">
        <f t="shared" ref="A27:A37" si="0">A26+1</f>
        <v>2</v>
      </c>
      <c r="B27" s="162"/>
      <c r="C27" s="174" t="s">
        <v>844</v>
      </c>
      <c r="D27" s="163"/>
      <c r="E27" s="173">
        <v>1912227.5699999947</v>
      </c>
      <c r="F27" s="179">
        <v>356447199.21153843</v>
      </c>
      <c r="G27" s="173">
        <v>-1912227.570000004</v>
      </c>
      <c r="H27" s="176" t="s">
        <v>1062</v>
      </c>
      <c r="I27" s="163"/>
    </row>
    <row r="28" spans="1:10" x14ac:dyDescent="0.2">
      <c r="A28" s="166">
        <f t="shared" si="0"/>
        <v>3</v>
      </c>
      <c r="B28" s="162"/>
      <c r="C28" s="174" t="s">
        <v>845</v>
      </c>
      <c r="D28" s="163"/>
      <c r="E28" s="173">
        <v>0</v>
      </c>
      <c r="F28" s="173">
        <v>90162090.025384635</v>
      </c>
      <c r="G28" s="173">
        <v>0</v>
      </c>
      <c r="H28" s="176" t="s">
        <v>1063</v>
      </c>
      <c r="I28" s="163"/>
    </row>
    <row r="29" spans="1:10" x14ac:dyDescent="0.2">
      <c r="A29" s="166">
        <f t="shared" si="0"/>
        <v>4</v>
      </c>
      <c r="B29" s="162"/>
      <c r="C29" s="174" t="s">
        <v>846</v>
      </c>
      <c r="D29" s="163"/>
      <c r="E29" s="173">
        <v>0</v>
      </c>
      <c r="F29" s="173">
        <v>-5417.903076923094</v>
      </c>
      <c r="G29" s="173">
        <v>0</v>
      </c>
      <c r="H29" s="176" t="s">
        <v>1064</v>
      </c>
      <c r="I29" s="163"/>
    </row>
    <row r="30" spans="1:10" x14ac:dyDescent="0.2">
      <c r="A30" s="166">
        <f t="shared" si="0"/>
        <v>5</v>
      </c>
      <c r="B30" s="162"/>
      <c r="C30" s="174" t="s">
        <v>847</v>
      </c>
      <c r="D30" s="163"/>
      <c r="E30" s="173">
        <v>10206388.680000002</v>
      </c>
      <c r="F30" s="173">
        <v>90346374.842307672</v>
      </c>
      <c r="G30" s="173">
        <v>-10206388.679999979</v>
      </c>
      <c r="H30" s="176" t="s">
        <v>1065</v>
      </c>
      <c r="I30" s="163"/>
    </row>
    <row r="31" spans="1:10" x14ac:dyDescent="0.2">
      <c r="A31" s="166">
        <f t="shared" si="0"/>
        <v>6</v>
      </c>
      <c r="B31" s="162"/>
      <c r="C31" s="174" t="s">
        <v>848</v>
      </c>
      <c r="D31" s="163"/>
      <c r="E31" s="173">
        <v>21945221.93</v>
      </c>
      <c r="F31" s="173">
        <v>8561531.0453846157</v>
      </c>
      <c r="G31" s="173">
        <v>-18381183.468461573</v>
      </c>
      <c r="H31" s="176" t="s">
        <v>1066</v>
      </c>
      <c r="I31" s="163"/>
    </row>
    <row r="32" spans="1:10" x14ac:dyDescent="0.2">
      <c r="A32" s="166">
        <f t="shared" si="0"/>
        <v>7</v>
      </c>
      <c r="B32" s="162"/>
      <c r="C32" s="174" t="s">
        <v>849</v>
      </c>
      <c r="D32" s="163"/>
      <c r="E32" s="173">
        <v>0</v>
      </c>
      <c r="F32" s="179">
        <v>26096372.488461532</v>
      </c>
      <c r="G32" s="173">
        <v>487057.69230769231</v>
      </c>
      <c r="H32" s="176" t="s">
        <v>1067</v>
      </c>
      <c r="I32" s="163"/>
    </row>
    <row r="33" spans="1:10" x14ac:dyDescent="0.2">
      <c r="A33" s="166">
        <f t="shared" si="0"/>
        <v>8</v>
      </c>
      <c r="B33" s="162"/>
      <c r="C33" s="174" t="s">
        <v>850</v>
      </c>
      <c r="D33" s="163"/>
      <c r="E33" s="173">
        <v>22710040.250000004</v>
      </c>
      <c r="F33" s="173">
        <v>17001044.910769232</v>
      </c>
      <c r="G33" s="173">
        <v>25751092.74585294</v>
      </c>
      <c r="H33" s="176" t="s">
        <v>1068</v>
      </c>
      <c r="I33" s="163"/>
    </row>
    <row r="34" spans="1:10" x14ac:dyDescent="0.2">
      <c r="A34" s="166">
        <f t="shared" si="0"/>
        <v>9</v>
      </c>
      <c r="B34" s="162"/>
      <c r="C34" s="174" t="s">
        <v>851</v>
      </c>
      <c r="D34" s="163"/>
      <c r="E34" s="173">
        <v>21116952.730378974</v>
      </c>
      <c r="F34" s="173">
        <v>17544844.048281893</v>
      </c>
      <c r="G34" s="173">
        <v>27788260.444080848</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173">
        <f>SUM(E26:E34)</f>
        <v>893284315.11037898</v>
      </c>
      <c r="F37" s="179">
        <f>SUM(F26:F34)</f>
        <v>1340118516.4197419</v>
      </c>
      <c r="G37" s="221">
        <f>SUM(G26:G34)</f>
        <v>-337694664.72595257</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188">
        <f>F46+G46</f>
        <v>169212261.06127623</v>
      </c>
      <c r="F46" s="173">
        <v>0</v>
      </c>
      <c r="G46" s="173">
        <f>H84</f>
        <v>169212261.06127623</v>
      </c>
      <c r="H46" s="247" t="str">
        <f>"Line "&amp;A84&amp;", C4"</f>
        <v>Line 37, C4</v>
      </c>
    </row>
    <row r="47" spans="1:10" x14ac:dyDescent="0.2">
      <c r="A47" s="166">
        <f>A46+1</f>
        <v>14</v>
      </c>
      <c r="B47" s="162"/>
      <c r="C47" t="s">
        <v>860</v>
      </c>
      <c r="E47" s="188">
        <f>F47+G47</f>
        <v>2088823678.3818445</v>
      </c>
      <c r="F47" s="173">
        <f>E26</f>
        <v>815393483.95000005</v>
      </c>
      <c r="G47" s="173">
        <f>F84</f>
        <v>1273430194.4318445</v>
      </c>
      <c r="H47" s="247" t="str">
        <f>"Line "&amp;A26&amp;", C1, and Line "&amp;A84&amp;", C2"</f>
        <v>Line 1, C1, and Line 37, C2</v>
      </c>
    </row>
    <row r="48" spans="1:10" x14ac:dyDescent="0.2">
      <c r="A48" s="166">
        <f>A47+1</f>
        <v>15</v>
      </c>
      <c r="B48" s="162"/>
      <c r="C48" s="223" t="s">
        <v>861</v>
      </c>
      <c r="E48" s="186">
        <f>F48+G48</f>
        <v>738727919.29147851</v>
      </c>
      <c r="F48" s="173">
        <f>E27</f>
        <v>1912227.5699999947</v>
      </c>
      <c r="G48" s="179">
        <f>G84</f>
        <v>736815691.72147846</v>
      </c>
      <c r="H48" s="247" t="str">
        <f>"Line "&amp;A27&amp;", C1, and Line "&amp;A84&amp;", C3"</f>
        <v>Line 2, C1, and Line 37, C3</v>
      </c>
    </row>
    <row r="49" spans="1:8" x14ac:dyDescent="0.2">
      <c r="A49" s="166">
        <f>A48+1</f>
        <v>16</v>
      </c>
      <c r="B49" s="162"/>
      <c r="C49" s="217" t="s">
        <v>635</v>
      </c>
      <c r="E49" s="217" t="s">
        <v>400</v>
      </c>
      <c r="F49" s="217" t="s">
        <v>400</v>
      </c>
      <c r="G49" s="217" t="s">
        <v>400</v>
      </c>
      <c r="H49" s="217" t="s">
        <v>635</v>
      </c>
    </row>
    <row r="50" spans="1:8" x14ac:dyDescent="0.2">
      <c r="A50" s="166">
        <f>A49+1</f>
        <v>17</v>
      </c>
      <c r="B50" s="162"/>
      <c r="C50" s="631"/>
      <c r="E50" s="217"/>
      <c r="F50" s="217"/>
      <c r="G50" s="217"/>
      <c r="H50" s="247"/>
    </row>
    <row r="51" spans="1:8" x14ac:dyDescent="0.2">
      <c r="A51" s="166">
        <f>A50+1</f>
        <v>18</v>
      </c>
      <c r="B51" s="162"/>
      <c r="D51" s="224" t="s">
        <v>862</v>
      </c>
      <c r="E51" s="179">
        <f>SUM(E46:E48)</f>
        <v>2996763858.7345996</v>
      </c>
      <c r="F51" s="217"/>
      <c r="G51" s="217"/>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171582079.39396474</v>
      </c>
      <c r="F60" s="173">
        <v>0</v>
      </c>
      <c r="G60" s="633">
        <f>H85</f>
        <v>171582079.39396474</v>
      </c>
      <c r="H60" s="247" t="str">
        <f>"Line "&amp;A85&amp;", C4"</f>
        <v>Line 38, C4</v>
      </c>
    </row>
    <row r="61" spans="1:8" x14ac:dyDescent="0.2">
      <c r="A61" s="166">
        <f>A60+1</f>
        <v>20</v>
      </c>
      <c r="B61" s="162"/>
      <c r="C61" t="s">
        <v>860</v>
      </c>
      <c r="E61" s="188">
        <f>F61+G61</f>
        <v>1941547701.5794916</v>
      </c>
      <c r="F61" s="173">
        <f>F26</f>
        <v>733964477.7506907</v>
      </c>
      <c r="G61" s="633">
        <f>F85</f>
        <v>1207583223.8288009</v>
      </c>
      <c r="H61" s="247" t="str">
        <f>"Line "&amp;A26&amp;", C2, and Line "&amp;A85&amp;", C2"</f>
        <v>Line 1, C2, and Line 38, C2</v>
      </c>
    </row>
    <row r="62" spans="1:8" x14ac:dyDescent="0.2">
      <c r="A62" s="166">
        <f>A61+1</f>
        <v>21</v>
      </c>
      <c r="B62" s="162"/>
      <c r="C62" s="223" t="s">
        <v>865</v>
      </c>
      <c r="E62" s="186">
        <f>F62+G62</f>
        <v>666192868.41666603</v>
      </c>
      <c r="F62" s="179">
        <f>F27</f>
        <v>356447199.21153843</v>
      </c>
      <c r="G62" s="634">
        <f>G85</f>
        <v>309745669.2051276</v>
      </c>
      <c r="H62" s="247" t="str">
        <f>"Line "&amp;A27&amp;", C2, and Line "&amp;A85&amp;", C3"</f>
        <v>Line 2, C2, and Line 38, C3</v>
      </c>
    </row>
    <row r="63" spans="1:8" x14ac:dyDescent="0.2">
      <c r="A63" s="166">
        <f>A62+1</f>
        <v>22</v>
      </c>
      <c r="B63" s="162"/>
      <c r="C63" s="217" t="s">
        <v>635</v>
      </c>
      <c r="E63" s="217" t="s">
        <v>400</v>
      </c>
      <c r="F63" s="217" t="s">
        <v>400</v>
      </c>
      <c r="G63" s="217"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2779322649.3901224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2012</v>
      </c>
      <c r="E72" s="640">
        <f>SUM(F72:H72)</f>
        <v>1203236497.6989357</v>
      </c>
      <c r="F72" s="641">
        <f>G117</f>
        <v>1029284599.9722825</v>
      </c>
      <c r="G72" s="641">
        <f>G157</f>
        <v>0</v>
      </c>
      <c r="H72" s="641">
        <f>G137</f>
        <v>173951897.72665322</v>
      </c>
      <c r="I72" s="217" t="s">
        <v>400</v>
      </c>
      <c r="J72" s="629" t="s">
        <v>873</v>
      </c>
    </row>
    <row r="73" spans="1:11" x14ac:dyDescent="0.2">
      <c r="A73" s="166">
        <f>A72+1</f>
        <v>26</v>
      </c>
      <c r="C73" s="58" t="s">
        <v>7</v>
      </c>
      <c r="D73" s="371">
        <v>2013</v>
      </c>
      <c r="E73" s="599">
        <f t="shared" ref="E73:E84" si="1">SUM(F73:H73)</f>
        <v>1329178872.7815683</v>
      </c>
      <c r="F73" s="641">
        <f t="shared" ref="F73:F84" si="2">G118</f>
        <v>1155621944.7770298</v>
      </c>
      <c r="G73" s="641">
        <f t="shared" ref="G73:G84" si="3">G158</f>
        <v>0</v>
      </c>
      <c r="H73" s="641">
        <f t="shared" ref="H73:H84" si="4">G138</f>
        <v>173556928.00453848</v>
      </c>
      <c r="I73" s="217" t="s">
        <v>400</v>
      </c>
      <c r="J73" s="247" t="s">
        <v>874</v>
      </c>
    </row>
    <row r="74" spans="1:11" x14ac:dyDescent="0.2">
      <c r="A74" s="166">
        <f t="shared" ref="A74:A85" si="5">A73+1</f>
        <v>27</v>
      </c>
      <c r="C74" s="53" t="s">
        <v>8</v>
      </c>
      <c r="D74" s="371">
        <v>2013</v>
      </c>
      <c r="E74" s="599">
        <f t="shared" si="1"/>
        <v>1347336894.7544832</v>
      </c>
      <c r="F74" s="641">
        <f t="shared" si="2"/>
        <v>1174174936.4720595</v>
      </c>
      <c r="G74" s="641">
        <f t="shared" si="3"/>
        <v>0</v>
      </c>
      <c r="H74" s="641">
        <f t="shared" si="4"/>
        <v>173161958.28242373</v>
      </c>
      <c r="I74" s="217" t="s">
        <v>400</v>
      </c>
      <c r="J74" s="217" t="s">
        <v>875</v>
      </c>
      <c r="K74" s="166"/>
    </row>
    <row r="75" spans="1:11" x14ac:dyDescent="0.2">
      <c r="A75" s="166">
        <f t="shared" si="5"/>
        <v>28</v>
      </c>
      <c r="C75" s="53" t="s">
        <v>18</v>
      </c>
      <c r="D75" s="371">
        <v>2013</v>
      </c>
      <c r="E75" s="598">
        <f t="shared" si="1"/>
        <v>1355488097.3945334</v>
      </c>
      <c r="F75" s="641">
        <f t="shared" si="2"/>
        <v>1179791735.6842244</v>
      </c>
      <c r="G75" s="642">
        <f t="shared" si="3"/>
        <v>2929373.15</v>
      </c>
      <c r="H75" s="641">
        <f t="shared" si="4"/>
        <v>172766988.56030896</v>
      </c>
      <c r="I75" s="217" t="s">
        <v>400</v>
      </c>
      <c r="J75" s="217"/>
      <c r="K75" s="166"/>
    </row>
    <row r="76" spans="1:11" x14ac:dyDescent="0.2">
      <c r="A76" s="166">
        <f t="shared" si="5"/>
        <v>29</v>
      </c>
      <c r="C76" s="58" t="s">
        <v>9</v>
      </c>
      <c r="D76" s="371">
        <v>2013</v>
      </c>
      <c r="E76" s="598">
        <f t="shared" si="1"/>
        <v>1360954957.4911294</v>
      </c>
      <c r="F76" s="641">
        <f t="shared" si="2"/>
        <v>1185507371.6693356</v>
      </c>
      <c r="G76" s="642">
        <f t="shared" si="3"/>
        <v>3075566.9835995832</v>
      </c>
      <c r="H76" s="641">
        <f t="shared" si="4"/>
        <v>172372018.83819422</v>
      </c>
      <c r="I76" s="217" t="s">
        <v>400</v>
      </c>
      <c r="J76" s="217"/>
      <c r="K76" s="166"/>
    </row>
    <row r="77" spans="1:11" x14ac:dyDescent="0.2">
      <c r="A77" s="166">
        <f t="shared" si="5"/>
        <v>30</v>
      </c>
      <c r="C77" s="53" t="s">
        <v>10</v>
      </c>
      <c r="D77" s="371">
        <v>2013</v>
      </c>
      <c r="E77" s="598">
        <f t="shared" si="1"/>
        <v>1358271835.7028775</v>
      </c>
      <c r="F77" s="641">
        <f t="shared" si="2"/>
        <v>1183221585.6362207</v>
      </c>
      <c r="G77" s="642">
        <f t="shared" si="3"/>
        <v>3073200.9505773331</v>
      </c>
      <c r="H77" s="641">
        <f t="shared" si="4"/>
        <v>171977049.11607948</v>
      </c>
      <c r="I77" s="217" t="s">
        <v>400</v>
      </c>
      <c r="J77" s="217"/>
      <c r="K77" s="166"/>
    </row>
    <row r="78" spans="1:11" x14ac:dyDescent="0.2">
      <c r="A78" s="166">
        <f t="shared" si="5"/>
        <v>31</v>
      </c>
      <c r="C78" s="53" t="s">
        <v>383</v>
      </c>
      <c r="D78" s="371">
        <v>2013</v>
      </c>
      <c r="E78" s="598">
        <f t="shared" si="1"/>
        <v>1793117465.9981136</v>
      </c>
      <c r="F78" s="641">
        <f t="shared" si="2"/>
        <v>1202413212.402421</v>
      </c>
      <c r="G78" s="642">
        <f t="shared" si="3"/>
        <v>419122174.20172799</v>
      </c>
      <c r="H78" s="641">
        <f t="shared" si="4"/>
        <v>171582079.39396471</v>
      </c>
      <c r="I78" s="217" t="s">
        <v>400</v>
      </c>
      <c r="J78" s="217"/>
      <c r="K78" s="166"/>
    </row>
    <row r="79" spans="1:11" x14ac:dyDescent="0.2">
      <c r="A79" s="166">
        <f t="shared" si="5"/>
        <v>32</v>
      </c>
      <c r="C79" s="58" t="s">
        <v>11</v>
      </c>
      <c r="D79" s="371">
        <v>2013</v>
      </c>
      <c r="E79" s="598">
        <f t="shared" si="1"/>
        <v>1796327379.2356989</v>
      </c>
      <c r="F79" s="641">
        <f t="shared" si="2"/>
        <v>1203046654.8262045</v>
      </c>
      <c r="G79" s="642">
        <f t="shared" si="3"/>
        <v>422093614.73764443</v>
      </c>
      <c r="H79" s="641">
        <f t="shared" si="4"/>
        <v>171187109.67184997</v>
      </c>
      <c r="I79" s="217" t="s">
        <v>400</v>
      </c>
      <c r="J79" s="217"/>
      <c r="K79" s="164"/>
    </row>
    <row r="80" spans="1:11" x14ac:dyDescent="0.2">
      <c r="A80" s="166">
        <f t="shared" si="5"/>
        <v>33</v>
      </c>
      <c r="C80" s="53" t="s">
        <v>12</v>
      </c>
      <c r="D80" s="371">
        <v>2013</v>
      </c>
      <c r="E80" s="598">
        <f t="shared" si="1"/>
        <v>1873218444.2860279</v>
      </c>
      <c r="F80" s="641">
        <f t="shared" si="2"/>
        <v>1279474139.5263367</v>
      </c>
      <c r="G80" s="642">
        <f t="shared" si="3"/>
        <v>422952164.80995613</v>
      </c>
      <c r="H80" s="641">
        <f t="shared" si="4"/>
        <v>170792139.94973522</v>
      </c>
      <c r="I80" s="217" t="s">
        <v>400</v>
      </c>
      <c r="J80" s="217"/>
      <c r="K80" s="166"/>
    </row>
    <row r="81" spans="1:11" x14ac:dyDescent="0.2">
      <c r="A81" s="166">
        <f t="shared" si="5"/>
        <v>34</v>
      </c>
      <c r="C81" s="53" t="s">
        <v>13</v>
      </c>
      <c r="D81" s="371">
        <v>2013</v>
      </c>
      <c r="E81" s="598">
        <f t="shared" si="1"/>
        <v>2113559841.2376013</v>
      </c>
      <c r="F81" s="641">
        <f t="shared" si="2"/>
        <v>1277375658.2436552</v>
      </c>
      <c r="G81" s="642">
        <f t="shared" si="3"/>
        <v>665787012.76632535</v>
      </c>
      <c r="H81" s="641">
        <f t="shared" si="4"/>
        <v>170397170.22762048</v>
      </c>
      <c r="I81" s="217" t="s">
        <v>400</v>
      </c>
      <c r="J81" s="217"/>
      <c r="K81" s="166"/>
    </row>
    <row r="82" spans="1:11" x14ac:dyDescent="0.2">
      <c r="A82" s="166">
        <f t="shared" si="5"/>
        <v>35</v>
      </c>
      <c r="C82" s="58" t="s">
        <v>384</v>
      </c>
      <c r="D82" s="371">
        <v>2013</v>
      </c>
      <c r="E82" s="598">
        <f t="shared" si="1"/>
        <v>2116664813.1349015</v>
      </c>
      <c r="F82" s="641">
        <f t="shared" si="2"/>
        <v>1276599985.275703</v>
      </c>
      <c r="G82" s="642">
        <f t="shared" si="3"/>
        <v>670062627.35369277</v>
      </c>
      <c r="H82" s="641">
        <f t="shared" si="4"/>
        <v>170002200.50550571</v>
      </c>
      <c r="I82" s="217" t="s">
        <v>400</v>
      </c>
      <c r="J82" s="217"/>
      <c r="K82" s="166"/>
    </row>
    <row r="83" spans="1:11" x14ac:dyDescent="0.2">
      <c r="A83" s="166">
        <f t="shared" si="5"/>
        <v>36</v>
      </c>
      <c r="C83" s="58" t="s">
        <v>14</v>
      </c>
      <c r="D83" s="371">
        <v>2013</v>
      </c>
      <c r="E83" s="598">
        <f t="shared" si="1"/>
        <v>2129029394.6321416</v>
      </c>
      <c r="F83" s="641">
        <f t="shared" si="2"/>
        <v>1278639890.8570938</v>
      </c>
      <c r="G83" s="642">
        <f t="shared" si="3"/>
        <v>680782272.99165678</v>
      </c>
      <c r="H83" s="641">
        <f t="shared" si="4"/>
        <v>169607230.78339097</v>
      </c>
      <c r="I83" s="217" t="s">
        <v>400</v>
      </c>
      <c r="J83" s="217"/>
      <c r="K83" s="166"/>
    </row>
    <row r="84" spans="1:11" x14ac:dyDescent="0.2">
      <c r="A84" s="166">
        <f t="shared" si="5"/>
        <v>37</v>
      </c>
      <c r="C84" s="58" t="s">
        <v>6</v>
      </c>
      <c r="D84" s="371">
        <v>2013</v>
      </c>
      <c r="E84" s="643">
        <f t="shared" si="1"/>
        <v>2179458147.2145991</v>
      </c>
      <c r="F84" s="644">
        <f t="shared" si="2"/>
        <v>1273430194.4318445</v>
      </c>
      <c r="G84" s="643">
        <f t="shared" si="3"/>
        <v>736815691.72147846</v>
      </c>
      <c r="H84" s="644">
        <f t="shared" si="4"/>
        <v>169212261.06127623</v>
      </c>
      <c r="I84" s="217" t="s">
        <v>400</v>
      </c>
      <c r="J84" s="217"/>
      <c r="K84" s="166"/>
    </row>
    <row r="85" spans="1:11" x14ac:dyDescent="0.2">
      <c r="A85" s="166">
        <f t="shared" si="5"/>
        <v>38</v>
      </c>
      <c r="C85" s="58"/>
      <c r="D85" s="378" t="s">
        <v>385</v>
      </c>
      <c r="E85" s="598">
        <f>SUM(E72:E84)/13</f>
        <v>1688910972.4278932</v>
      </c>
      <c r="F85" s="599">
        <f>SUM(F72:F84)/13</f>
        <v>1207583223.8288009</v>
      </c>
      <c r="G85" s="598">
        <f>SUM(G72:G84)/13</f>
        <v>309745669.2051276</v>
      </c>
      <c r="H85" s="599">
        <f>SUM(H72:H84)/13</f>
        <v>171582079.39396474</v>
      </c>
      <c r="I85" s="183"/>
      <c r="J85" s="162"/>
      <c r="K85" s="166"/>
    </row>
    <row r="86" spans="1:11" x14ac:dyDescent="0.2">
      <c r="E86" s="163"/>
      <c r="F86" s="163"/>
      <c r="G86" s="163"/>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2012</v>
      </c>
      <c r="E94" s="173">
        <f t="shared" ref="E94:E106" si="6">H117+H137+H157+H176+H195+H214+H233+H252+H271+H290</f>
        <v>0</v>
      </c>
      <c r="F94" s="592">
        <v>0</v>
      </c>
      <c r="G94" s="599">
        <f>E94-F94</f>
        <v>0</v>
      </c>
      <c r="H94" s="647" t="s">
        <v>884</v>
      </c>
      <c r="I94" s="162"/>
      <c r="J94" s="221"/>
    </row>
    <row r="95" spans="1:11" x14ac:dyDescent="0.2">
      <c r="A95" s="166">
        <f>A94+1</f>
        <v>40</v>
      </c>
      <c r="C95" s="58" t="s">
        <v>7</v>
      </c>
      <c r="D95" s="371">
        <v>2013</v>
      </c>
      <c r="E95" s="173">
        <f t="shared" si="6"/>
        <v>128447891.76999998</v>
      </c>
      <c r="F95" s="592">
        <v>0</v>
      </c>
      <c r="G95" s="599">
        <f t="shared" ref="G95:G106" si="7">E95-F95</f>
        <v>128447891.76999998</v>
      </c>
      <c r="H95" s="647" t="s">
        <v>885</v>
      </c>
      <c r="I95" s="612"/>
      <c r="J95" s="221"/>
    </row>
    <row r="96" spans="1:11" x14ac:dyDescent="0.2">
      <c r="A96" s="166">
        <f t="shared" ref="A96:A107" si="8">A95+1</f>
        <v>41</v>
      </c>
      <c r="C96" s="53" t="s">
        <v>8</v>
      </c>
      <c r="D96" s="371">
        <v>2013</v>
      </c>
      <c r="E96" s="173">
        <f t="shared" si="6"/>
        <v>21054453.710000038</v>
      </c>
      <c r="F96" s="592">
        <v>0</v>
      </c>
      <c r="G96" s="599">
        <f t="shared" si="7"/>
        <v>21054453.710000038</v>
      </c>
      <c r="H96" s="647"/>
      <c r="I96" s="612"/>
      <c r="J96" s="221"/>
    </row>
    <row r="97" spans="1:10" x14ac:dyDescent="0.2">
      <c r="A97" s="166">
        <f t="shared" si="8"/>
        <v>42</v>
      </c>
      <c r="C97" s="53" t="s">
        <v>18</v>
      </c>
      <c r="D97" s="371">
        <v>2013</v>
      </c>
      <c r="E97" s="179">
        <f t="shared" si="6"/>
        <v>11127778.810000211</v>
      </c>
      <c r="F97" s="592">
        <v>0</v>
      </c>
      <c r="G97" s="598">
        <f t="shared" si="7"/>
        <v>11127778.810000211</v>
      </c>
      <c r="H97" s="599"/>
      <c r="I97" s="612"/>
      <c r="J97" s="221"/>
    </row>
    <row r="98" spans="1:10" x14ac:dyDescent="0.2">
      <c r="A98" s="166">
        <f t="shared" si="8"/>
        <v>43</v>
      </c>
      <c r="C98" s="58" t="s">
        <v>9</v>
      </c>
      <c r="D98" s="371">
        <v>2013</v>
      </c>
      <c r="E98" s="173">
        <f t="shared" si="6"/>
        <v>8685520.0999997146</v>
      </c>
      <c r="F98" s="592">
        <v>0</v>
      </c>
      <c r="G98" s="599">
        <f t="shared" si="7"/>
        <v>8685520.0999997146</v>
      </c>
      <c r="H98" s="599"/>
      <c r="I98" s="612"/>
      <c r="J98" s="221"/>
    </row>
    <row r="99" spans="1:10" x14ac:dyDescent="0.2">
      <c r="A99" s="166">
        <f t="shared" si="8"/>
        <v>44</v>
      </c>
      <c r="C99" s="53" t="s">
        <v>10</v>
      </c>
      <c r="D99" s="371">
        <v>2013</v>
      </c>
      <c r="E99" s="173">
        <f t="shared" si="6"/>
        <v>218696359.5399999</v>
      </c>
      <c r="F99" s="592">
        <v>0</v>
      </c>
      <c r="G99" s="599">
        <f t="shared" si="7"/>
        <v>218696359.5399999</v>
      </c>
      <c r="H99" s="599"/>
      <c r="I99" s="612"/>
      <c r="J99" s="221"/>
    </row>
    <row r="100" spans="1:10" x14ac:dyDescent="0.2">
      <c r="A100" s="166">
        <f t="shared" si="8"/>
        <v>45</v>
      </c>
      <c r="C100" s="53" t="s">
        <v>383</v>
      </c>
      <c r="D100" s="371">
        <v>2013</v>
      </c>
      <c r="E100" s="179">
        <f t="shared" si="6"/>
        <v>701601484.21000004</v>
      </c>
      <c r="F100" s="592">
        <v>0</v>
      </c>
      <c r="G100" s="598">
        <f t="shared" si="7"/>
        <v>701601484.21000004</v>
      </c>
      <c r="H100" s="599"/>
      <c r="I100" s="612"/>
      <c r="J100" s="221"/>
    </row>
    <row r="101" spans="1:10" x14ac:dyDescent="0.2">
      <c r="A101" s="166">
        <f t="shared" si="8"/>
        <v>46</v>
      </c>
      <c r="C101" s="58" t="s">
        <v>11</v>
      </c>
      <c r="D101" s="371">
        <v>2013</v>
      </c>
      <c r="E101" s="173">
        <f t="shared" si="6"/>
        <v>66164799.58000008</v>
      </c>
      <c r="F101" s="592">
        <v>0</v>
      </c>
      <c r="G101" s="599">
        <f t="shared" si="7"/>
        <v>66164799.58000008</v>
      </c>
      <c r="H101" s="599"/>
      <c r="I101" s="612"/>
      <c r="J101" s="221"/>
    </row>
    <row r="102" spans="1:10" x14ac:dyDescent="0.2">
      <c r="A102" s="166">
        <f t="shared" si="8"/>
        <v>47</v>
      </c>
      <c r="C102" s="53" t="s">
        <v>12</v>
      </c>
      <c r="D102" s="371">
        <v>2013</v>
      </c>
      <c r="E102" s="173">
        <f t="shared" si="6"/>
        <v>91798507.321000129</v>
      </c>
      <c r="F102" s="592">
        <v>0</v>
      </c>
      <c r="G102" s="599">
        <f t="shared" si="7"/>
        <v>91798507.321000129</v>
      </c>
      <c r="H102" s="599"/>
      <c r="I102" s="612"/>
      <c r="J102" s="221"/>
    </row>
    <row r="103" spans="1:10" x14ac:dyDescent="0.2">
      <c r="A103" s="166">
        <f t="shared" si="8"/>
        <v>48</v>
      </c>
      <c r="C103" s="53" t="s">
        <v>13</v>
      </c>
      <c r="D103" s="371">
        <v>2013</v>
      </c>
      <c r="E103" s="173">
        <f t="shared" si="6"/>
        <v>248102254.33000007</v>
      </c>
      <c r="F103" s="592">
        <v>0</v>
      </c>
      <c r="G103" s="599">
        <f t="shared" si="7"/>
        <v>248102254.33000007</v>
      </c>
      <c r="H103" s="599"/>
      <c r="I103" s="612"/>
      <c r="J103" s="221"/>
    </row>
    <row r="104" spans="1:10" x14ac:dyDescent="0.2">
      <c r="A104" s="166">
        <f t="shared" si="8"/>
        <v>49</v>
      </c>
      <c r="C104" s="58" t="s">
        <v>384</v>
      </c>
      <c r="D104" s="371">
        <v>2013</v>
      </c>
      <c r="E104" s="173">
        <f t="shared" si="6"/>
        <v>25672254.530000158</v>
      </c>
      <c r="F104" s="592">
        <v>0</v>
      </c>
      <c r="G104" s="599">
        <f t="shared" si="7"/>
        <v>25672254.530000158</v>
      </c>
      <c r="H104" s="599"/>
      <c r="I104" s="612"/>
      <c r="J104" s="221"/>
    </row>
    <row r="105" spans="1:10" x14ac:dyDescent="0.2">
      <c r="A105" s="166">
        <f t="shared" si="8"/>
        <v>50</v>
      </c>
      <c r="C105" s="58" t="s">
        <v>14</v>
      </c>
      <c r="D105" s="371">
        <v>2013</v>
      </c>
      <c r="E105" s="173">
        <f t="shared" si="6"/>
        <v>22656863.209999777</v>
      </c>
      <c r="F105" s="592">
        <v>0</v>
      </c>
      <c r="G105" s="599">
        <f t="shared" si="7"/>
        <v>22656863.209999777</v>
      </c>
      <c r="H105" s="599"/>
      <c r="I105" s="612"/>
      <c r="J105" s="221"/>
    </row>
    <row r="106" spans="1:10" x14ac:dyDescent="0.2">
      <c r="A106" s="166">
        <f t="shared" si="8"/>
        <v>51</v>
      </c>
      <c r="C106" s="58" t="s">
        <v>6</v>
      </c>
      <c r="D106" s="371">
        <v>2013</v>
      </c>
      <c r="E106" s="181">
        <f t="shared" si="6"/>
        <v>67130750.259999782</v>
      </c>
      <c r="F106" s="597">
        <v>0</v>
      </c>
      <c r="G106" s="644">
        <f t="shared" si="7"/>
        <v>67130750.259999782</v>
      </c>
      <c r="H106" s="599"/>
      <c r="I106" s="612"/>
      <c r="J106" s="221"/>
    </row>
    <row r="107" spans="1:10" x14ac:dyDescent="0.2">
      <c r="A107" s="166">
        <f t="shared" si="8"/>
        <v>52</v>
      </c>
      <c r="C107" s="58" t="s">
        <v>325</v>
      </c>
      <c r="D107" s="54"/>
      <c r="E107" s="179">
        <f>SUM(E94:E106)</f>
        <v>1611138917.3710001</v>
      </c>
      <c r="F107" s="173">
        <f t="shared" ref="F107:G107" si="9">SUM(F94:F106)</f>
        <v>0</v>
      </c>
      <c r="G107" s="179">
        <f t="shared" si="9"/>
        <v>1611138917.3710001</v>
      </c>
      <c r="H107" s="599"/>
      <c r="I107" s="612"/>
      <c r="J107" s="162"/>
    </row>
    <row r="108" spans="1:10" x14ac:dyDescent="0.2">
      <c r="A108" s="166"/>
      <c r="C108" s="58"/>
      <c r="D108" s="54"/>
      <c r="E108" s="173"/>
      <c r="F108" s="599"/>
      <c r="G108" s="599"/>
      <c r="H108" s="599"/>
      <c r="I108" s="612"/>
      <c r="J108" s="162"/>
    </row>
    <row r="109" spans="1:10" x14ac:dyDescent="0.2">
      <c r="E109" s="163"/>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2012</v>
      </c>
      <c r="E117" s="244">
        <v>1067168105.0662147</v>
      </c>
      <c r="F117" s="244">
        <v>37883505.093932204</v>
      </c>
      <c r="G117" s="221">
        <f t="shared" ref="G117:G129" si="10">E117-F117</f>
        <v>1029284599.9722825</v>
      </c>
      <c r="H117" s="221">
        <f>E117-E117</f>
        <v>0</v>
      </c>
      <c r="I117" s="648"/>
    </row>
    <row r="118" spans="1:9" x14ac:dyDescent="0.2">
      <c r="A118" s="166">
        <f>A117+1</f>
        <v>54</v>
      </c>
      <c r="C118" s="58" t="s">
        <v>7</v>
      </c>
      <c r="D118" s="371">
        <v>2013</v>
      </c>
      <c r="E118" s="244">
        <v>1195743179.9562147</v>
      </c>
      <c r="F118" s="244">
        <v>40121235.179184943</v>
      </c>
      <c r="G118" s="221">
        <f t="shared" si="10"/>
        <v>1155621944.7770298</v>
      </c>
      <c r="H118" s="221">
        <f>E118-E117</f>
        <v>128575074.88999999</v>
      </c>
    </row>
    <row r="119" spans="1:9" x14ac:dyDescent="0.2">
      <c r="A119" s="166">
        <f t="shared" ref="A119:A129" si="11">A118+1</f>
        <v>55</v>
      </c>
      <c r="C119" s="53" t="s">
        <v>8</v>
      </c>
      <c r="D119" s="371">
        <v>2013</v>
      </c>
      <c r="E119" s="244">
        <v>1216797633.6662147</v>
      </c>
      <c r="F119" s="244">
        <v>42622697.194155119</v>
      </c>
      <c r="G119" s="173">
        <f t="shared" si="10"/>
        <v>1174174936.4720595</v>
      </c>
      <c r="H119" s="221">
        <f t="shared" ref="H119:H129" si="12">E119-E118</f>
        <v>21054453.710000038</v>
      </c>
    </row>
    <row r="120" spans="1:9" x14ac:dyDescent="0.2">
      <c r="A120" s="166">
        <f t="shared" si="11"/>
        <v>56</v>
      </c>
      <c r="C120" s="53" t="s">
        <v>18</v>
      </c>
      <c r="D120" s="371">
        <v>2013</v>
      </c>
      <c r="E120" s="460">
        <v>1224960543.6962149</v>
      </c>
      <c r="F120" s="460">
        <v>45168808.011990443</v>
      </c>
      <c r="G120" s="173">
        <f t="shared" si="10"/>
        <v>1179791735.6842244</v>
      </c>
      <c r="H120" s="221">
        <f t="shared" si="12"/>
        <v>8162910.0300002098</v>
      </c>
    </row>
    <row r="121" spans="1:9" x14ac:dyDescent="0.2">
      <c r="A121" s="166">
        <f t="shared" si="11"/>
        <v>57</v>
      </c>
      <c r="C121" s="58" t="s">
        <v>9</v>
      </c>
      <c r="D121" s="371">
        <v>2013</v>
      </c>
      <c r="E121" s="460">
        <v>1233239101.4962146</v>
      </c>
      <c r="F121" s="460">
        <v>47731729.826879114</v>
      </c>
      <c r="G121" s="173">
        <f t="shared" si="10"/>
        <v>1185507371.6693356</v>
      </c>
      <c r="H121" s="221">
        <f t="shared" si="12"/>
        <v>8278557.7999997139</v>
      </c>
    </row>
    <row r="122" spans="1:9" x14ac:dyDescent="0.2">
      <c r="A122" s="166">
        <f t="shared" si="11"/>
        <v>58</v>
      </c>
      <c r="C122" s="53" t="s">
        <v>10</v>
      </c>
      <c r="D122" s="371">
        <v>2013</v>
      </c>
      <c r="E122" s="460">
        <v>1233533795.0762146</v>
      </c>
      <c r="F122" s="460">
        <v>50312209.439993858</v>
      </c>
      <c r="G122" s="173">
        <f t="shared" si="10"/>
        <v>1183221585.6362207</v>
      </c>
      <c r="H122" s="221">
        <f t="shared" si="12"/>
        <v>294693.57999992371</v>
      </c>
    </row>
    <row r="123" spans="1:9" x14ac:dyDescent="0.2">
      <c r="A123" s="166">
        <f t="shared" si="11"/>
        <v>59</v>
      </c>
      <c r="C123" s="53" t="s">
        <v>383</v>
      </c>
      <c r="D123" s="371">
        <v>2013</v>
      </c>
      <c r="E123" s="460">
        <v>1255306503.7062147</v>
      </c>
      <c r="F123" s="460">
        <v>52893291.303793781</v>
      </c>
      <c r="G123" s="173">
        <f t="shared" si="10"/>
        <v>1202413212.402421</v>
      </c>
      <c r="H123" s="221">
        <f t="shared" si="12"/>
        <v>21772708.630000114</v>
      </c>
    </row>
    <row r="124" spans="1:9" x14ac:dyDescent="0.2">
      <c r="A124" s="166">
        <f t="shared" si="11"/>
        <v>60</v>
      </c>
      <c r="C124" s="58" t="s">
        <v>11</v>
      </c>
      <c r="D124" s="371">
        <v>2013</v>
      </c>
      <c r="E124" s="460">
        <v>1258567617.9662147</v>
      </c>
      <c r="F124" s="460">
        <v>55520963.140010186</v>
      </c>
      <c r="G124" s="173">
        <f t="shared" si="10"/>
        <v>1203046654.8262045</v>
      </c>
      <c r="H124" s="221">
        <f t="shared" si="12"/>
        <v>3261114.2599999905</v>
      </c>
    </row>
    <row r="125" spans="1:9" x14ac:dyDescent="0.2">
      <c r="A125" s="166">
        <f t="shared" si="11"/>
        <v>61</v>
      </c>
      <c r="C125" s="53" t="s">
        <v>12</v>
      </c>
      <c r="D125" s="371">
        <v>2013</v>
      </c>
      <c r="E125" s="460">
        <v>1337629787.5672147</v>
      </c>
      <c r="F125" s="460">
        <v>58155648.040878177</v>
      </c>
      <c r="G125" s="173">
        <f t="shared" si="10"/>
        <v>1279474139.5263367</v>
      </c>
      <c r="H125" s="221">
        <f t="shared" si="12"/>
        <v>79062169.601000071</v>
      </c>
    </row>
    <row r="126" spans="1:9" x14ac:dyDescent="0.2">
      <c r="A126" s="166">
        <f t="shared" si="11"/>
        <v>62</v>
      </c>
      <c r="C126" s="53" t="s">
        <v>13</v>
      </c>
      <c r="D126" s="371">
        <v>2013</v>
      </c>
      <c r="E126" s="460">
        <v>1338327285.9072149</v>
      </c>
      <c r="F126" s="460">
        <v>60951627.663559675</v>
      </c>
      <c r="G126" s="173">
        <f t="shared" si="10"/>
        <v>1277375658.2436552</v>
      </c>
      <c r="H126" s="221">
        <f t="shared" si="12"/>
        <v>697498.34000015259</v>
      </c>
    </row>
    <row r="127" spans="1:9" x14ac:dyDescent="0.2">
      <c r="A127" s="166">
        <f t="shared" si="11"/>
        <v>63</v>
      </c>
      <c r="C127" s="58" t="s">
        <v>384</v>
      </c>
      <c r="D127" s="371">
        <v>2013</v>
      </c>
      <c r="E127" s="460">
        <v>1340350983.7172151</v>
      </c>
      <c r="F127" s="460">
        <v>63750998.441512153</v>
      </c>
      <c r="G127" s="173">
        <f t="shared" si="10"/>
        <v>1276599985.275703</v>
      </c>
      <c r="H127" s="221">
        <f t="shared" si="12"/>
        <v>2023697.8100001812</v>
      </c>
    </row>
    <row r="128" spans="1:9" x14ac:dyDescent="0.2">
      <c r="A128" s="166">
        <f t="shared" si="11"/>
        <v>64</v>
      </c>
      <c r="C128" s="58" t="s">
        <v>14</v>
      </c>
      <c r="D128" s="371">
        <v>2013</v>
      </c>
      <c r="E128" s="460">
        <v>1345194824.1972148</v>
      </c>
      <c r="F128" s="460">
        <v>66554933.340121143</v>
      </c>
      <c r="G128" s="173">
        <f t="shared" si="10"/>
        <v>1278639890.8570938</v>
      </c>
      <c r="H128" s="221">
        <f t="shared" si="12"/>
        <v>4843840.4799997807</v>
      </c>
    </row>
    <row r="129" spans="1:8" x14ac:dyDescent="0.2">
      <c r="A129" s="166">
        <f t="shared" si="11"/>
        <v>65</v>
      </c>
      <c r="C129" s="58" t="s">
        <v>6</v>
      </c>
      <c r="D129" s="371">
        <v>2013</v>
      </c>
      <c r="E129" s="460">
        <v>1342796296.6172144</v>
      </c>
      <c r="F129" s="460">
        <v>69366102.185369894</v>
      </c>
      <c r="G129" s="173">
        <f t="shared" si="10"/>
        <v>1273430194.4318445</v>
      </c>
      <c r="H129" s="221">
        <f t="shared" si="12"/>
        <v>-2398527.5800004005</v>
      </c>
    </row>
    <row r="130" spans="1:8" x14ac:dyDescent="0.2">
      <c r="A130" s="166"/>
      <c r="C130" s="58"/>
      <c r="D130" s="54"/>
      <c r="E130" s="253"/>
      <c r="F130" s="253"/>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2012</v>
      </c>
      <c r="E137" s="244">
        <v>191523855.31999996</v>
      </c>
      <c r="F137" s="244">
        <v>17571957.593346741</v>
      </c>
      <c r="G137" s="221">
        <f>E137-F137</f>
        <v>173951897.72665322</v>
      </c>
      <c r="H137" s="221">
        <f>E137-E137</f>
        <v>0</v>
      </c>
    </row>
    <row r="138" spans="1:8" x14ac:dyDescent="0.2">
      <c r="A138" s="166">
        <f>A137+1</f>
        <v>67</v>
      </c>
      <c r="C138" s="58" t="s">
        <v>7</v>
      </c>
      <c r="D138" s="371">
        <v>2013</v>
      </c>
      <c r="E138" s="244">
        <v>191523855.31999996</v>
      </c>
      <c r="F138" s="244">
        <v>17966927.31546149</v>
      </c>
      <c r="G138" s="221">
        <f t="shared" ref="G138:G149" si="13">E138-F138</f>
        <v>173556928.00453848</v>
      </c>
      <c r="H138" s="221">
        <f>E138-E137</f>
        <v>0</v>
      </c>
    </row>
    <row r="139" spans="1:8" x14ac:dyDescent="0.2">
      <c r="A139" s="166">
        <f t="shared" ref="A139:A149" si="14">A138+1</f>
        <v>68</v>
      </c>
      <c r="C139" s="53" t="s">
        <v>8</v>
      </c>
      <c r="D139" s="371">
        <v>2013</v>
      </c>
      <c r="E139" s="244">
        <v>191523855.31999996</v>
      </c>
      <c r="F139" s="244">
        <v>18361897.037576243</v>
      </c>
      <c r="G139" s="221">
        <f t="shared" si="13"/>
        <v>173161958.28242373</v>
      </c>
      <c r="H139" s="221">
        <f t="shared" ref="H139:H149" si="15">E139-E138</f>
        <v>0</v>
      </c>
    </row>
    <row r="140" spans="1:8" x14ac:dyDescent="0.2">
      <c r="A140" s="166">
        <f t="shared" si="14"/>
        <v>69</v>
      </c>
      <c r="C140" s="53" t="s">
        <v>18</v>
      </c>
      <c r="D140" s="371">
        <v>2013</v>
      </c>
      <c r="E140" s="244">
        <v>191523855.31999996</v>
      </c>
      <c r="F140" s="244">
        <v>18756866.759690996</v>
      </c>
      <c r="G140" s="221">
        <f t="shared" si="13"/>
        <v>172766988.56030896</v>
      </c>
      <c r="H140" s="221">
        <f t="shared" si="15"/>
        <v>0</v>
      </c>
    </row>
    <row r="141" spans="1:8" x14ac:dyDescent="0.2">
      <c r="A141" s="166">
        <f t="shared" si="14"/>
        <v>70</v>
      </c>
      <c r="C141" s="58" t="s">
        <v>9</v>
      </c>
      <c r="D141" s="371">
        <v>2013</v>
      </c>
      <c r="E141" s="244">
        <v>191523855.31999996</v>
      </c>
      <c r="F141" s="244">
        <v>19151836.481805742</v>
      </c>
      <c r="G141" s="221">
        <f t="shared" si="13"/>
        <v>172372018.83819422</v>
      </c>
      <c r="H141" s="221">
        <f t="shared" si="15"/>
        <v>0</v>
      </c>
    </row>
    <row r="142" spans="1:8" x14ac:dyDescent="0.2">
      <c r="A142" s="166">
        <f t="shared" si="14"/>
        <v>71</v>
      </c>
      <c r="C142" s="53" t="s">
        <v>10</v>
      </c>
      <c r="D142" s="371">
        <v>2013</v>
      </c>
      <c r="E142" s="244">
        <v>191523855.31999996</v>
      </c>
      <c r="F142" s="244">
        <v>19546806.203920495</v>
      </c>
      <c r="G142" s="221">
        <f t="shared" si="13"/>
        <v>171977049.11607948</v>
      </c>
      <c r="H142" s="221">
        <f t="shared" si="15"/>
        <v>0</v>
      </c>
    </row>
    <row r="143" spans="1:8" x14ac:dyDescent="0.2">
      <c r="A143" s="166">
        <f t="shared" si="14"/>
        <v>72</v>
      </c>
      <c r="C143" s="53" t="s">
        <v>383</v>
      </c>
      <c r="D143" s="371">
        <v>2013</v>
      </c>
      <c r="E143" s="244">
        <v>191523855.31999996</v>
      </c>
      <c r="F143" s="244">
        <v>19941775.926035244</v>
      </c>
      <c r="G143" s="221">
        <f t="shared" si="13"/>
        <v>171582079.39396471</v>
      </c>
      <c r="H143" s="221">
        <f t="shared" si="15"/>
        <v>0</v>
      </c>
    </row>
    <row r="144" spans="1:8" x14ac:dyDescent="0.2">
      <c r="A144" s="166">
        <f t="shared" si="14"/>
        <v>73</v>
      </c>
      <c r="C144" s="58" t="s">
        <v>11</v>
      </c>
      <c r="D144" s="371">
        <v>2013</v>
      </c>
      <c r="E144" s="244">
        <v>191523855.31999996</v>
      </c>
      <c r="F144" s="244">
        <v>20336745.648149993</v>
      </c>
      <c r="G144" s="221">
        <f t="shared" si="13"/>
        <v>171187109.67184997</v>
      </c>
      <c r="H144" s="221">
        <f t="shared" si="15"/>
        <v>0</v>
      </c>
    </row>
    <row r="145" spans="1:8" x14ac:dyDescent="0.2">
      <c r="A145" s="166">
        <f t="shared" si="14"/>
        <v>74</v>
      </c>
      <c r="C145" s="53" t="s">
        <v>12</v>
      </c>
      <c r="D145" s="371">
        <v>2013</v>
      </c>
      <c r="E145" s="244">
        <v>191523855.31999996</v>
      </c>
      <c r="F145" s="244">
        <v>20731715.370264743</v>
      </c>
      <c r="G145" s="221">
        <f t="shared" si="13"/>
        <v>170792139.94973522</v>
      </c>
      <c r="H145" s="221">
        <f t="shared" si="15"/>
        <v>0</v>
      </c>
    </row>
    <row r="146" spans="1:8" x14ac:dyDescent="0.2">
      <c r="A146" s="166">
        <f t="shared" si="14"/>
        <v>75</v>
      </c>
      <c r="C146" s="53" t="s">
        <v>13</v>
      </c>
      <c r="D146" s="371">
        <v>2013</v>
      </c>
      <c r="E146" s="244">
        <v>191523855.31999996</v>
      </c>
      <c r="F146" s="244">
        <v>21126685.092379492</v>
      </c>
      <c r="G146" s="221">
        <f t="shared" si="13"/>
        <v>170397170.22762048</v>
      </c>
      <c r="H146" s="221">
        <f t="shared" si="15"/>
        <v>0</v>
      </c>
    </row>
    <row r="147" spans="1:8" x14ac:dyDescent="0.2">
      <c r="A147" s="166">
        <f t="shared" si="14"/>
        <v>76</v>
      </c>
      <c r="C147" s="58" t="s">
        <v>384</v>
      </c>
      <c r="D147" s="371">
        <v>2013</v>
      </c>
      <c r="E147" s="244">
        <v>191523855.31999996</v>
      </c>
      <c r="F147" s="244">
        <v>21521654.814494241</v>
      </c>
      <c r="G147" s="221">
        <f t="shared" si="13"/>
        <v>170002200.50550571</v>
      </c>
      <c r="H147" s="221">
        <f t="shared" si="15"/>
        <v>0</v>
      </c>
    </row>
    <row r="148" spans="1:8" x14ac:dyDescent="0.2">
      <c r="A148" s="166">
        <f t="shared" si="14"/>
        <v>77</v>
      </c>
      <c r="C148" s="58" t="s">
        <v>14</v>
      </c>
      <c r="D148" s="371">
        <v>2013</v>
      </c>
      <c r="E148" s="244">
        <v>191523855.31999996</v>
      </c>
      <c r="F148" s="244">
        <v>21916624.53660899</v>
      </c>
      <c r="G148" s="221">
        <f t="shared" si="13"/>
        <v>169607230.78339097</v>
      </c>
      <c r="H148" s="221">
        <f t="shared" si="15"/>
        <v>0</v>
      </c>
    </row>
    <row r="149" spans="1:8" x14ac:dyDescent="0.2">
      <c r="A149" s="166">
        <f t="shared" si="14"/>
        <v>78</v>
      </c>
      <c r="C149" s="58" t="s">
        <v>6</v>
      </c>
      <c r="D149" s="371">
        <v>2013</v>
      </c>
      <c r="E149" s="244">
        <v>191523855.31999996</v>
      </c>
      <c r="F149" s="244">
        <v>22311594.25872374</v>
      </c>
      <c r="G149" s="221">
        <f t="shared" si="13"/>
        <v>169212261.06127623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x14ac:dyDescent="0.2">
      <c r="C156" s="57" t="s">
        <v>16</v>
      </c>
      <c r="D156" s="57" t="s">
        <v>17</v>
      </c>
      <c r="E156" s="170" t="s">
        <v>892</v>
      </c>
      <c r="F156" s="170" t="s">
        <v>893</v>
      </c>
      <c r="G156" s="170" t="s">
        <v>858</v>
      </c>
      <c r="H156" s="170" t="s">
        <v>882</v>
      </c>
    </row>
    <row r="157" spans="1:8" x14ac:dyDescent="0.2">
      <c r="A157" s="166">
        <f>A149+1</f>
        <v>79</v>
      </c>
      <c r="C157" s="58" t="s">
        <v>6</v>
      </c>
      <c r="D157" s="639">
        <v>2012</v>
      </c>
      <c r="E157" s="244">
        <v>0</v>
      </c>
      <c r="F157" s="244">
        <v>0</v>
      </c>
      <c r="G157" s="221">
        <f t="shared" ref="G157:G169" si="16">E157-F157</f>
        <v>0</v>
      </c>
      <c r="H157" s="221">
        <f>E157-E157</f>
        <v>0</v>
      </c>
    </row>
    <row r="158" spans="1:8" x14ac:dyDescent="0.2">
      <c r="A158" s="166">
        <f>A157+1</f>
        <v>80</v>
      </c>
      <c r="C158" s="58" t="s">
        <v>7</v>
      </c>
      <c r="D158" s="371">
        <v>2013</v>
      </c>
      <c r="E158" s="460">
        <v>0</v>
      </c>
      <c r="F158" s="460">
        <v>0</v>
      </c>
      <c r="G158" s="173">
        <f t="shared" si="16"/>
        <v>0</v>
      </c>
      <c r="H158" s="173">
        <f>E158-E157</f>
        <v>0</v>
      </c>
    </row>
    <row r="159" spans="1:8" ht="13.5" thickBot="1" x14ac:dyDescent="0.25">
      <c r="A159" s="166">
        <f t="shared" ref="A159:A169" si="17">A158+1</f>
        <v>81</v>
      </c>
      <c r="C159" s="53" t="s">
        <v>8</v>
      </c>
      <c r="D159" s="371">
        <v>2013</v>
      </c>
      <c r="E159" s="460">
        <v>0</v>
      </c>
      <c r="F159" s="460">
        <v>0</v>
      </c>
      <c r="G159" s="173">
        <f t="shared" si="16"/>
        <v>0</v>
      </c>
      <c r="H159" s="173">
        <f t="shared" ref="H159:H169" si="18">E159-E158</f>
        <v>0</v>
      </c>
    </row>
    <row r="160" spans="1:8" ht="13.5" thickBot="1" x14ac:dyDescent="0.25">
      <c r="A160" s="166">
        <f t="shared" si="17"/>
        <v>82</v>
      </c>
      <c r="C160" s="53" t="s">
        <v>18</v>
      </c>
      <c r="D160" s="371">
        <v>2013</v>
      </c>
      <c r="E160" s="593">
        <v>2929373.15</v>
      </c>
      <c r="F160" s="460">
        <v>0</v>
      </c>
      <c r="G160" s="179">
        <f t="shared" si="16"/>
        <v>2929373.15</v>
      </c>
      <c r="H160" s="179">
        <f>E160-E159</f>
        <v>2929373.15</v>
      </c>
    </row>
    <row r="161" spans="1:8" x14ac:dyDescent="0.2">
      <c r="A161" s="166">
        <f t="shared" si="17"/>
        <v>83</v>
      </c>
      <c r="C161" s="58" t="s">
        <v>9</v>
      </c>
      <c r="D161" s="371">
        <v>2013</v>
      </c>
      <c r="E161" s="595">
        <v>3081596.61</v>
      </c>
      <c r="F161" s="593">
        <v>6029.626400416666</v>
      </c>
      <c r="G161" s="179">
        <f t="shared" si="16"/>
        <v>3075566.9835995832</v>
      </c>
      <c r="H161" s="173">
        <f t="shared" si="18"/>
        <v>152223.45999999996</v>
      </c>
    </row>
    <row r="162" spans="1:8" x14ac:dyDescent="0.2">
      <c r="A162" s="166">
        <f t="shared" si="17"/>
        <v>84</v>
      </c>
      <c r="C162" s="53" t="s">
        <v>10</v>
      </c>
      <c r="D162" s="371">
        <v>2013</v>
      </c>
      <c r="E162" s="595">
        <v>3085573.53</v>
      </c>
      <c r="F162" s="595">
        <v>12372.579422666666</v>
      </c>
      <c r="G162" s="179">
        <f t="shared" si="16"/>
        <v>3073200.9505773331</v>
      </c>
      <c r="H162" s="173">
        <f t="shared" si="18"/>
        <v>3976.9199999999255</v>
      </c>
    </row>
    <row r="163" spans="1:8" x14ac:dyDescent="0.2">
      <c r="A163" s="166">
        <f t="shared" si="17"/>
        <v>85</v>
      </c>
      <c r="C163" s="53" t="s">
        <v>383</v>
      </c>
      <c r="D163" s="371">
        <v>2013</v>
      </c>
      <c r="E163" s="595">
        <v>419140897.9199999</v>
      </c>
      <c r="F163" s="595">
        <v>18723.718271916667</v>
      </c>
      <c r="G163" s="179">
        <f t="shared" si="16"/>
        <v>419122174.20172799</v>
      </c>
      <c r="H163" s="173">
        <f t="shared" si="18"/>
        <v>416055324.38999993</v>
      </c>
    </row>
    <row r="164" spans="1:8" x14ac:dyDescent="0.2">
      <c r="A164" s="166">
        <f t="shared" si="17"/>
        <v>86</v>
      </c>
      <c r="C164" s="58" t="s">
        <v>11</v>
      </c>
      <c r="D164" s="371">
        <v>2013</v>
      </c>
      <c r="E164" s="595">
        <v>423000788.75</v>
      </c>
      <c r="F164" s="595">
        <v>907174.01235558325</v>
      </c>
      <c r="G164" s="179">
        <f t="shared" si="16"/>
        <v>422093614.73764443</v>
      </c>
      <c r="H164" s="173">
        <f t="shared" si="18"/>
        <v>3859890.8300001025</v>
      </c>
    </row>
    <row r="165" spans="1:8" x14ac:dyDescent="0.2">
      <c r="A165" s="166">
        <f t="shared" si="17"/>
        <v>87</v>
      </c>
      <c r="C165" s="53" t="s">
        <v>12</v>
      </c>
      <c r="D165" s="371">
        <v>2013</v>
      </c>
      <c r="E165" s="595">
        <v>424755950.46000004</v>
      </c>
      <c r="F165" s="595">
        <v>1803785.6500439167</v>
      </c>
      <c r="G165" s="179">
        <f t="shared" si="16"/>
        <v>422952164.80995613</v>
      </c>
      <c r="H165" s="173">
        <f t="shared" si="18"/>
        <v>1755161.7100000381</v>
      </c>
    </row>
    <row r="166" spans="1:8" x14ac:dyDescent="0.2">
      <c r="A166" s="166">
        <f t="shared" si="17"/>
        <v>88</v>
      </c>
      <c r="C166" s="53" t="s">
        <v>13</v>
      </c>
      <c r="D166" s="371">
        <v>2013</v>
      </c>
      <c r="E166" s="595">
        <v>668491084.59000003</v>
      </c>
      <c r="F166" s="595">
        <v>2704071.8236746672</v>
      </c>
      <c r="G166" s="179">
        <f t="shared" si="16"/>
        <v>665787012.76632535</v>
      </c>
      <c r="H166" s="173">
        <f t="shared" si="18"/>
        <v>243735134.13</v>
      </c>
    </row>
    <row r="167" spans="1:8" x14ac:dyDescent="0.2">
      <c r="A167" s="166">
        <f t="shared" si="17"/>
        <v>89</v>
      </c>
      <c r="C167" s="58" t="s">
        <v>384</v>
      </c>
      <c r="D167" s="371">
        <v>2013</v>
      </c>
      <c r="E167" s="595">
        <v>674178846.41999996</v>
      </c>
      <c r="F167" s="595">
        <v>4116219.0663071666</v>
      </c>
      <c r="G167" s="179">
        <f t="shared" si="16"/>
        <v>670062627.35369277</v>
      </c>
      <c r="H167" s="173">
        <f t="shared" si="18"/>
        <v>5687761.8299999237</v>
      </c>
    </row>
    <row r="168" spans="1:8" x14ac:dyDescent="0.2">
      <c r="A168" s="166">
        <f t="shared" si="17"/>
        <v>90</v>
      </c>
      <c r="C168" s="58" t="s">
        <v>14</v>
      </c>
      <c r="D168" s="371">
        <v>2013</v>
      </c>
      <c r="E168" s="595">
        <v>686322637.14999998</v>
      </c>
      <c r="F168" s="595">
        <v>5540364.158343167</v>
      </c>
      <c r="G168" s="179">
        <f t="shared" si="16"/>
        <v>680782272.99165678</v>
      </c>
      <c r="H168" s="173">
        <f t="shared" si="18"/>
        <v>12143790.730000019</v>
      </c>
    </row>
    <row r="169" spans="1:8" ht="13.5" thickBot="1" x14ac:dyDescent="0.25">
      <c r="A169" s="166">
        <f t="shared" si="17"/>
        <v>91</v>
      </c>
      <c r="C169" s="58" t="s">
        <v>6</v>
      </c>
      <c r="D169" s="371">
        <v>2013</v>
      </c>
      <c r="E169" s="596">
        <v>743805721.21000016</v>
      </c>
      <c r="F169" s="596">
        <v>6990029.4885216663</v>
      </c>
      <c r="G169" s="179">
        <f t="shared" si="16"/>
        <v>736815691.72147846</v>
      </c>
      <c r="H169" s="173">
        <f t="shared" si="18"/>
        <v>57483084.060000181</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2012</v>
      </c>
      <c r="E176" s="244">
        <v>0</v>
      </c>
      <c r="F176" s="244">
        <v>0</v>
      </c>
      <c r="G176" s="221">
        <f t="shared" ref="G176:G188" si="19">E176-F176</f>
        <v>0</v>
      </c>
      <c r="H176" s="221">
        <f>E176-E176</f>
        <v>0</v>
      </c>
    </row>
    <row r="177" spans="1:8" x14ac:dyDescent="0.2">
      <c r="A177" s="166">
        <f>A176+1</f>
        <v>93</v>
      </c>
      <c r="C177" s="58" t="s">
        <v>7</v>
      </c>
      <c r="D177" s="371">
        <v>2013</v>
      </c>
      <c r="E177" s="244">
        <v>0</v>
      </c>
      <c r="F177" s="244">
        <v>0</v>
      </c>
      <c r="G177" s="221">
        <f t="shared" si="19"/>
        <v>0</v>
      </c>
      <c r="H177" s="221">
        <f>E177-E176</f>
        <v>0</v>
      </c>
    </row>
    <row r="178" spans="1:8" x14ac:dyDescent="0.2">
      <c r="A178" s="166">
        <f t="shared" ref="A178:A188" si="20">A177+1</f>
        <v>94</v>
      </c>
      <c r="C178" s="53" t="s">
        <v>8</v>
      </c>
      <c r="D178" s="371">
        <v>2013</v>
      </c>
      <c r="E178" s="244">
        <v>0</v>
      </c>
      <c r="F178" s="244">
        <v>0</v>
      </c>
      <c r="G178" s="221">
        <f t="shared" si="19"/>
        <v>0</v>
      </c>
      <c r="H178" s="221">
        <f t="shared" ref="H178:H188" si="21">E178-E177</f>
        <v>0</v>
      </c>
    </row>
    <row r="179" spans="1:8" x14ac:dyDescent="0.2">
      <c r="A179" s="166">
        <f t="shared" si="20"/>
        <v>95</v>
      </c>
      <c r="C179" s="53" t="s">
        <v>18</v>
      </c>
      <c r="D179" s="371">
        <v>2013</v>
      </c>
      <c r="E179" s="244">
        <v>0</v>
      </c>
      <c r="F179" s="244">
        <v>0</v>
      </c>
      <c r="G179" s="221">
        <f t="shared" si="19"/>
        <v>0</v>
      </c>
      <c r="H179" s="221">
        <f t="shared" si="21"/>
        <v>0</v>
      </c>
    </row>
    <row r="180" spans="1:8" x14ac:dyDescent="0.2">
      <c r="A180" s="166">
        <f t="shared" si="20"/>
        <v>96</v>
      </c>
      <c r="C180" s="58" t="s">
        <v>9</v>
      </c>
      <c r="D180" s="371">
        <v>2013</v>
      </c>
      <c r="E180" s="244">
        <v>0</v>
      </c>
      <c r="F180" s="244">
        <v>0</v>
      </c>
      <c r="G180" s="221">
        <f t="shared" si="19"/>
        <v>0</v>
      </c>
      <c r="H180" s="221">
        <f t="shared" si="21"/>
        <v>0</v>
      </c>
    </row>
    <row r="181" spans="1:8" x14ac:dyDescent="0.2">
      <c r="A181" s="166">
        <f t="shared" si="20"/>
        <v>97</v>
      </c>
      <c r="C181" s="53" t="s">
        <v>10</v>
      </c>
      <c r="D181" s="371">
        <v>2013</v>
      </c>
      <c r="E181" s="244">
        <v>218400008.78999999</v>
      </c>
      <c r="F181" s="244">
        <v>0</v>
      </c>
      <c r="G181" s="221">
        <f t="shared" si="19"/>
        <v>218400008.78999999</v>
      </c>
      <c r="H181" s="221">
        <f t="shared" si="21"/>
        <v>218400008.78999999</v>
      </c>
    </row>
    <row r="182" spans="1:8" x14ac:dyDescent="0.2">
      <c r="A182" s="166">
        <f t="shared" si="20"/>
        <v>98</v>
      </c>
      <c r="C182" s="53" t="s">
        <v>383</v>
      </c>
      <c r="D182" s="371">
        <v>2013</v>
      </c>
      <c r="E182" s="244">
        <v>232542211.06999999</v>
      </c>
      <c r="F182" s="244">
        <v>476032.6607161666</v>
      </c>
      <c r="G182" s="221">
        <f t="shared" si="19"/>
        <v>232066178.40928382</v>
      </c>
      <c r="H182" s="221">
        <f t="shared" si="21"/>
        <v>14142202.280000001</v>
      </c>
    </row>
    <row r="183" spans="1:8" x14ac:dyDescent="0.2">
      <c r="A183" s="166">
        <f t="shared" si="20"/>
        <v>99</v>
      </c>
      <c r="C183" s="58" t="s">
        <v>11</v>
      </c>
      <c r="D183" s="371">
        <v>2013</v>
      </c>
      <c r="E183" s="244">
        <v>288338114.13</v>
      </c>
      <c r="F183" s="244">
        <v>982932.52781016659</v>
      </c>
      <c r="G183" s="221">
        <f t="shared" si="19"/>
        <v>287355181.60218984</v>
      </c>
      <c r="H183" s="221">
        <f t="shared" si="21"/>
        <v>55795903.060000002</v>
      </c>
    </row>
    <row r="184" spans="1:8" x14ac:dyDescent="0.2">
      <c r="A184" s="166">
        <f t="shared" si="20"/>
        <v>100</v>
      </c>
      <c r="C184" s="53" t="s">
        <v>12</v>
      </c>
      <c r="D184" s="371">
        <v>2013</v>
      </c>
      <c r="E184" s="244">
        <v>290371353.26000005</v>
      </c>
      <c r="F184" s="244">
        <v>1605695.9441551666</v>
      </c>
      <c r="G184" s="221">
        <f t="shared" si="19"/>
        <v>288765657.31584489</v>
      </c>
      <c r="H184" s="221">
        <f t="shared" si="21"/>
        <v>2033239.1300000548</v>
      </c>
    </row>
    <row r="185" spans="1:8" x14ac:dyDescent="0.2">
      <c r="A185" s="166">
        <f t="shared" si="20"/>
        <v>101</v>
      </c>
      <c r="C185" s="53" t="s">
        <v>13</v>
      </c>
      <c r="D185" s="371">
        <v>2013</v>
      </c>
      <c r="E185" s="244">
        <v>290854957.01999998</v>
      </c>
      <c r="F185" s="244">
        <v>2232707.3935793336</v>
      </c>
      <c r="G185" s="221">
        <f t="shared" si="19"/>
        <v>288622249.62642068</v>
      </c>
      <c r="H185" s="221">
        <f t="shared" si="21"/>
        <v>483603.75999993086</v>
      </c>
    </row>
    <row r="186" spans="1:8" x14ac:dyDescent="0.2">
      <c r="A186" s="166">
        <f t="shared" si="20"/>
        <v>102</v>
      </c>
      <c r="C186" s="58" t="s">
        <v>384</v>
      </c>
      <c r="D186" s="371">
        <v>2013</v>
      </c>
      <c r="E186" s="244">
        <v>307610247.13999999</v>
      </c>
      <c r="F186" s="244">
        <v>2860740.5775740831</v>
      </c>
      <c r="G186" s="221">
        <f t="shared" si="19"/>
        <v>304749506.56242591</v>
      </c>
      <c r="H186" s="221">
        <f t="shared" si="21"/>
        <v>16755290.120000005</v>
      </c>
    </row>
    <row r="187" spans="1:8" x14ac:dyDescent="0.2">
      <c r="A187" s="166">
        <f t="shared" si="20"/>
        <v>103</v>
      </c>
      <c r="C187" s="58" t="s">
        <v>14</v>
      </c>
      <c r="D187" s="371">
        <v>2013</v>
      </c>
      <c r="E187" s="244">
        <v>312381315.10999995</v>
      </c>
      <c r="F187" s="244">
        <v>3525299.6742082499</v>
      </c>
      <c r="G187" s="221">
        <f t="shared" si="19"/>
        <v>308856015.43579173</v>
      </c>
      <c r="H187" s="221">
        <f t="shared" si="21"/>
        <v>4771067.969999969</v>
      </c>
    </row>
    <row r="188" spans="1:8" x14ac:dyDescent="0.2">
      <c r="A188" s="166">
        <f t="shared" si="20"/>
        <v>104</v>
      </c>
      <c r="C188" s="58" t="s">
        <v>6</v>
      </c>
      <c r="D188" s="371">
        <v>2013</v>
      </c>
      <c r="E188" s="244">
        <v>312958380.23000002</v>
      </c>
      <c r="F188" s="244">
        <v>4200209.2091801669</v>
      </c>
      <c r="G188" s="221">
        <f t="shared" si="19"/>
        <v>308758171.02081984</v>
      </c>
      <c r="H188" s="221">
        <f t="shared" si="21"/>
        <v>577065.12000006437</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2012</v>
      </c>
      <c r="E195" s="244">
        <v>0</v>
      </c>
      <c r="F195" s="244">
        <v>0</v>
      </c>
      <c r="G195" s="221">
        <f t="shared" ref="G195:G207" si="22">E195-F195</f>
        <v>0</v>
      </c>
      <c r="H195" s="221">
        <f>E195-E195</f>
        <v>0</v>
      </c>
    </row>
    <row r="196" spans="1:8" x14ac:dyDescent="0.2">
      <c r="A196" s="166">
        <f>A195+1</f>
        <v>106</v>
      </c>
      <c r="C196" s="58" t="s">
        <v>7</v>
      </c>
      <c r="D196" s="371">
        <v>2013</v>
      </c>
      <c r="E196" s="244">
        <v>0</v>
      </c>
      <c r="F196" s="244">
        <v>0</v>
      </c>
      <c r="G196" s="221">
        <f t="shared" si="22"/>
        <v>0</v>
      </c>
      <c r="H196" s="221">
        <f>E196-E195</f>
        <v>0</v>
      </c>
    </row>
    <row r="197" spans="1:8" x14ac:dyDescent="0.2">
      <c r="A197" s="166">
        <f t="shared" ref="A197:A207" si="23">A196+1</f>
        <v>107</v>
      </c>
      <c r="C197" s="53" t="s">
        <v>8</v>
      </c>
      <c r="D197" s="371">
        <v>2013</v>
      </c>
      <c r="E197" s="244">
        <v>0</v>
      </c>
      <c r="F197" s="244">
        <v>0</v>
      </c>
      <c r="G197" s="221">
        <f t="shared" si="22"/>
        <v>0</v>
      </c>
      <c r="H197" s="221">
        <f t="shared" ref="H197:H207" si="24">E197-E196</f>
        <v>0</v>
      </c>
    </row>
    <row r="198" spans="1:8" x14ac:dyDescent="0.2">
      <c r="A198" s="166">
        <f t="shared" si="23"/>
        <v>108</v>
      </c>
      <c r="C198" s="53" t="s">
        <v>18</v>
      </c>
      <c r="D198" s="371">
        <v>2013</v>
      </c>
      <c r="E198" s="244">
        <v>0</v>
      </c>
      <c r="F198" s="244">
        <v>0</v>
      </c>
      <c r="G198" s="221">
        <f t="shared" si="22"/>
        <v>0</v>
      </c>
      <c r="H198" s="221">
        <f t="shared" si="24"/>
        <v>0</v>
      </c>
    </row>
    <row r="199" spans="1:8" x14ac:dyDescent="0.2">
      <c r="A199" s="166">
        <f t="shared" si="23"/>
        <v>109</v>
      </c>
      <c r="C199" s="58" t="s">
        <v>9</v>
      </c>
      <c r="D199" s="371">
        <v>2013</v>
      </c>
      <c r="E199" s="244">
        <v>0</v>
      </c>
      <c r="F199" s="244">
        <v>0</v>
      </c>
      <c r="G199" s="221">
        <f t="shared" si="22"/>
        <v>0</v>
      </c>
      <c r="H199" s="221">
        <f t="shared" si="24"/>
        <v>0</v>
      </c>
    </row>
    <row r="200" spans="1:8" x14ac:dyDescent="0.2">
      <c r="A200" s="166">
        <f t="shared" si="23"/>
        <v>110</v>
      </c>
      <c r="C200" s="53" t="s">
        <v>10</v>
      </c>
      <c r="D200" s="371">
        <v>2013</v>
      </c>
      <c r="E200" s="244">
        <v>0</v>
      </c>
      <c r="F200" s="244">
        <v>0</v>
      </c>
      <c r="G200" s="221">
        <f t="shared" si="22"/>
        <v>0</v>
      </c>
      <c r="H200" s="221">
        <f t="shared" si="24"/>
        <v>0</v>
      </c>
    </row>
    <row r="201" spans="1:8" x14ac:dyDescent="0.2">
      <c r="A201" s="166">
        <f t="shared" si="23"/>
        <v>111</v>
      </c>
      <c r="C201" s="53" t="s">
        <v>383</v>
      </c>
      <c r="D201" s="371">
        <v>2013</v>
      </c>
      <c r="E201" s="244">
        <v>0</v>
      </c>
      <c r="F201" s="244">
        <v>0</v>
      </c>
      <c r="G201" s="221">
        <f t="shared" si="22"/>
        <v>0</v>
      </c>
      <c r="H201" s="221">
        <f t="shared" si="24"/>
        <v>0</v>
      </c>
    </row>
    <row r="202" spans="1:8" x14ac:dyDescent="0.2">
      <c r="A202" s="166">
        <f t="shared" si="23"/>
        <v>112</v>
      </c>
      <c r="C202" s="58" t="s">
        <v>11</v>
      </c>
      <c r="D202" s="371">
        <v>2013</v>
      </c>
      <c r="E202" s="244">
        <v>0</v>
      </c>
      <c r="F202" s="244">
        <v>0</v>
      </c>
      <c r="G202" s="221">
        <f t="shared" si="22"/>
        <v>0</v>
      </c>
      <c r="H202" s="221">
        <f t="shared" si="24"/>
        <v>0</v>
      </c>
    </row>
    <row r="203" spans="1:8" x14ac:dyDescent="0.2">
      <c r="A203" s="166">
        <f t="shared" si="23"/>
        <v>113</v>
      </c>
      <c r="C203" s="53" t="s">
        <v>12</v>
      </c>
      <c r="D203" s="371">
        <v>2013</v>
      </c>
      <c r="E203" s="244">
        <v>0</v>
      </c>
      <c r="F203" s="244">
        <v>0</v>
      </c>
      <c r="G203" s="221">
        <f t="shared" si="22"/>
        <v>0</v>
      </c>
      <c r="H203" s="221">
        <f t="shared" si="24"/>
        <v>0</v>
      </c>
    </row>
    <row r="204" spans="1:8" x14ac:dyDescent="0.2">
      <c r="A204" s="166">
        <f t="shared" si="23"/>
        <v>114</v>
      </c>
      <c r="C204" s="53" t="s">
        <v>13</v>
      </c>
      <c r="D204" s="371">
        <v>2013</v>
      </c>
      <c r="E204" s="244">
        <v>0</v>
      </c>
      <c r="F204" s="244">
        <v>0</v>
      </c>
      <c r="G204" s="221">
        <f t="shared" si="22"/>
        <v>0</v>
      </c>
      <c r="H204" s="221">
        <f t="shared" si="24"/>
        <v>0</v>
      </c>
    </row>
    <row r="205" spans="1:8" x14ac:dyDescent="0.2">
      <c r="A205" s="166">
        <f t="shared" si="23"/>
        <v>115</v>
      </c>
      <c r="C205" s="58" t="s">
        <v>384</v>
      </c>
      <c r="D205" s="371">
        <v>2013</v>
      </c>
      <c r="E205" s="244">
        <v>0</v>
      </c>
      <c r="F205" s="244">
        <v>0</v>
      </c>
      <c r="G205" s="221">
        <f t="shared" si="22"/>
        <v>0</v>
      </c>
      <c r="H205" s="221">
        <f t="shared" si="24"/>
        <v>0</v>
      </c>
    </row>
    <row r="206" spans="1:8" x14ac:dyDescent="0.2">
      <c r="A206" s="166">
        <f t="shared" si="23"/>
        <v>116</v>
      </c>
      <c r="C206" s="58" t="s">
        <v>14</v>
      </c>
      <c r="D206" s="371">
        <v>2013</v>
      </c>
      <c r="E206" s="244">
        <v>0</v>
      </c>
      <c r="F206" s="244">
        <v>0</v>
      </c>
      <c r="G206" s="221">
        <f t="shared" si="22"/>
        <v>0</v>
      </c>
      <c r="H206" s="221">
        <f t="shared" si="24"/>
        <v>0</v>
      </c>
    </row>
    <row r="207" spans="1:8" x14ac:dyDescent="0.2">
      <c r="A207" s="166">
        <f t="shared" si="23"/>
        <v>117</v>
      </c>
      <c r="C207" s="58" t="s">
        <v>6</v>
      </c>
      <c r="D207" s="371">
        <v>2013</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2012</v>
      </c>
      <c r="E214" s="244">
        <v>0</v>
      </c>
      <c r="F214" s="244">
        <v>0</v>
      </c>
      <c r="G214" s="221">
        <f t="shared" ref="G214:G226" si="25">E214-F214</f>
        <v>0</v>
      </c>
      <c r="H214" s="221">
        <f>E214-E214</f>
        <v>0</v>
      </c>
    </row>
    <row r="215" spans="1:8" x14ac:dyDescent="0.2">
      <c r="A215" s="166">
        <f>A214+1</f>
        <v>119</v>
      </c>
      <c r="C215" s="58" t="s">
        <v>7</v>
      </c>
      <c r="D215" s="371">
        <v>2013</v>
      </c>
      <c r="E215" s="244">
        <v>0</v>
      </c>
      <c r="F215" s="244">
        <v>0</v>
      </c>
      <c r="G215" s="221">
        <f t="shared" si="25"/>
        <v>0</v>
      </c>
      <c r="H215" s="221">
        <f>E215-E214</f>
        <v>0</v>
      </c>
    </row>
    <row r="216" spans="1:8" x14ac:dyDescent="0.2">
      <c r="A216" s="166">
        <f t="shared" ref="A216:A226" si="26">A215+1</f>
        <v>120</v>
      </c>
      <c r="C216" s="53" t="s">
        <v>8</v>
      </c>
      <c r="D216" s="371">
        <v>2013</v>
      </c>
      <c r="E216" s="244">
        <v>0</v>
      </c>
      <c r="F216" s="244">
        <v>0</v>
      </c>
      <c r="G216" s="221">
        <f t="shared" si="25"/>
        <v>0</v>
      </c>
      <c r="H216" s="221">
        <f t="shared" ref="H216:H226" si="27">E216-E215</f>
        <v>0</v>
      </c>
    </row>
    <row r="217" spans="1:8" x14ac:dyDescent="0.2">
      <c r="A217" s="166">
        <f t="shared" si="26"/>
        <v>121</v>
      </c>
      <c r="C217" s="53" t="s">
        <v>18</v>
      </c>
      <c r="D217" s="371">
        <v>2013</v>
      </c>
      <c r="E217" s="244">
        <v>0</v>
      </c>
      <c r="F217" s="244">
        <v>0</v>
      </c>
      <c r="G217" s="221">
        <f t="shared" si="25"/>
        <v>0</v>
      </c>
      <c r="H217" s="221">
        <f t="shared" si="27"/>
        <v>0</v>
      </c>
    </row>
    <row r="218" spans="1:8" x14ac:dyDescent="0.2">
      <c r="A218" s="166">
        <f t="shared" si="26"/>
        <v>122</v>
      </c>
      <c r="C218" s="58" t="s">
        <v>9</v>
      </c>
      <c r="D218" s="371">
        <v>2013</v>
      </c>
      <c r="E218" s="244">
        <v>0</v>
      </c>
      <c r="F218" s="244">
        <v>0</v>
      </c>
      <c r="G218" s="221">
        <f t="shared" si="25"/>
        <v>0</v>
      </c>
      <c r="H218" s="221">
        <f t="shared" si="27"/>
        <v>0</v>
      </c>
    </row>
    <row r="219" spans="1:8" x14ac:dyDescent="0.2">
      <c r="A219" s="166">
        <f t="shared" si="26"/>
        <v>123</v>
      </c>
      <c r="C219" s="53" t="s">
        <v>10</v>
      </c>
      <c r="D219" s="371">
        <v>2013</v>
      </c>
      <c r="E219" s="244">
        <v>0</v>
      </c>
      <c r="F219" s="244">
        <v>0</v>
      </c>
      <c r="G219" s="221">
        <f t="shared" si="25"/>
        <v>0</v>
      </c>
      <c r="H219" s="221">
        <f t="shared" si="27"/>
        <v>0</v>
      </c>
    </row>
    <row r="220" spans="1:8" x14ac:dyDescent="0.2">
      <c r="A220" s="166">
        <f t="shared" si="26"/>
        <v>124</v>
      </c>
      <c r="C220" s="53" t="s">
        <v>383</v>
      </c>
      <c r="D220" s="371">
        <v>2013</v>
      </c>
      <c r="E220" s="244">
        <v>183862841.53</v>
      </c>
      <c r="F220" s="244">
        <v>0</v>
      </c>
      <c r="G220" s="221">
        <f t="shared" si="25"/>
        <v>183862841.53</v>
      </c>
      <c r="H220" s="221">
        <f t="shared" si="27"/>
        <v>183862841.53</v>
      </c>
    </row>
    <row r="221" spans="1:8" x14ac:dyDescent="0.2">
      <c r="A221" s="166">
        <f t="shared" si="26"/>
        <v>125</v>
      </c>
      <c r="C221" s="58" t="s">
        <v>11</v>
      </c>
      <c r="D221" s="371">
        <v>2013</v>
      </c>
      <c r="E221" s="244">
        <v>186992688.97999999</v>
      </c>
      <c r="F221" s="244">
        <v>384352.29909558332</v>
      </c>
      <c r="G221" s="221">
        <f t="shared" si="25"/>
        <v>186608336.68090442</v>
      </c>
      <c r="H221" s="221">
        <f t="shared" si="27"/>
        <v>3129847.4499999881</v>
      </c>
    </row>
    <row r="222" spans="1:8" x14ac:dyDescent="0.2">
      <c r="A222" s="166">
        <f t="shared" si="26"/>
        <v>126</v>
      </c>
      <c r="C222" s="53" t="s">
        <v>12</v>
      </c>
      <c r="D222" s="371">
        <v>2013</v>
      </c>
      <c r="E222" s="244">
        <v>195120712.97999996</v>
      </c>
      <c r="F222" s="244">
        <v>775216.1099526668</v>
      </c>
      <c r="G222" s="221">
        <f t="shared" si="25"/>
        <v>194345496.8700473</v>
      </c>
      <c r="H222" s="221">
        <f t="shared" si="27"/>
        <v>8128023.9999999702</v>
      </c>
    </row>
    <row r="223" spans="1:8" x14ac:dyDescent="0.2">
      <c r="A223" s="166">
        <f t="shared" si="26"/>
        <v>127</v>
      </c>
      <c r="C223" s="53" t="s">
        <v>13</v>
      </c>
      <c r="D223" s="371">
        <v>2013</v>
      </c>
      <c r="E223" s="244">
        <v>196590614.58999997</v>
      </c>
      <c r="F223" s="244">
        <v>1183001.6741963334</v>
      </c>
      <c r="G223" s="221">
        <f t="shared" si="25"/>
        <v>195407612.91580364</v>
      </c>
      <c r="H223" s="221">
        <f t="shared" si="27"/>
        <v>1469901.6100000143</v>
      </c>
    </row>
    <row r="224" spans="1:8" x14ac:dyDescent="0.2">
      <c r="A224" s="166">
        <f t="shared" si="26"/>
        <v>128</v>
      </c>
      <c r="C224" s="58" t="s">
        <v>384</v>
      </c>
      <c r="D224" s="371">
        <v>2013</v>
      </c>
      <c r="E224" s="244">
        <v>197622296.98000002</v>
      </c>
      <c r="F224" s="244">
        <v>1593845.5858180833</v>
      </c>
      <c r="G224" s="221">
        <f t="shared" si="25"/>
        <v>196028451.39418194</v>
      </c>
      <c r="H224" s="221">
        <f t="shared" si="27"/>
        <v>1031682.3900000453</v>
      </c>
    </row>
    <row r="225" spans="1:8" x14ac:dyDescent="0.2">
      <c r="A225" s="166">
        <f t="shared" si="26"/>
        <v>129</v>
      </c>
      <c r="C225" s="58" t="s">
        <v>14</v>
      </c>
      <c r="D225" s="371">
        <v>2013</v>
      </c>
      <c r="E225" s="244">
        <v>198207296.34000003</v>
      </c>
      <c r="F225" s="244">
        <v>2006844.1847945834</v>
      </c>
      <c r="G225" s="221">
        <f t="shared" si="25"/>
        <v>196200452.15520546</v>
      </c>
      <c r="H225" s="221">
        <f t="shared" si="27"/>
        <v>584999.36000001431</v>
      </c>
    </row>
    <row r="226" spans="1:8" x14ac:dyDescent="0.2">
      <c r="A226" s="166">
        <f t="shared" si="26"/>
        <v>130</v>
      </c>
      <c r="C226" s="58" t="s">
        <v>6</v>
      </c>
      <c r="D226" s="371">
        <v>2013</v>
      </c>
      <c r="E226" s="244">
        <v>209564497.60999995</v>
      </c>
      <c r="F226" s="244">
        <v>2421063.2182534998</v>
      </c>
      <c r="G226" s="221">
        <f t="shared" si="25"/>
        <v>207143434.39174646</v>
      </c>
      <c r="H226" s="221">
        <f t="shared" si="27"/>
        <v>11357201.269999921</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2012</v>
      </c>
      <c r="E233" s="244">
        <v>2696326.14</v>
      </c>
      <c r="F233" s="244">
        <v>5076.0532809999995</v>
      </c>
      <c r="G233" s="221">
        <f t="shared" ref="G233:G245" si="28">E233-F233</f>
        <v>2691250.0867190002</v>
      </c>
      <c r="H233" s="221">
        <f>E233-E233</f>
        <v>0</v>
      </c>
    </row>
    <row r="234" spans="1:8" x14ac:dyDescent="0.2">
      <c r="A234" s="166">
        <f>A233+1</f>
        <v>132</v>
      </c>
      <c r="C234" s="58" t="s">
        <v>7</v>
      </c>
      <c r="D234" s="371">
        <v>2013</v>
      </c>
      <c r="E234" s="244">
        <v>2569143.0199999996</v>
      </c>
      <c r="F234" s="244">
        <v>10625.9912525</v>
      </c>
      <c r="G234" s="221">
        <f t="shared" si="28"/>
        <v>2558517.0287474995</v>
      </c>
      <c r="H234" s="221">
        <f>E234-E233</f>
        <v>-127183.12000000058</v>
      </c>
    </row>
    <row r="235" spans="1:8" x14ac:dyDescent="0.2">
      <c r="A235" s="166">
        <f t="shared" ref="A235:A245" si="29">A234+1</f>
        <v>133</v>
      </c>
      <c r="C235" s="53" t="s">
        <v>8</v>
      </c>
      <c r="D235" s="371">
        <v>2013</v>
      </c>
      <c r="E235" s="244">
        <v>2569143.0199999996</v>
      </c>
      <c r="F235" s="244">
        <v>15914.143968666667</v>
      </c>
      <c r="G235" s="221">
        <f t="shared" si="28"/>
        <v>2553228.8760313331</v>
      </c>
      <c r="H235" s="221">
        <f t="shared" ref="H235:H245" si="30">E235-E234</f>
        <v>0</v>
      </c>
    </row>
    <row r="236" spans="1:8" x14ac:dyDescent="0.2">
      <c r="A236" s="166">
        <f t="shared" si="29"/>
        <v>134</v>
      </c>
      <c r="C236" s="53" t="s">
        <v>18</v>
      </c>
      <c r="D236" s="371">
        <v>2013</v>
      </c>
      <c r="E236" s="244">
        <v>2604638.6499999994</v>
      </c>
      <c r="F236" s="244">
        <v>21202.296684833334</v>
      </c>
      <c r="G236" s="221">
        <f t="shared" si="28"/>
        <v>2583436.3533151662</v>
      </c>
      <c r="H236" s="221">
        <f t="shared" si="30"/>
        <v>35495.629999999888</v>
      </c>
    </row>
    <row r="237" spans="1:8" x14ac:dyDescent="0.2">
      <c r="A237" s="166">
        <f t="shared" si="29"/>
        <v>135</v>
      </c>
      <c r="C237" s="58" t="s">
        <v>9</v>
      </c>
      <c r="D237" s="371">
        <v>2013</v>
      </c>
      <c r="E237" s="244">
        <v>2859377.4899999993</v>
      </c>
      <c r="F237" s="244">
        <v>26563.511239416668</v>
      </c>
      <c r="G237" s="221">
        <f t="shared" si="28"/>
        <v>2832813.9787605824</v>
      </c>
      <c r="H237" s="221">
        <f t="shared" si="30"/>
        <v>254738.83999999985</v>
      </c>
    </row>
    <row r="238" spans="1:8" x14ac:dyDescent="0.2">
      <c r="A238" s="166">
        <f t="shared" si="29"/>
        <v>136</v>
      </c>
      <c r="C238" s="53" t="s">
        <v>10</v>
      </c>
      <c r="D238" s="371">
        <v>2013</v>
      </c>
      <c r="E238" s="244">
        <v>2857057.7399999993</v>
      </c>
      <c r="F238" s="244">
        <v>32449.063239666666</v>
      </c>
      <c r="G238" s="221">
        <f t="shared" si="28"/>
        <v>2824608.6767603327</v>
      </c>
      <c r="H238" s="221">
        <f t="shared" si="30"/>
        <v>-2319.75</v>
      </c>
    </row>
    <row r="239" spans="1:8" x14ac:dyDescent="0.2">
      <c r="A239" s="166">
        <f t="shared" si="29"/>
        <v>137</v>
      </c>
      <c r="C239" s="53" t="s">
        <v>383</v>
      </c>
      <c r="D239" s="371">
        <v>2013</v>
      </c>
      <c r="E239" s="244">
        <v>2857057.7399999993</v>
      </c>
      <c r="F239" s="244">
        <v>38329.840421166664</v>
      </c>
      <c r="G239" s="221">
        <f t="shared" si="28"/>
        <v>2818727.8995788326</v>
      </c>
      <c r="H239" s="221">
        <f t="shared" si="30"/>
        <v>0</v>
      </c>
    </row>
    <row r="240" spans="1:8" x14ac:dyDescent="0.2">
      <c r="A240" s="166">
        <f t="shared" si="29"/>
        <v>138</v>
      </c>
      <c r="C240" s="58" t="s">
        <v>11</v>
      </c>
      <c r="D240" s="371">
        <v>2013</v>
      </c>
      <c r="E240" s="244">
        <v>2857057.7399999993</v>
      </c>
      <c r="F240" s="244">
        <v>44210.617602666665</v>
      </c>
      <c r="G240" s="221">
        <f t="shared" si="28"/>
        <v>2812847.1223973325</v>
      </c>
      <c r="H240" s="221">
        <f t="shared" si="30"/>
        <v>0</v>
      </c>
    </row>
    <row r="241" spans="1:8" x14ac:dyDescent="0.2">
      <c r="A241" s="166">
        <f t="shared" si="29"/>
        <v>139</v>
      </c>
      <c r="C241" s="53" t="s">
        <v>12</v>
      </c>
      <c r="D241" s="371">
        <v>2013</v>
      </c>
      <c r="E241" s="244">
        <v>2858233.5399999991</v>
      </c>
      <c r="F241" s="244">
        <v>50091.394784166667</v>
      </c>
      <c r="G241" s="221">
        <f t="shared" si="28"/>
        <v>2808142.1452158326</v>
      </c>
      <c r="H241" s="221">
        <f t="shared" si="30"/>
        <v>1175.7999999998137</v>
      </c>
    </row>
    <row r="242" spans="1:8" x14ac:dyDescent="0.2">
      <c r="A242" s="166">
        <f t="shared" si="29"/>
        <v>140</v>
      </c>
      <c r="C242" s="53" t="s">
        <v>13</v>
      </c>
      <c r="D242" s="371">
        <v>2013</v>
      </c>
      <c r="E242" s="244">
        <v>4296031.0199999996</v>
      </c>
      <c r="F242" s="244">
        <v>55974.592153999998</v>
      </c>
      <c r="G242" s="221">
        <f t="shared" si="28"/>
        <v>4240056.4278459996</v>
      </c>
      <c r="H242" s="221">
        <f t="shared" si="30"/>
        <v>1437797.4800000004</v>
      </c>
    </row>
    <row r="243" spans="1:8" x14ac:dyDescent="0.2">
      <c r="A243" s="166">
        <f t="shared" si="29"/>
        <v>141</v>
      </c>
      <c r="C243" s="58" t="s">
        <v>384</v>
      </c>
      <c r="D243" s="371">
        <v>2013</v>
      </c>
      <c r="E243" s="244">
        <v>4296031.0199999996</v>
      </c>
      <c r="F243" s="244">
        <v>64817.256003499999</v>
      </c>
      <c r="G243" s="221">
        <f t="shared" si="28"/>
        <v>4231213.7639964996</v>
      </c>
      <c r="H243" s="221">
        <f t="shared" si="30"/>
        <v>0</v>
      </c>
    </row>
    <row r="244" spans="1:8" x14ac:dyDescent="0.2">
      <c r="A244" s="166">
        <f t="shared" si="29"/>
        <v>142</v>
      </c>
      <c r="C244" s="58" t="s">
        <v>14</v>
      </c>
      <c r="D244" s="371">
        <v>2013</v>
      </c>
      <c r="E244" s="244">
        <v>4299705.8099999996</v>
      </c>
      <c r="F244" s="244">
        <v>73659.919852999999</v>
      </c>
      <c r="G244" s="221">
        <f t="shared" si="28"/>
        <v>4226045.8901469996</v>
      </c>
      <c r="H244" s="221">
        <f t="shared" si="30"/>
        <v>3674.7900000000373</v>
      </c>
    </row>
    <row r="245" spans="1:8" x14ac:dyDescent="0.2">
      <c r="A245" s="166">
        <f t="shared" si="29"/>
        <v>143</v>
      </c>
      <c r="C245" s="58" t="s">
        <v>6</v>
      </c>
      <c r="D245" s="371">
        <v>2013</v>
      </c>
      <c r="E245" s="244">
        <v>4391956.76</v>
      </c>
      <c r="F245" s="244">
        <v>82510.147645249992</v>
      </c>
      <c r="G245" s="221">
        <f t="shared" si="28"/>
        <v>4309446.6123547498</v>
      </c>
      <c r="H245" s="221">
        <f t="shared" si="30"/>
        <v>92250.950000000186</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x14ac:dyDescent="0.2">
      <c r="C251" s="57" t="s">
        <v>16</v>
      </c>
      <c r="D251" s="57" t="s">
        <v>17</v>
      </c>
      <c r="E251" s="170" t="s">
        <v>892</v>
      </c>
      <c r="F251" s="170" t="s">
        <v>893</v>
      </c>
      <c r="G251" s="170" t="s">
        <v>858</v>
      </c>
      <c r="H251" s="170" t="s">
        <v>882</v>
      </c>
    </row>
    <row r="252" spans="1:8" x14ac:dyDescent="0.2">
      <c r="A252" s="166">
        <f>A245+1</f>
        <v>144</v>
      </c>
      <c r="C252" s="58" t="s">
        <v>6</v>
      </c>
      <c r="D252" s="639">
        <v>2012</v>
      </c>
      <c r="E252" s="244">
        <v>0</v>
      </c>
      <c r="F252" s="244">
        <v>0</v>
      </c>
      <c r="G252" s="221">
        <f t="shared" ref="G252:G264" si="31">E252-F252</f>
        <v>0</v>
      </c>
      <c r="H252" s="221">
        <f>E252-E252</f>
        <v>0</v>
      </c>
    </row>
    <row r="253" spans="1:8" x14ac:dyDescent="0.2">
      <c r="A253" s="166">
        <f>A252+1</f>
        <v>145</v>
      </c>
      <c r="C253" s="58" t="s">
        <v>7</v>
      </c>
      <c r="D253" s="371">
        <v>2013</v>
      </c>
      <c r="E253" s="244">
        <v>0</v>
      </c>
      <c r="F253" s="244">
        <v>0</v>
      </c>
      <c r="G253" s="221">
        <f t="shared" si="31"/>
        <v>0</v>
      </c>
      <c r="H253" s="221">
        <f>E253-E252</f>
        <v>0</v>
      </c>
    </row>
    <row r="254" spans="1:8" x14ac:dyDescent="0.2">
      <c r="A254" s="166">
        <f t="shared" ref="A254:A264" si="32">A253+1</f>
        <v>146</v>
      </c>
      <c r="C254" s="53" t="s">
        <v>8</v>
      </c>
      <c r="D254" s="371">
        <v>2013</v>
      </c>
      <c r="E254" s="244">
        <v>0</v>
      </c>
      <c r="F254" s="244">
        <v>0</v>
      </c>
      <c r="G254" s="221">
        <f t="shared" si="31"/>
        <v>0</v>
      </c>
      <c r="H254" s="221">
        <f t="shared" ref="H254:H264" si="33">E254-E253</f>
        <v>0</v>
      </c>
    </row>
    <row r="255" spans="1:8" x14ac:dyDescent="0.2">
      <c r="A255" s="166">
        <f t="shared" si="32"/>
        <v>147</v>
      </c>
      <c r="C255" s="53" t="s">
        <v>18</v>
      </c>
      <c r="D255" s="371">
        <v>2013</v>
      </c>
      <c r="E255" s="244">
        <v>0</v>
      </c>
      <c r="F255" s="244">
        <v>0</v>
      </c>
      <c r="G255" s="221">
        <f t="shared" si="31"/>
        <v>0</v>
      </c>
      <c r="H255" s="221">
        <f t="shared" si="33"/>
        <v>0</v>
      </c>
    </row>
    <row r="256" spans="1:8" x14ac:dyDescent="0.2">
      <c r="A256" s="166">
        <f t="shared" si="32"/>
        <v>148</v>
      </c>
      <c r="C256" s="58" t="s">
        <v>9</v>
      </c>
      <c r="D256" s="371">
        <v>2013</v>
      </c>
      <c r="E256" s="244">
        <v>0</v>
      </c>
      <c r="F256" s="244">
        <v>0</v>
      </c>
      <c r="G256" s="221">
        <f t="shared" si="31"/>
        <v>0</v>
      </c>
      <c r="H256" s="221">
        <f t="shared" si="33"/>
        <v>0</v>
      </c>
    </row>
    <row r="257" spans="1:8" ht="13.5" thickBot="1" x14ac:dyDescent="0.25">
      <c r="A257" s="166">
        <f t="shared" si="32"/>
        <v>149</v>
      </c>
      <c r="C257" s="53" t="s">
        <v>10</v>
      </c>
      <c r="D257" s="371">
        <v>2013</v>
      </c>
      <c r="E257" s="244">
        <v>0</v>
      </c>
      <c r="F257" s="244">
        <v>0</v>
      </c>
      <c r="G257" s="221">
        <f t="shared" si="31"/>
        <v>0</v>
      </c>
      <c r="H257" s="221">
        <f t="shared" si="33"/>
        <v>0</v>
      </c>
    </row>
    <row r="258" spans="1:8" ht="13.5" thickBot="1" x14ac:dyDescent="0.25">
      <c r="A258" s="166">
        <f t="shared" si="32"/>
        <v>150</v>
      </c>
      <c r="C258" s="53" t="s">
        <v>383</v>
      </c>
      <c r="D258" s="371">
        <v>2013</v>
      </c>
      <c r="E258" s="593">
        <v>65768407.380000003</v>
      </c>
      <c r="F258" s="244">
        <v>0</v>
      </c>
      <c r="G258" s="179">
        <f t="shared" si="31"/>
        <v>65768407.380000003</v>
      </c>
      <c r="H258" s="179">
        <f t="shared" si="33"/>
        <v>65768407.380000003</v>
      </c>
    </row>
    <row r="259" spans="1:8" x14ac:dyDescent="0.2">
      <c r="A259" s="166">
        <f t="shared" si="32"/>
        <v>151</v>
      </c>
      <c r="C259" s="58" t="s">
        <v>11</v>
      </c>
      <c r="D259" s="371">
        <v>2013</v>
      </c>
      <c r="E259" s="595">
        <v>65886451.359999999</v>
      </c>
      <c r="F259" s="593">
        <v>136198.81598383334</v>
      </c>
      <c r="G259" s="179">
        <f t="shared" si="31"/>
        <v>65750252.544016168</v>
      </c>
      <c r="H259" s="173">
        <f t="shared" si="33"/>
        <v>118043.97999999672</v>
      </c>
    </row>
    <row r="260" spans="1:8" x14ac:dyDescent="0.2">
      <c r="A260" s="166">
        <f t="shared" si="32"/>
        <v>152</v>
      </c>
      <c r="C260" s="53" t="s">
        <v>12</v>
      </c>
      <c r="D260" s="371">
        <v>2013</v>
      </c>
      <c r="E260" s="595">
        <v>66705188.439999998</v>
      </c>
      <c r="F260" s="595">
        <v>272642.11021816666</v>
      </c>
      <c r="G260" s="179">
        <f t="shared" si="31"/>
        <v>66432546.32978183</v>
      </c>
      <c r="H260" s="173">
        <f t="shared" si="33"/>
        <v>818737.07999999821</v>
      </c>
    </row>
    <row r="261" spans="1:8" x14ac:dyDescent="0.2">
      <c r="A261" s="166">
        <f t="shared" si="32"/>
        <v>153</v>
      </c>
      <c r="C261" s="53" t="s">
        <v>13</v>
      </c>
      <c r="D261" s="371">
        <v>2013</v>
      </c>
      <c r="E261" s="595">
        <v>66983507.449999996</v>
      </c>
      <c r="F261" s="595">
        <v>410781.07252883335</v>
      </c>
      <c r="G261" s="179">
        <f t="shared" si="31"/>
        <v>66572726.377471164</v>
      </c>
      <c r="H261" s="173">
        <f t="shared" si="33"/>
        <v>278319.00999999791</v>
      </c>
    </row>
    <row r="262" spans="1:8" x14ac:dyDescent="0.2">
      <c r="A262" s="166">
        <f t="shared" si="32"/>
        <v>154</v>
      </c>
      <c r="C262" s="58" t="s">
        <v>384</v>
      </c>
      <c r="D262" s="371">
        <v>2013</v>
      </c>
      <c r="E262" s="595">
        <v>67157329.829999998</v>
      </c>
      <c r="F262" s="595">
        <v>549496.45512341673</v>
      </c>
      <c r="G262" s="179">
        <f t="shared" si="31"/>
        <v>66607833.374876581</v>
      </c>
      <c r="H262" s="173">
        <f t="shared" si="33"/>
        <v>173822.38000000268</v>
      </c>
    </row>
    <row r="263" spans="1:8" x14ac:dyDescent="0.2">
      <c r="A263" s="166">
        <f t="shared" si="32"/>
        <v>155</v>
      </c>
      <c r="C263" s="58" t="s">
        <v>14</v>
      </c>
      <c r="D263" s="371">
        <v>2013</v>
      </c>
      <c r="E263" s="595">
        <v>67466819.709999993</v>
      </c>
      <c r="F263" s="595">
        <v>688571.83736599993</v>
      </c>
      <c r="G263" s="179">
        <f t="shared" si="31"/>
        <v>66778247.872633994</v>
      </c>
      <c r="H263" s="173">
        <f t="shared" si="33"/>
        <v>309489.87999999523</v>
      </c>
    </row>
    <row r="264" spans="1:8" ht="13.5" thickBot="1" x14ac:dyDescent="0.25">
      <c r="A264" s="166">
        <f t="shared" si="32"/>
        <v>156</v>
      </c>
      <c r="C264" s="58" t="s">
        <v>6</v>
      </c>
      <c r="D264" s="371">
        <v>2013</v>
      </c>
      <c r="E264" s="596">
        <v>67486496.150000006</v>
      </c>
      <c r="F264" s="596">
        <v>828288.19718574989</v>
      </c>
      <c r="G264" s="179">
        <f t="shared" si="31"/>
        <v>66658207.952814259</v>
      </c>
      <c r="H264" s="173">
        <f t="shared" si="33"/>
        <v>19676.440000012517</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2012</v>
      </c>
      <c r="E271" s="244">
        <v>0</v>
      </c>
      <c r="F271" s="244">
        <v>0</v>
      </c>
      <c r="G271" s="221">
        <f t="shared" ref="G271:G283" si="34">E271-F271</f>
        <v>0</v>
      </c>
      <c r="H271" s="221">
        <f>E271-E271</f>
        <v>0</v>
      </c>
    </row>
    <row r="272" spans="1:8" x14ac:dyDescent="0.2">
      <c r="A272" s="166">
        <f>A271+1</f>
        <v>158</v>
      </c>
      <c r="C272" s="58" t="s">
        <v>7</v>
      </c>
      <c r="D272" s="371">
        <v>2013</v>
      </c>
      <c r="E272" s="244">
        <v>0</v>
      </c>
      <c r="F272" s="244">
        <v>0</v>
      </c>
      <c r="G272" s="221">
        <f t="shared" si="34"/>
        <v>0</v>
      </c>
      <c r="H272" s="221">
        <f>E272-E271</f>
        <v>0</v>
      </c>
    </row>
    <row r="273" spans="1:8" x14ac:dyDescent="0.2">
      <c r="A273" s="166">
        <f t="shared" ref="A273:A283" si="35">A272+1</f>
        <v>159</v>
      </c>
      <c r="C273" s="53" t="s">
        <v>8</v>
      </c>
      <c r="D273" s="371">
        <v>2013</v>
      </c>
      <c r="E273" s="244">
        <v>0</v>
      </c>
      <c r="F273" s="244">
        <v>0</v>
      </c>
      <c r="G273" s="221">
        <f t="shared" si="34"/>
        <v>0</v>
      </c>
      <c r="H273" s="221">
        <f t="shared" ref="H273:H283" si="36">E273-E272</f>
        <v>0</v>
      </c>
    </row>
    <row r="274" spans="1:8" x14ac:dyDescent="0.2">
      <c r="A274" s="166">
        <f t="shared" si="35"/>
        <v>160</v>
      </c>
      <c r="C274" s="53" t="s">
        <v>18</v>
      </c>
      <c r="D274" s="371">
        <v>2013</v>
      </c>
      <c r="E274" s="244">
        <v>0</v>
      </c>
      <c r="F274" s="244">
        <v>0</v>
      </c>
      <c r="G274" s="221">
        <f t="shared" si="34"/>
        <v>0</v>
      </c>
      <c r="H274" s="221">
        <f t="shared" si="36"/>
        <v>0</v>
      </c>
    </row>
    <row r="275" spans="1:8" x14ac:dyDescent="0.2">
      <c r="A275" s="166">
        <f t="shared" si="35"/>
        <v>161</v>
      </c>
      <c r="C275" s="58" t="s">
        <v>9</v>
      </c>
      <c r="D275" s="371">
        <v>2013</v>
      </c>
      <c r="E275" s="244">
        <v>0</v>
      </c>
      <c r="F275" s="244">
        <v>0</v>
      </c>
      <c r="G275" s="221">
        <f t="shared" si="34"/>
        <v>0</v>
      </c>
      <c r="H275" s="221">
        <f t="shared" si="36"/>
        <v>0</v>
      </c>
    </row>
    <row r="276" spans="1:8" x14ac:dyDescent="0.2">
      <c r="A276" s="166">
        <f t="shared" si="35"/>
        <v>162</v>
      </c>
      <c r="C276" s="53" t="s">
        <v>10</v>
      </c>
      <c r="D276" s="371">
        <v>2013</v>
      </c>
      <c r="E276" s="244">
        <v>0</v>
      </c>
      <c r="F276" s="244">
        <v>0</v>
      </c>
      <c r="G276" s="221">
        <f t="shared" si="34"/>
        <v>0</v>
      </c>
      <c r="H276" s="221">
        <f t="shared" si="36"/>
        <v>0</v>
      </c>
    </row>
    <row r="277" spans="1:8" x14ac:dyDescent="0.2">
      <c r="A277" s="166">
        <f t="shared" si="35"/>
        <v>163</v>
      </c>
      <c r="C277" s="53" t="s">
        <v>383</v>
      </c>
      <c r="D277" s="371">
        <v>2013</v>
      </c>
      <c r="E277" s="244">
        <v>0</v>
      </c>
      <c r="F277" s="244">
        <v>0</v>
      </c>
      <c r="G277" s="221">
        <f t="shared" si="34"/>
        <v>0</v>
      </c>
      <c r="H277" s="221">
        <f t="shared" si="36"/>
        <v>0</v>
      </c>
    </row>
    <row r="278" spans="1:8" x14ac:dyDescent="0.2">
      <c r="A278" s="166">
        <f t="shared" si="35"/>
        <v>164</v>
      </c>
      <c r="C278" s="58" t="s">
        <v>11</v>
      </c>
      <c r="D278" s="371">
        <v>2013</v>
      </c>
      <c r="E278" s="244">
        <v>0</v>
      </c>
      <c r="F278" s="244">
        <v>0</v>
      </c>
      <c r="G278" s="221">
        <f t="shared" si="34"/>
        <v>0</v>
      </c>
      <c r="H278" s="221">
        <f t="shared" si="36"/>
        <v>0</v>
      </c>
    </row>
    <row r="279" spans="1:8" x14ac:dyDescent="0.2">
      <c r="A279" s="166">
        <f t="shared" si="35"/>
        <v>165</v>
      </c>
      <c r="C279" s="53" t="s">
        <v>12</v>
      </c>
      <c r="D279" s="371">
        <v>2013</v>
      </c>
      <c r="E279" s="244">
        <v>0</v>
      </c>
      <c r="F279" s="244">
        <v>0</v>
      </c>
      <c r="G279" s="221">
        <f t="shared" si="34"/>
        <v>0</v>
      </c>
      <c r="H279" s="221">
        <f t="shared" si="36"/>
        <v>0</v>
      </c>
    </row>
    <row r="280" spans="1:8" x14ac:dyDescent="0.2">
      <c r="A280" s="166">
        <f t="shared" si="35"/>
        <v>166</v>
      </c>
      <c r="C280" s="53" t="s">
        <v>13</v>
      </c>
      <c r="D280" s="371">
        <v>2013</v>
      </c>
      <c r="E280" s="244">
        <v>0</v>
      </c>
      <c r="F280" s="244">
        <v>0</v>
      </c>
      <c r="G280" s="221">
        <f t="shared" si="34"/>
        <v>0</v>
      </c>
      <c r="H280" s="221">
        <f t="shared" si="36"/>
        <v>0</v>
      </c>
    </row>
    <row r="281" spans="1:8" x14ac:dyDescent="0.2">
      <c r="A281" s="166">
        <f t="shared" si="35"/>
        <v>167</v>
      </c>
      <c r="C281" s="58" t="s">
        <v>384</v>
      </c>
      <c r="D281" s="371">
        <v>2013</v>
      </c>
      <c r="E281" s="244">
        <v>0</v>
      </c>
      <c r="F281" s="244">
        <v>0</v>
      </c>
      <c r="G281" s="221">
        <f t="shared" si="34"/>
        <v>0</v>
      </c>
      <c r="H281" s="221">
        <f t="shared" si="36"/>
        <v>0</v>
      </c>
    </row>
    <row r="282" spans="1:8" x14ac:dyDescent="0.2">
      <c r="A282" s="166">
        <f t="shared" si="35"/>
        <v>168</v>
      </c>
      <c r="C282" s="58" t="s">
        <v>14</v>
      </c>
      <c r="D282" s="371">
        <v>2013</v>
      </c>
      <c r="E282" s="244">
        <v>0</v>
      </c>
      <c r="F282" s="244">
        <v>0</v>
      </c>
      <c r="G282" s="221">
        <f t="shared" si="34"/>
        <v>0</v>
      </c>
      <c r="H282" s="221">
        <f t="shared" si="36"/>
        <v>0</v>
      </c>
    </row>
    <row r="283" spans="1:8" x14ac:dyDescent="0.2">
      <c r="A283" s="166">
        <f t="shared" si="35"/>
        <v>169</v>
      </c>
      <c r="C283" s="58" t="s">
        <v>6</v>
      </c>
      <c r="D283" s="371">
        <v>2013</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2012</v>
      </c>
      <c r="E290" s="244">
        <v>0</v>
      </c>
      <c r="F290" s="244">
        <v>0</v>
      </c>
      <c r="G290" s="221">
        <f t="shared" ref="G290:G302" si="37">E290-F290</f>
        <v>0</v>
      </c>
      <c r="H290" s="221">
        <f>E290-E290</f>
        <v>0</v>
      </c>
    </row>
    <row r="291" spans="1:8" x14ac:dyDescent="0.2">
      <c r="A291" s="166">
        <f>A290+1</f>
        <v>171</v>
      </c>
      <c r="C291" s="58" t="s">
        <v>7</v>
      </c>
      <c r="D291" s="371">
        <v>2013</v>
      </c>
      <c r="E291" s="244">
        <v>0</v>
      </c>
      <c r="F291" s="244">
        <v>0</v>
      </c>
      <c r="G291" s="221">
        <f t="shared" si="37"/>
        <v>0</v>
      </c>
      <c r="H291" s="221">
        <f>E291-E290</f>
        <v>0</v>
      </c>
    </row>
    <row r="292" spans="1:8" x14ac:dyDescent="0.2">
      <c r="A292" s="166">
        <f t="shared" ref="A292:A302" si="38">A291+1</f>
        <v>172</v>
      </c>
      <c r="C292" s="53" t="s">
        <v>8</v>
      </c>
      <c r="D292" s="371">
        <v>2013</v>
      </c>
      <c r="E292" s="244">
        <v>0</v>
      </c>
      <c r="F292" s="244">
        <v>0</v>
      </c>
      <c r="G292" s="221">
        <f t="shared" si="37"/>
        <v>0</v>
      </c>
      <c r="H292" s="221">
        <f t="shared" ref="H292:H302" si="39">E292-E291</f>
        <v>0</v>
      </c>
    </row>
    <row r="293" spans="1:8" x14ac:dyDescent="0.2">
      <c r="A293" s="166">
        <f t="shared" si="38"/>
        <v>173</v>
      </c>
      <c r="C293" s="53" t="s">
        <v>18</v>
      </c>
      <c r="D293" s="371">
        <v>2013</v>
      </c>
      <c r="E293" s="244">
        <v>0</v>
      </c>
      <c r="F293" s="244">
        <v>0</v>
      </c>
      <c r="G293" s="221">
        <f t="shared" si="37"/>
        <v>0</v>
      </c>
      <c r="H293" s="221">
        <f t="shared" si="39"/>
        <v>0</v>
      </c>
    </row>
    <row r="294" spans="1:8" x14ac:dyDescent="0.2">
      <c r="A294" s="166">
        <f t="shared" si="38"/>
        <v>174</v>
      </c>
      <c r="C294" s="58" t="s">
        <v>9</v>
      </c>
      <c r="D294" s="371">
        <v>2013</v>
      </c>
      <c r="E294" s="244">
        <v>0</v>
      </c>
      <c r="F294" s="244">
        <v>0</v>
      </c>
      <c r="G294" s="221">
        <f t="shared" si="37"/>
        <v>0</v>
      </c>
      <c r="H294" s="221">
        <f t="shared" si="39"/>
        <v>0</v>
      </c>
    </row>
    <row r="295" spans="1:8" x14ac:dyDescent="0.2">
      <c r="A295" s="166">
        <f t="shared" si="38"/>
        <v>175</v>
      </c>
      <c r="C295" s="53" t="s">
        <v>10</v>
      </c>
      <c r="D295" s="371">
        <v>2013</v>
      </c>
      <c r="E295" s="244">
        <v>0</v>
      </c>
      <c r="F295" s="244">
        <v>0</v>
      </c>
      <c r="G295" s="221">
        <f t="shared" si="37"/>
        <v>0</v>
      </c>
      <c r="H295" s="221">
        <f t="shared" si="39"/>
        <v>0</v>
      </c>
    </row>
    <row r="296" spans="1:8" x14ac:dyDescent="0.2">
      <c r="A296" s="166">
        <f t="shared" si="38"/>
        <v>176</v>
      </c>
      <c r="C296" s="53" t="s">
        <v>383</v>
      </c>
      <c r="D296" s="371">
        <v>2013</v>
      </c>
      <c r="E296" s="244">
        <v>0</v>
      </c>
      <c r="F296" s="244">
        <v>0</v>
      </c>
      <c r="G296" s="221">
        <f t="shared" si="37"/>
        <v>0</v>
      </c>
      <c r="H296" s="221">
        <f t="shared" si="39"/>
        <v>0</v>
      </c>
    </row>
    <row r="297" spans="1:8" x14ac:dyDescent="0.2">
      <c r="A297" s="166">
        <f t="shared" si="38"/>
        <v>177</v>
      </c>
      <c r="C297" s="58" t="s">
        <v>11</v>
      </c>
      <c r="D297" s="371">
        <v>2013</v>
      </c>
      <c r="E297" s="244">
        <v>0</v>
      </c>
      <c r="F297" s="244">
        <v>0</v>
      </c>
      <c r="G297" s="221">
        <f t="shared" si="37"/>
        <v>0</v>
      </c>
      <c r="H297" s="221">
        <f t="shared" si="39"/>
        <v>0</v>
      </c>
    </row>
    <row r="298" spans="1:8" x14ac:dyDescent="0.2">
      <c r="A298" s="166">
        <f t="shared" si="38"/>
        <v>178</v>
      </c>
      <c r="C298" s="53" t="s">
        <v>12</v>
      </c>
      <c r="D298" s="371">
        <v>2013</v>
      </c>
      <c r="E298" s="244">
        <v>0</v>
      </c>
      <c r="F298" s="244">
        <v>0</v>
      </c>
      <c r="G298" s="221">
        <f t="shared" si="37"/>
        <v>0</v>
      </c>
      <c r="H298" s="221">
        <f t="shared" si="39"/>
        <v>0</v>
      </c>
    </row>
    <row r="299" spans="1:8" x14ac:dyDescent="0.2">
      <c r="A299" s="166">
        <f t="shared" si="38"/>
        <v>179</v>
      </c>
      <c r="C299" s="53" t="s">
        <v>13</v>
      </c>
      <c r="D299" s="371">
        <v>2013</v>
      </c>
      <c r="E299" s="244">
        <v>0</v>
      </c>
      <c r="F299" s="244">
        <v>0</v>
      </c>
      <c r="G299" s="221">
        <f t="shared" si="37"/>
        <v>0</v>
      </c>
      <c r="H299" s="221">
        <f t="shared" si="39"/>
        <v>0</v>
      </c>
    </row>
    <row r="300" spans="1:8" x14ac:dyDescent="0.2">
      <c r="A300" s="166">
        <f t="shared" si="38"/>
        <v>180</v>
      </c>
      <c r="C300" s="58" t="s">
        <v>384</v>
      </c>
      <c r="D300" s="371">
        <v>2013</v>
      </c>
      <c r="E300" s="244">
        <v>0</v>
      </c>
      <c r="F300" s="244">
        <v>0</v>
      </c>
      <c r="G300" s="221">
        <f t="shared" si="37"/>
        <v>0</v>
      </c>
      <c r="H300" s="221">
        <f t="shared" si="39"/>
        <v>0</v>
      </c>
    </row>
    <row r="301" spans="1:8" x14ac:dyDescent="0.2">
      <c r="A301" s="166">
        <f t="shared" si="38"/>
        <v>181</v>
      </c>
      <c r="C301" s="58" t="s">
        <v>14</v>
      </c>
      <c r="D301" s="371">
        <v>2013</v>
      </c>
      <c r="E301" s="244">
        <v>0</v>
      </c>
      <c r="F301" s="244">
        <v>0</v>
      </c>
      <c r="G301" s="221">
        <f t="shared" si="37"/>
        <v>0</v>
      </c>
      <c r="H301" s="221">
        <f t="shared" si="39"/>
        <v>0</v>
      </c>
    </row>
    <row r="302" spans="1:8" x14ac:dyDescent="0.2">
      <c r="A302" s="166">
        <f t="shared" si="38"/>
        <v>182</v>
      </c>
      <c r="C302" s="58" t="s">
        <v>6</v>
      </c>
      <c r="D302" s="371">
        <v>2013</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2013 True Up TRR)&amp;RTO12 Draft Annual Update
Attachment 4
WP-Schedule 3-One Time Adj True Up Adj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T79"/>
  <sheetViews>
    <sheetView topLeftCell="C1" zoomScaleNormal="100" workbookViewId="0">
      <selection activeCell="E37" sqref="E37"/>
    </sheetView>
  </sheetViews>
  <sheetFormatPr defaultRowHeight="15" x14ac:dyDescent="0.25"/>
  <cols>
    <col min="1" max="1" width="11.5703125" style="1" customWidth="1"/>
    <col min="2" max="2" width="9.140625" style="1"/>
    <col min="3" max="3" width="8.28515625" style="1" bestFit="1" customWidth="1"/>
    <col min="4" max="4" width="15.5703125" style="1" customWidth="1"/>
    <col min="5" max="5" width="14.140625" style="1" bestFit="1" customWidth="1"/>
    <col min="6" max="6" width="13.7109375" style="1" customWidth="1"/>
    <col min="7" max="7" width="13.5703125" style="1" customWidth="1"/>
    <col min="8" max="8" width="15.5703125" style="1" bestFit="1" customWidth="1"/>
    <col min="9" max="9" width="14.140625" style="1" bestFit="1" customWidth="1"/>
    <col min="10" max="10" width="16.140625" style="1" customWidth="1"/>
    <col min="11" max="11" width="18.85546875" style="1" bestFit="1" customWidth="1"/>
    <col min="12" max="12" width="15.5703125" style="1" bestFit="1" customWidth="1"/>
    <col min="13" max="13" width="16" style="1" customWidth="1"/>
    <col min="14" max="14" width="15.42578125" style="1" customWidth="1"/>
    <col min="15" max="15" width="14" style="1" bestFit="1" customWidth="1"/>
    <col min="16" max="16" width="15.5703125" style="1" bestFit="1" customWidth="1"/>
    <col min="17" max="17" width="14" style="1" customWidth="1"/>
    <col min="18" max="18" width="13.7109375" style="1" customWidth="1"/>
    <col min="19" max="19" width="14.7109375" style="1" customWidth="1"/>
    <col min="20" max="16384" width="9.140625" style="1"/>
  </cols>
  <sheetData>
    <row r="2" spans="1:20" ht="15.75" thickBot="1" x14ac:dyDescent="0.3">
      <c r="O2" s="290"/>
    </row>
    <row r="3" spans="1:20" x14ac:dyDescent="0.25">
      <c r="A3" s="30" t="s">
        <v>27</v>
      </c>
      <c r="B3" s="31"/>
      <c r="C3" s="31"/>
      <c r="D3" s="31"/>
      <c r="E3" s="31"/>
      <c r="F3" s="31"/>
      <c r="G3" s="31"/>
      <c r="H3" s="31"/>
      <c r="I3" s="31"/>
      <c r="J3" s="31"/>
      <c r="K3" s="31"/>
      <c r="L3" s="31"/>
      <c r="M3" s="31"/>
      <c r="N3" s="31"/>
      <c r="O3" s="289"/>
      <c r="P3" s="291"/>
      <c r="Q3" s="291"/>
      <c r="R3" s="291"/>
      <c r="S3" s="291"/>
      <c r="T3" s="13"/>
    </row>
    <row r="4" spans="1:20" ht="15.75" thickBot="1" x14ac:dyDescent="0.3">
      <c r="A4" s="2"/>
      <c r="B4" s="3"/>
      <c r="C4" s="3"/>
      <c r="D4" s="3"/>
      <c r="E4" s="3"/>
      <c r="F4" s="3"/>
      <c r="G4" s="3"/>
      <c r="H4" s="3"/>
      <c r="I4" s="3"/>
      <c r="J4" s="3"/>
      <c r="K4" s="3"/>
      <c r="L4" s="3"/>
      <c r="M4" s="3"/>
      <c r="N4" s="3"/>
      <c r="O4" s="3"/>
      <c r="P4" s="292"/>
      <c r="Q4" s="293"/>
      <c r="R4" s="293"/>
      <c r="S4" s="293"/>
      <c r="T4" s="13"/>
    </row>
    <row r="5" spans="1:20" ht="32.25" customHeight="1" thickBot="1" x14ac:dyDescent="0.3">
      <c r="A5" s="716" t="s">
        <v>298</v>
      </c>
      <c r="B5" s="717"/>
      <c r="C5" s="717"/>
      <c r="D5" s="717"/>
      <c r="E5" s="717"/>
      <c r="F5" s="717"/>
      <c r="G5" s="718"/>
      <c r="H5" s="716" t="s">
        <v>28</v>
      </c>
      <c r="I5" s="717"/>
      <c r="J5" s="717"/>
      <c r="K5" s="717"/>
      <c r="L5" s="716" t="s">
        <v>288</v>
      </c>
      <c r="M5" s="717"/>
      <c r="N5" s="717"/>
      <c r="O5" s="719"/>
      <c r="P5" s="720" t="s">
        <v>317</v>
      </c>
      <c r="Q5" s="717"/>
      <c r="R5" s="717"/>
      <c r="S5" s="718"/>
    </row>
    <row r="6" spans="1:20" ht="15" customHeight="1" x14ac:dyDescent="0.25">
      <c r="A6" s="37"/>
      <c r="B6" s="38"/>
      <c r="C6" s="38"/>
      <c r="D6" s="38"/>
      <c r="E6" s="39" t="s">
        <v>19</v>
      </c>
      <c r="F6" s="40"/>
      <c r="G6" s="41"/>
      <c r="H6" s="4"/>
      <c r="I6" s="5" t="s">
        <v>19</v>
      </c>
      <c r="J6" s="6"/>
      <c r="K6" s="7"/>
      <c r="L6" s="37"/>
      <c r="M6" s="39" t="s">
        <v>19</v>
      </c>
      <c r="N6" s="40"/>
      <c r="O6" s="41"/>
      <c r="P6" s="37"/>
      <c r="Q6" s="39" t="s">
        <v>19</v>
      </c>
      <c r="R6" s="40"/>
      <c r="S6" s="41"/>
    </row>
    <row r="7" spans="1:20" ht="15" customHeight="1" x14ac:dyDescent="0.25">
      <c r="A7" s="13"/>
      <c r="B7" s="4"/>
      <c r="C7" s="4"/>
      <c r="D7" s="4"/>
      <c r="E7" s="5" t="s">
        <v>4</v>
      </c>
      <c r="F7" s="9"/>
      <c r="G7" s="10" t="s">
        <v>19</v>
      </c>
      <c r="H7" s="4"/>
      <c r="I7" s="5" t="s">
        <v>4</v>
      </c>
      <c r="J7" s="9"/>
      <c r="K7" s="10" t="s">
        <v>19</v>
      </c>
      <c r="L7" s="13"/>
      <c r="M7" s="5" t="s">
        <v>4</v>
      </c>
      <c r="N7" s="9"/>
      <c r="O7" s="10" t="s">
        <v>19</v>
      </c>
      <c r="P7" s="13"/>
      <c r="Q7" s="5" t="s">
        <v>4</v>
      </c>
      <c r="R7" s="9"/>
      <c r="S7" s="10" t="s">
        <v>19</v>
      </c>
    </row>
    <row r="8" spans="1:20" ht="15" customHeight="1" x14ac:dyDescent="0.25">
      <c r="A8" s="13"/>
      <c r="B8" s="4"/>
      <c r="C8" s="4"/>
      <c r="D8" s="4"/>
      <c r="E8" s="5" t="s">
        <v>5</v>
      </c>
      <c r="F8" s="9"/>
      <c r="G8" s="10" t="s">
        <v>4</v>
      </c>
      <c r="H8" s="4"/>
      <c r="I8" s="5" t="s">
        <v>5</v>
      </c>
      <c r="J8" s="9"/>
      <c r="K8" s="10" t="s">
        <v>4</v>
      </c>
      <c r="L8" s="13"/>
      <c r="M8" s="5" t="s">
        <v>5</v>
      </c>
      <c r="N8" s="9"/>
      <c r="O8" s="10" t="s">
        <v>4</v>
      </c>
      <c r="P8" s="13"/>
      <c r="Q8" s="5" t="s">
        <v>5</v>
      </c>
      <c r="R8" s="9"/>
      <c r="S8" s="10" t="s">
        <v>4</v>
      </c>
    </row>
    <row r="9" spans="1:20" ht="15" customHeight="1" x14ac:dyDescent="0.25">
      <c r="A9" s="13"/>
      <c r="B9" s="4"/>
      <c r="C9" s="8" t="s">
        <v>1</v>
      </c>
      <c r="D9" s="5" t="s">
        <v>1</v>
      </c>
      <c r="E9" s="5" t="s">
        <v>2</v>
      </c>
      <c r="F9" s="12" t="s">
        <v>3</v>
      </c>
      <c r="G9" s="10" t="s">
        <v>5</v>
      </c>
      <c r="H9" s="5" t="s">
        <v>1</v>
      </c>
      <c r="I9" s="5" t="s">
        <v>2</v>
      </c>
      <c r="J9" s="12" t="s">
        <v>3</v>
      </c>
      <c r="K9" s="10" t="s">
        <v>5</v>
      </c>
      <c r="L9" s="153" t="s">
        <v>1</v>
      </c>
      <c r="M9" s="5" t="s">
        <v>2</v>
      </c>
      <c r="N9" s="12" t="s">
        <v>3</v>
      </c>
      <c r="O9" s="10" t="s">
        <v>5</v>
      </c>
      <c r="P9" s="153" t="s">
        <v>1</v>
      </c>
      <c r="Q9" s="5" t="s">
        <v>2</v>
      </c>
      <c r="R9" s="12" t="s">
        <v>3</v>
      </c>
      <c r="S9" s="10" t="s">
        <v>5</v>
      </c>
    </row>
    <row r="10" spans="1:20" ht="15" customHeight="1" x14ac:dyDescent="0.25">
      <c r="A10" s="13"/>
      <c r="B10" s="4"/>
      <c r="C10" s="11" t="s">
        <v>3</v>
      </c>
      <c r="D10" s="5" t="s">
        <v>20</v>
      </c>
      <c r="E10" s="5" t="s">
        <v>22</v>
      </c>
      <c r="F10" s="5" t="s">
        <v>23</v>
      </c>
      <c r="G10" s="10" t="s">
        <v>2</v>
      </c>
      <c r="H10" s="5" t="s">
        <v>20</v>
      </c>
      <c r="I10" s="5" t="s">
        <v>22</v>
      </c>
      <c r="J10" s="5" t="s">
        <v>23</v>
      </c>
      <c r="K10" s="10" t="s">
        <v>2</v>
      </c>
      <c r="L10" s="153" t="s">
        <v>20</v>
      </c>
      <c r="M10" s="5" t="s">
        <v>22</v>
      </c>
      <c r="N10" s="5" t="s">
        <v>23</v>
      </c>
      <c r="O10" s="10" t="s">
        <v>2</v>
      </c>
      <c r="P10" s="153" t="s">
        <v>20</v>
      </c>
      <c r="Q10" s="5" t="s">
        <v>22</v>
      </c>
      <c r="R10" s="5" t="s">
        <v>23</v>
      </c>
      <c r="S10" s="10" t="s">
        <v>2</v>
      </c>
    </row>
    <row r="11" spans="1:20" ht="15.75" customHeight="1" x14ac:dyDescent="0.25">
      <c r="A11" s="28" t="s">
        <v>16</v>
      </c>
      <c r="B11" s="27" t="s">
        <v>17</v>
      </c>
      <c r="C11" s="27" t="s">
        <v>0</v>
      </c>
      <c r="D11" s="26" t="s">
        <v>26</v>
      </c>
      <c r="E11" s="26" t="s">
        <v>24</v>
      </c>
      <c r="F11" s="26" t="s">
        <v>16</v>
      </c>
      <c r="G11" s="29" t="s">
        <v>21</v>
      </c>
      <c r="H11" s="26" t="s">
        <v>26</v>
      </c>
      <c r="I11" s="26" t="s">
        <v>24</v>
      </c>
      <c r="J11" s="26" t="s">
        <v>16</v>
      </c>
      <c r="K11" s="29" t="s">
        <v>21</v>
      </c>
      <c r="L11" s="154" t="s">
        <v>26</v>
      </c>
      <c r="M11" s="26" t="s">
        <v>24</v>
      </c>
      <c r="N11" s="26" t="s">
        <v>16</v>
      </c>
      <c r="O11" s="29" t="s">
        <v>21</v>
      </c>
      <c r="P11" s="154" t="s">
        <v>26</v>
      </c>
      <c r="Q11" s="26" t="s">
        <v>24</v>
      </c>
      <c r="R11" s="26" t="s">
        <v>16</v>
      </c>
      <c r="S11" s="29" t="s">
        <v>21</v>
      </c>
    </row>
    <row r="12" spans="1:20" x14ac:dyDescent="0.25">
      <c r="A12" s="13" t="s">
        <v>7</v>
      </c>
      <c r="B12" s="152" t="s">
        <v>299</v>
      </c>
      <c r="C12" s="14">
        <v>2.7000000000000001E-3</v>
      </c>
      <c r="D12" s="15">
        <f>'WP-2012 True Up TRR Adj'!D8/12</f>
        <v>-26537.360145350296</v>
      </c>
      <c r="E12" s="16">
        <f>D12</f>
        <v>-26537.360145350296</v>
      </c>
      <c r="F12" s="16">
        <f>((E12)/2)*$C12</f>
        <v>-35.825436196222903</v>
      </c>
      <c r="G12" s="18">
        <f>E12+F12</f>
        <v>-26573.185581546521</v>
      </c>
      <c r="H12" s="15">
        <v>0</v>
      </c>
      <c r="I12" s="16">
        <f>H12</f>
        <v>0</v>
      </c>
      <c r="J12" s="16">
        <f>((H12)/2)*C12</f>
        <v>0</v>
      </c>
      <c r="K12" s="18">
        <f>I12+J12</f>
        <v>0</v>
      </c>
      <c r="L12" s="82">
        <v>0</v>
      </c>
      <c r="M12" s="16">
        <f>L12</f>
        <v>0</v>
      </c>
      <c r="N12" s="16">
        <f>((L12)/2)*$C12</f>
        <v>0</v>
      </c>
      <c r="O12" s="18">
        <f>M12+N12</f>
        <v>0</v>
      </c>
      <c r="P12" s="82">
        <v>0</v>
      </c>
      <c r="Q12" s="16">
        <f>P12</f>
        <v>0</v>
      </c>
      <c r="R12" s="16">
        <f>((P12)/2)*$C12</f>
        <v>0</v>
      </c>
      <c r="S12" s="18">
        <f>Q12+R12</f>
        <v>0</v>
      </c>
    </row>
    <row r="13" spans="1:20" x14ac:dyDescent="0.25">
      <c r="A13" s="13" t="s">
        <v>8</v>
      </c>
      <c r="B13" s="152" t="s">
        <v>299</v>
      </c>
      <c r="C13" s="14">
        <v>2.7000000000000001E-3</v>
      </c>
      <c r="D13" s="15">
        <f>D12</f>
        <v>-26537.360145350296</v>
      </c>
      <c r="E13" s="16">
        <f>D13+G12</f>
        <v>-53110.545726896817</v>
      </c>
      <c r="F13" s="17">
        <f t="shared" ref="F13:F20" si="0">(((E13+G12))/2)*$C13</f>
        <v>-107.57303726639852</v>
      </c>
      <c r="G13" s="18">
        <f t="shared" ref="G13:G23" si="1">E13+F13</f>
        <v>-53218.118764163213</v>
      </c>
      <c r="H13" s="15">
        <v>0</v>
      </c>
      <c r="I13" s="16">
        <f>H13+K12</f>
        <v>0</v>
      </c>
      <c r="J13" s="17">
        <f>(((I13+K12))/2)*$C13</f>
        <v>0</v>
      </c>
      <c r="K13" s="18">
        <f t="shared" ref="K13:K23" si="2">I13+J13</f>
        <v>0</v>
      </c>
      <c r="L13" s="82">
        <v>0</v>
      </c>
      <c r="M13" s="16">
        <f>L13+O12</f>
        <v>0</v>
      </c>
      <c r="N13" s="16">
        <f>(((L13+O12))/2)*$C13</f>
        <v>0</v>
      </c>
      <c r="O13" s="18">
        <f t="shared" ref="O13:O23" si="3">M13+N13</f>
        <v>0</v>
      </c>
      <c r="P13" s="82">
        <v>0</v>
      </c>
      <c r="Q13" s="16">
        <f>P13+S12</f>
        <v>0</v>
      </c>
      <c r="R13" s="16">
        <f>(((P13+S12))/2)*$C13</f>
        <v>0</v>
      </c>
      <c r="S13" s="18">
        <f t="shared" ref="S13:S23" si="4">Q13+R13</f>
        <v>0</v>
      </c>
    </row>
    <row r="14" spans="1:20" x14ac:dyDescent="0.25">
      <c r="A14" s="13" t="s">
        <v>18</v>
      </c>
      <c r="B14" s="152" t="s">
        <v>299</v>
      </c>
      <c r="C14" s="14">
        <v>2.7000000000000001E-3</v>
      </c>
      <c r="D14" s="15">
        <f t="shared" ref="D14:D23" si="5">D13</f>
        <v>-26537.360145350296</v>
      </c>
      <c r="E14" s="16">
        <f t="shared" ref="E14:E47" si="6">D14+G13</f>
        <v>-79755.478909513506</v>
      </c>
      <c r="F14" s="17">
        <f t="shared" si="0"/>
        <v>-179.51435685946359</v>
      </c>
      <c r="G14" s="18">
        <f t="shared" si="1"/>
        <v>-79934.993266372971</v>
      </c>
      <c r="H14" s="15">
        <v>0</v>
      </c>
      <c r="I14" s="16">
        <f t="shared" ref="I14:I47" si="7">H14+K13</f>
        <v>0</v>
      </c>
      <c r="J14" s="17">
        <f t="shared" ref="J14:J59" si="8">(((I14+K13))/2)*$C14</f>
        <v>0</v>
      </c>
      <c r="K14" s="18">
        <f t="shared" si="2"/>
        <v>0</v>
      </c>
      <c r="L14" s="82">
        <v>0</v>
      </c>
      <c r="M14" s="16">
        <f t="shared" ref="M14:M35" si="9">L14+O13</f>
        <v>0</v>
      </c>
      <c r="N14" s="16">
        <f t="shared" ref="N14:N59" si="10">(((L14+O13))/2)*$C14</f>
        <v>0</v>
      </c>
      <c r="O14" s="18">
        <f t="shared" si="3"/>
        <v>0</v>
      </c>
      <c r="P14" s="82">
        <v>0</v>
      </c>
      <c r="Q14" s="16">
        <f t="shared" ref="Q14:Q47" si="11">P14+S13</f>
        <v>0</v>
      </c>
      <c r="R14" s="16">
        <f t="shared" ref="R14:R59" si="12">(((P14+S13))/2)*$C14</f>
        <v>0</v>
      </c>
      <c r="S14" s="18">
        <f t="shared" si="4"/>
        <v>0</v>
      </c>
    </row>
    <row r="15" spans="1:20" x14ac:dyDescent="0.25">
      <c r="A15" s="13" t="s">
        <v>9</v>
      </c>
      <c r="B15" s="152" t="s">
        <v>299</v>
      </c>
      <c r="C15" s="14">
        <v>2.7000000000000001E-3</v>
      </c>
      <c r="D15" s="15">
        <f t="shared" si="5"/>
        <v>-26537.360145350296</v>
      </c>
      <c r="E15" s="16">
        <f t="shared" si="6"/>
        <v>-106472.35341172326</v>
      </c>
      <c r="F15" s="17">
        <f t="shared" si="0"/>
        <v>-251.6499180154299</v>
      </c>
      <c r="G15" s="18">
        <f t="shared" si="1"/>
        <v>-106724.0033297387</v>
      </c>
      <c r="H15" s="15">
        <v>0</v>
      </c>
      <c r="I15" s="16">
        <f t="shared" si="7"/>
        <v>0</v>
      </c>
      <c r="J15" s="17">
        <f t="shared" si="8"/>
        <v>0</v>
      </c>
      <c r="K15" s="18">
        <f t="shared" si="2"/>
        <v>0</v>
      </c>
      <c r="L15" s="82">
        <v>0</v>
      </c>
      <c r="M15" s="16">
        <f t="shared" si="9"/>
        <v>0</v>
      </c>
      <c r="N15" s="16">
        <f t="shared" si="10"/>
        <v>0</v>
      </c>
      <c r="O15" s="18">
        <f t="shared" si="3"/>
        <v>0</v>
      </c>
      <c r="P15" s="82">
        <v>0</v>
      </c>
      <c r="Q15" s="16">
        <f t="shared" si="11"/>
        <v>0</v>
      </c>
      <c r="R15" s="16">
        <f t="shared" si="12"/>
        <v>0</v>
      </c>
      <c r="S15" s="18">
        <f t="shared" si="4"/>
        <v>0</v>
      </c>
    </row>
    <row r="16" spans="1:20" x14ac:dyDescent="0.25">
      <c r="A16" s="13" t="s">
        <v>10</v>
      </c>
      <c r="B16" s="152" t="s">
        <v>299</v>
      </c>
      <c r="C16" s="14">
        <v>2.7000000000000001E-3</v>
      </c>
      <c r="D16" s="15">
        <f t="shared" si="5"/>
        <v>-26537.360145350296</v>
      </c>
      <c r="E16" s="16">
        <f t="shared" si="6"/>
        <v>-133261.36347508899</v>
      </c>
      <c r="F16" s="17">
        <f t="shared" si="0"/>
        <v>-323.98024518651744</v>
      </c>
      <c r="G16" s="18">
        <f t="shared" si="1"/>
        <v>-133585.3437202755</v>
      </c>
      <c r="H16" s="15">
        <v>0</v>
      </c>
      <c r="I16" s="16">
        <f t="shared" si="7"/>
        <v>0</v>
      </c>
      <c r="J16" s="17">
        <f t="shared" si="8"/>
        <v>0</v>
      </c>
      <c r="K16" s="18">
        <f t="shared" si="2"/>
        <v>0</v>
      </c>
      <c r="L16" s="82">
        <v>0</v>
      </c>
      <c r="M16" s="16">
        <f t="shared" si="9"/>
        <v>0</v>
      </c>
      <c r="N16" s="16">
        <f t="shared" si="10"/>
        <v>0</v>
      </c>
      <c r="O16" s="18">
        <f t="shared" si="3"/>
        <v>0</v>
      </c>
      <c r="P16" s="82">
        <v>0</v>
      </c>
      <c r="Q16" s="16">
        <f t="shared" si="11"/>
        <v>0</v>
      </c>
      <c r="R16" s="16">
        <f t="shared" si="12"/>
        <v>0</v>
      </c>
      <c r="S16" s="18">
        <f t="shared" si="4"/>
        <v>0</v>
      </c>
    </row>
    <row r="17" spans="1:19" x14ac:dyDescent="0.25">
      <c r="A17" s="13" t="s">
        <v>25</v>
      </c>
      <c r="B17" s="152" t="s">
        <v>299</v>
      </c>
      <c r="C17" s="14">
        <v>2.7000000000000001E-3</v>
      </c>
      <c r="D17" s="15">
        <f t="shared" si="5"/>
        <v>-26537.360145350296</v>
      </c>
      <c r="E17" s="16">
        <f t="shared" si="6"/>
        <v>-160122.70386562581</v>
      </c>
      <c r="F17" s="17">
        <f t="shared" si="0"/>
        <v>-396.50586424096684</v>
      </c>
      <c r="G17" s="18">
        <f t="shared" si="1"/>
        <v>-160519.20972986676</v>
      </c>
      <c r="H17" s="15">
        <v>0</v>
      </c>
      <c r="I17" s="16">
        <f t="shared" si="7"/>
        <v>0</v>
      </c>
      <c r="J17" s="17">
        <f t="shared" si="8"/>
        <v>0</v>
      </c>
      <c r="K17" s="18">
        <f t="shared" si="2"/>
        <v>0</v>
      </c>
      <c r="L17" s="82">
        <v>0</v>
      </c>
      <c r="M17" s="16">
        <f t="shared" si="9"/>
        <v>0</v>
      </c>
      <c r="N17" s="16">
        <f t="shared" si="10"/>
        <v>0</v>
      </c>
      <c r="O17" s="18">
        <f t="shared" si="3"/>
        <v>0</v>
      </c>
      <c r="P17" s="82">
        <v>0</v>
      </c>
      <c r="Q17" s="16">
        <f t="shared" si="11"/>
        <v>0</v>
      </c>
      <c r="R17" s="16">
        <f t="shared" si="12"/>
        <v>0</v>
      </c>
      <c r="S17" s="18">
        <f t="shared" si="4"/>
        <v>0</v>
      </c>
    </row>
    <row r="18" spans="1:19" x14ac:dyDescent="0.25">
      <c r="A18" s="13" t="s">
        <v>11</v>
      </c>
      <c r="B18" s="152" t="s">
        <v>299</v>
      </c>
      <c r="C18" s="14">
        <v>2.7000000000000001E-3</v>
      </c>
      <c r="D18" s="15">
        <f t="shared" si="5"/>
        <v>-26537.360145350296</v>
      </c>
      <c r="E18" s="16">
        <f t="shared" si="6"/>
        <v>-187056.56987521707</v>
      </c>
      <c r="F18" s="17">
        <f t="shared" si="0"/>
        <v>-469.22730246686325</v>
      </c>
      <c r="G18" s="18">
        <f t="shared" si="1"/>
        <v>-187525.79717768394</v>
      </c>
      <c r="H18" s="15">
        <v>0</v>
      </c>
      <c r="I18" s="16">
        <f t="shared" si="7"/>
        <v>0</v>
      </c>
      <c r="J18" s="17">
        <f t="shared" si="8"/>
        <v>0</v>
      </c>
      <c r="K18" s="18">
        <f t="shared" si="2"/>
        <v>0</v>
      </c>
      <c r="L18" s="82">
        <v>0</v>
      </c>
      <c r="M18" s="16">
        <f t="shared" si="9"/>
        <v>0</v>
      </c>
      <c r="N18" s="16">
        <f t="shared" si="10"/>
        <v>0</v>
      </c>
      <c r="O18" s="18">
        <f t="shared" si="3"/>
        <v>0</v>
      </c>
      <c r="P18" s="82">
        <v>0</v>
      </c>
      <c r="Q18" s="16">
        <f t="shared" si="11"/>
        <v>0</v>
      </c>
      <c r="R18" s="16">
        <f t="shared" si="12"/>
        <v>0</v>
      </c>
      <c r="S18" s="18">
        <f t="shared" si="4"/>
        <v>0</v>
      </c>
    </row>
    <row r="19" spans="1:19" x14ac:dyDescent="0.25">
      <c r="A19" s="13" t="s">
        <v>12</v>
      </c>
      <c r="B19" s="152" t="s">
        <v>299</v>
      </c>
      <c r="C19" s="14">
        <v>2.7000000000000001E-3</v>
      </c>
      <c r="D19" s="15">
        <f t="shared" si="5"/>
        <v>-26537.360145350296</v>
      </c>
      <c r="E19" s="16">
        <f t="shared" si="6"/>
        <v>-214063.15732303425</v>
      </c>
      <c r="F19" s="17">
        <f t="shared" si="0"/>
        <v>-542.14508857596957</v>
      </c>
      <c r="G19" s="18">
        <f t="shared" si="1"/>
        <v>-214605.3024116102</v>
      </c>
      <c r="H19" s="15">
        <v>0</v>
      </c>
      <c r="I19" s="16">
        <f t="shared" si="7"/>
        <v>0</v>
      </c>
      <c r="J19" s="17">
        <f t="shared" si="8"/>
        <v>0</v>
      </c>
      <c r="K19" s="18">
        <f t="shared" si="2"/>
        <v>0</v>
      </c>
      <c r="L19" s="82">
        <v>0</v>
      </c>
      <c r="M19" s="16">
        <f t="shared" si="9"/>
        <v>0</v>
      </c>
      <c r="N19" s="16">
        <f t="shared" si="10"/>
        <v>0</v>
      </c>
      <c r="O19" s="18">
        <f t="shared" si="3"/>
        <v>0</v>
      </c>
      <c r="P19" s="82">
        <v>0</v>
      </c>
      <c r="Q19" s="16">
        <f t="shared" si="11"/>
        <v>0</v>
      </c>
      <c r="R19" s="16">
        <f t="shared" si="12"/>
        <v>0</v>
      </c>
      <c r="S19" s="18">
        <f t="shared" si="4"/>
        <v>0</v>
      </c>
    </row>
    <row r="20" spans="1:19" x14ac:dyDescent="0.25">
      <c r="A20" s="13" t="s">
        <v>13</v>
      </c>
      <c r="B20" s="152" t="s">
        <v>299</v>
      </c>
      <c r="C20" s="14">
        <v>2.7000000000000001E-3</v>
      </c>
      <c r="D20" s="15">
        <f t="shared" si="5"/>
        <v>-26537.360145350296</v>
      </c>
      <c r="E20" s="16">
        <f t="shared" si="6"/>
        <v>-241142.66255696051</v>
      </c>
      <c r="F20" s="17">
        <f t="shared" si="0"/>
        <v>-615.25975270757056</v>
      </c>
      <c r="G20" s="18">
        <f t="shared" si="1"/>
        <v>-241757.92230966809</v>
      </c>
      <c r="H20" s="15">
        <v>0</v>
      </c>
      <c r="I20" s="16">
        <f t="shared" si="7"/>
        <v>0</v>
      </c>
      <c r="J20" s="17">
        <f t="shared" si="8"/>
        <v>0</v>
      </c>
      <c r="K20" s="18">
        <f t="shared" si="2"/>
        <v>0</v>
      </c>
      <c r="L20" s="82">
        <v>0</v>
      </c>
      <c r="M20" s="16">
        <f t="shared" si="9"/>
        <v>0</v>
      </c>
      <c r="N20" s="16">
        <f t="shared" si="10"/>
        <v>0</v>
      </c>
      <c r="O20" s="18">
        <f t="shared" si="3"/>
        <v>0</v>
      </c>
      <c r="P20" s="82">
        <v>0</v>
      </c>
      <c r="Q20" s="16">
        <f t="shared" si="11"/>
        <v>0</v>
      </c>
      <c r="R20" s="16">
        <f t="shared" si="12"/>
        <v>0</v>
      </c>
      <c r="S20" s="18">
        <f t="shared" si="4"/>
        <v>0</v>
      </c>
    </row>
    <row r="21" spans="1:19" x14ac:dyDescent="0.25">
      <c r="A21" s="13" t="s">
        <v>15</v>
      </c>
      <c r="B21" s="152" t="s">
        <v>299</v>
      </c>
      <c r="C21" s="14">
        <v>2.7000000000000001E-3</v>
      </c>
      <c r="D21" s="15">
        <f t="shared" si="5"/>
        <v>-26537.360145350296</v>
      </c>
      <c r="E21" s="16">
        <f t="shared" si="6"/>
        <v>-268295.28245501837</v>
      </c>
      <c r="F21" s="17">
        <f t="shared" ref="F21:F59" si="13">(((E21+G20))/2)*$C21</f>
        <v>-688.57182643232682</v>
      </c>
      <c r="G21" s="18">
        <f t="shared" si="1"/>
        <v>-268983.85428145068</v>
      </c>
      <c r="H21" s="15">
        <v>0</v>
      </c>
      <c r="I21" s="16">
        <f t="shared" si="7"/>
        <v>0</v>
      </c>
      <c r="J21" s="17">
        <f t="shared" si="8"/>
        <v>0</v>
      </c>
      <c r="K21" s="18">
        <f t="shared" si="2"/>
        <v>0</v>
      </c>
      <c r="L21" s="82">
        <v>0</v>
      </c>
      <c r="M21" s="16">
        <f t="shared" si="9"/>
        <v>0</v>
      </c>
      <c r="N21" s="16">
        <f t="shared" si="10"/>
        <v>0</v>
      </c>
      <c r="O21" s="18">
        <f t="shared" si="3"/>
        <v>0</v>
      </c>
      <c r="P21" s="82">
        <v>0</v>
      </c>
      <c r="Q21" s="16">
        <f t="shared" si="11"/>
        <v>0</v>
      </c>
      <c r="R21" s="16">
        <f t="shared" si="12"/>
        <v>0</v>
      </c>
      <c r="S21" s="18">
        <f t="shared" si="4"/>
        <v>0</v>
      </c>
    </row>
    <row r="22" spans="1:19" x14ac:dyDescent="0.25">
      <c r="A22" s="13" t="s">
        <v>14</v>
      </c>
      <c r="B22" s="152" t="s">
        <v>299</v>
      </c>
      <c r="C22" s="14">
        <v>2.7000000000000001E-3</v>
      </c>
      <c r="D22" s="15">
        <f t="shared" si="5"/>
        <v>-26537.360145350296</v>
      </c>
      <c r="E22" s="16">
        <f t="shared" si="6"/>
        <v>-295521.21442680096</v>
      </c>
      <c r="F22" s="17">
        <f t="shared" si="13"/>
        <v>-762.08184275613985</v>
      </c>
      <c r="G22" s="18">
        <f t="shared" si="1"/>
        <v>-296283.29626955709</v>
      </c>
      <c r="H22" s="15">
        <v>0</v>
      </c>
      <c r="I22" s="16">
        <f t="shared" si="7"/>
        <v>0</v>
      </c>
      <c r="J22" s="17">
        <f t="shared" si="8"/>
        <v>0</v>
      </c>
      <c r="K22" s="18">
        <f t="shared" si="2"/>
        <v>0</v>
      </c>
      <c r="L22" s="82">
        <v>0</v>
      </c>
      <c r="M22" s="16">
        <f t="shared" si="9"/>
        <v>0</v>
      </c>
      <c r="N22" s="16">
        <f t="shared" si="10"/>
        <v>0</v>
      </c>
      <c r="O22" s="18">
        <f t="shared" si="3"/>
        <v>0</v>
      </c>
      <c r="P22" s="82">
        <v>0</v>
      </c>
      <c r="Q22" s="16">
        <f t="shared" si="11"/>
        <v>0</v>
      </c>
      <c r="R22" s="16">
        <f t="shared" si="12"/>
        <v>0</v>
      </c>
      <c r="S22" s="18">
        <f t="shared" si="4"/>
        <v>0</v>
      </c>
    </row>
    <row r="23" spans="1:19" x14ac:dyDescent="0.25">
      <c r="A23" s="13" t="s">
        <v>6</v>
      </c>
      <c r="B23" s="152" t="s">
        <v>299</v>
      </c>
      <c r="C23" s="14">
        <v>2.7000000000000001E-3</v>
      </c>
      <c r="D23" s="15">
        <f t="shared" si="5"/>
        <v>-26537.360145350296</v>
      </c>
      <c r="E23" s="16">
        <f t="shared" si="6"/>
        <v>-322820.65641490737</v>
      </c>
      <c r="F23" s="17">
        <f t="shared" si="13"/>
        <v>-835.79033612402702</v>
      </c>
      <c r="G23" s="16">
        <f t="shared" si="1"/>
        <v>-323656.44675103138</v>
      </c>
      <c r="H23" s="82">
        <v>0</v>
      </c>
      <c r="I23" s="16">
        <f t="shared" si="7"/>
        <v>0</v>
      </c>
      <c r="J23" s="17">
        <f t="shared" si="8"/>
        <v>0</v>
      </c>
      <c r="K23" s="18">
        <f t="shared" si="2"/>
        <v>0</v>
      </c>
      <c r="L23" s="82">
        <v>0</v>
      </c>
      <c r="M23" s="16">
        <f t="shared" si="9"/>
        <v>0</v>
      </c>
      <c r="N23" s="16">
        <f>(((L23+O22))/2)*$C23</f>
        <v>0</v>
      </c>
      <c r="O23" s="18">
        <f t="shared" si="3"/>
        <v>0</v>
      </c>
      <c r="P23" s="82">
        <v>0</v>
      </c>
      <c r="Q23" s="16">
        <f t="shared" si="11"/>
        <v>0</v>
      </c>
      <c r="R23" s="16">
        <f t="shared" si="12"/>
        <v>0</v>
      </c>
      <c r="S23" s="18">
        <f t="shared" si="4"/>
        <v>0</v>
      </c>
    </row>
    <row r="24" spans="1:19" x14ac:dyDescent="0.25">
      <c r="A24" s="13" t="s">
        <v>7</v>
      </c>
      <c r="B24" s="32" t="s">
        <v>29</v>
      </c>
      <c r="C24" s="14">
        <v>2.7000000000000001E-3</v>
      </c>
      <c r="D24" s="15">
        <v>0</v>
      </c>
      <c r="E24" s="16">
        <f t="shared" si="6"/>
        <v>-323656.44675103138</v>
      </c>
      <c r="F24" s="17">
        <f t="shared" si="13"/>
        <v>-873.87240622778484</v>
      </c>
      <c r="G24" s="18">
        <f>E24+F24</f>
        <v>-324530.31915725919</v>
      </c>
      <c r="H24" s="15">
        <f>'WP-2013 True Up TRR Adj'!D8/12</f>
        <v>14067.302654137215</v>
      </c>
      <c r="I24" s="16">
        <f t="shared" si="7"/>
        <v>14067.302654137215</v>
      </c>
      <c r="J24" s="17">
        <f t="shared" si="8"/>
        <v>18.990858583085242</v>
      </c>
      <c r="K24" s="18">
        <f>I24+J24</f>
        <v>14086.2935127203</v>
      </c>
      <c r="L24" s="82">
        <v>0</v>
      </c>
      <c r="M24" s="16">
        <f t="shared" si="9"/>
        <v>0</v>
      </c>
      <c r="N24" s="16">
        <f t="shared" si="10"/>
        <v>0</v>
      </c>
      <c r="O24" s="18">
        <f>M24+N24</f>
        <v>0</v>
      </c>
      <c r="P24" s="82">
        <v>0</v>
      </c>
      <c r="Q24" s="16">
        <f t="shared" si="11"/>
        <v>0</v>
      </c>
      <c r="R24" s="16">
        <f t="shared" si="12"/>
        <v>0</v>
      </c>
      <c r="S24" s="18">
        <f>Q24+R24</f>
        <v>0</v>
      </c>
    </row>
    <row r="25" spans="1:19" x14ac:dyDescent="0.25">
      <c r="A25" s="13" t="s">
        <v>8</v>
      </c>
      <c r="B25" s="32" t="s">
        <v>29</v>
      </c>
      <c r="C25" s="14">
        <v>2.7000000000000001E-3</v>
      </c>
      <c r="D25" s="15">
        <v>0</v>
      </c>
      <c r="E25" s="16">
        <f t="shared" si="6"/>
        <v>-324530.31915725919</v>
      </c>
      <c r="F25" s="17">
        <f t="shared" si="13"/>
        <v>-876.23186172459987</v>
      </c>
      <c r="G25" s="18">
        <f t="shared" ref="G25:G46" si="14">E25+F25</f>
        <v>-325406.55101898377</v>
      </c>
      <c r="H25" s="15">
        <f t="shared" ref="H25:H35" si="15">H24</f>
        <v>14067.302654137215</v>
      </c>
      <c r="I25" s="16">
        <f t="shared" si="7"/>
        <v>28153.596166857515</v>
      </c>
      <c r="J25" s="17">
        <f t="shared" si="8"/>
        <v>57.023851067430051</v>
      </c>
      <c r="K25" s="18">
        <f t="shared" ref="K25:K47" si="16">I25+J25</f>
        <v>28210.620017924946</v>
      </c>
      <c r="L25" s="82">
        <v>0</v>
      </c>
      <c r="M25" s="16">
        <f t="shared" si="9"/>
        <v>0</v>
      </c>
      <c r="N25" s="16">
        <f t="shared" si="10"/>
        <v>0</v>
      </c>
      <c r="O25" s="18">
        <f t="shared" ref="O25:O47" si="17">M25+N25</f>
        <v>0</v>
      </c>
      <c r="P25" s="82">
        <v>0</v>
      </c>
      <c r="Q25" s="16">
        <f t="shared" si="11"/>
        <v>0</v>
      </c>
      <c r="R25" s="16">
        <f t="shared" si="12"/>
        <v>0</v>
      </c>
      <c r="S25" s="18">
        <f t="shared" ref="S25:S47" si="18">Q25+R25</f>
        <v>0</v>
      </c>
    </row>
    <row r="26" spans="1:19" x14ac:dyDescent="0.25">
      <c r="A26" s="13" t="s">
        <v>18</v>
      </c>
      <c r="B26" s="32" t="s">
        <v>29</v>
      </c>
      <c r="C26" s="14">
        <v>2.7000000000000001E-3</v>
      </c>
      <c r="D26" s="15">
        <v>0</v>
      </c>
      <c r="E26" s="16">
        <f t="shared" si="6"/>
        <v>-325406.55101898377</v>
      </c>
      <c r="F26" s="17">
        <f t="shared" si="13"/>
        <v>-878.59768775125622</v>
      </c>
      <c r="G26" s="18">
        <f t="shared" si="14"/>
        <v>-326285.148706735</v>
      </c>
      <c r="H26" s="15">
        <f t="shared" si="15"/>
        <v>14067.302654137215</v>
      </c>
      <c r="I26" s="16">
        <f t="shared" si="7"/>
        <v>42277.922672062159</v>
      </c>
      <c r="J26" s="17">
        <f t="shared" si="8"/>
        <v>95.159532631482605</v>
      </c>
      <c r="K26" s="18">
        <f t="shared" si="16"/>
        <v>42373.082204693645</v>
      </c>
      <c r="L26" s="82">
        <v>0</v>
      </c>
      <c r="M26" s="16">
        <f t="shared" si="9"/>
        <v>0</v>
      </c>
      <c r="N26" s="16">
        <f t="shared" si="10"/>
        <v>0</v>
      </c>
      <c r="O26" s="18">
        <f t="shared" si="17"/>
        <v>0</v>
      </c>
      <c r="P26" s="82">
        <v>0</v>
      </c>
      <c r="Q26" s="16">
        <f t="shared" si="11"/>
        <v>0</v>
      </c>
      <c r="R26" s="16">
        <f t="shared" si="12"/>
        <v>0</v>
      </c>
      <c r="S26" s="18">
        <f t="shared" si="18"/>
        <v>0</v>
      </c>
    </row>
    <row r="27" spans="1:19" x14ac:dyDescent="0.25">
      <c r="A27" s="13" t="s">
        <v>9</v>
      </c>
      <c r="B27" s="32" t="s">
        <v>29</v>
      </c>
      <c r="C27" s="14">
        <v>2.7000000000000001E-3</v>
      </c>
      <c r="D27" s="15">
        <v>0</v>
      </c>
      <c r="E27" s="16">
        <f t="shared" si="6"/>
        <v>-326285.148706735</v>
      </c>
      <c r="F27" s="17">
        <f t="shared" si="13"/>
        <v>-880.96990150818453</v>
      </c>
      <c r="G27" s="18">
        <f t="shared" si="14"/>
        <v>-327166.11860824318</v>
      </c>
      <c r="H27" s="15">
        <f t="shared" si="15"/>
        <v>14067.302654137215</v>
      </c>
      <c r="I27" s="16">
        <f t="shared" si="7"/>
        <v>56440.384858830861</v>
      </c>
      <c r="J27" s="17">
        <f t="shared" si="8"/>
        <v>133.39818053575809</v>
      </c>
      <c r="K27" s="18">
        <f t="shared" si="16"/>
        <v>56573.783039366623</v>
      </c>
      <c r="L27" s="82">
        <v>0</v>
      </c>
      <c r="M27" s="16">
        <f t="shared" si="9"/>
        <v>0</v>
      </c>
      <c r="N27" s="16">
        <f t="shared" si="10"/>
        <v>0</v>
      </c>
      <c r="O27" s="18">
        <f t="shared" si="17"/>
        <v>0</v>
      </c>
      <c r="P27" s="82">
        <v>0</v>
      </c>
      <c r="Q27" s="16">
        <f t="shared" si="11"/>
        <v>0</v>
      </c>
      <c r="R27" s="16">
        <f t="shared" si="12"/>
        <v>0</v>
      </c>
      <c r="S27" s="18">
        <f t="shared" si="18"/>
        <v>0</v>
      </c>
    </row>
    <row r="28" spans="1:19" x14ac:dyDescent="0.25">
      <c r="A28" s="13" t="s">
        <v>10</v>
      </c>
      <c r="B28" s="32" t="s">
        <v>29</v>
      </c>
      <c r="C28" s="14">
        <v>2.7000000000000001E-3</v>
      </c>
      <c r="D28" s="15">
        <v>0</v>
      </c>
      <c r="E28" s="16">
        <f t="shared" si="6"/>
        <v>-327166.11860824318</v>
      </c>
      <c r="F28" s="17">
        <f t="shared" si="13"/>
        <v>-883.34852024225665</v>
      </c>
      <c r="G28" s="18">
        <f t="shared" si="14"/>
        <v>-328049.46712848544</v>
      </c>
      <c r="H28" s="15">
        <f t="shared" si="15"/>
        <v>14067.302654137215</v>
      </c>
      <c r="I28" s="16">
        <f t="shared" si="7"/>
        <v>70641.085693503832</v>
      </c>
      <c r="J28" s="17">
        <f t="shared" si="8"/>
        <v>171.74007278937512</v>
      </c>
      <c r="K28" s="18">
        <f t="shared" si="16"/>
        <v>70812.825766293201</v>
      </c>
      <c r="L28" s="82">
        <v>0</v>
      </c>
      <c r="M28" s="16">
        <f t="shared" si="9"/>
        <v>0</v>
      </c>
      <c r="N28" s="16">
        <f t="shared" si="10"/>
        <v>0</v>
      </c>
      <c r="O28" s="18">
        <f t="shared" si="17"/>
        <v>0</v>
      </c>
      <c r="P28" s="82">
        <v>0</v>
      </c>
      <c r="Q28" s="16">
        <f t="shared" si="11"/>
        <v>0</v>
      </c>
      <c r="R28" s="16">
        <f t="shared" si="12"/>
        <v>0</v>
      </c>
      <c r="S28" s="18">
        <f t="shared" si="18"/>
        <v>0</v>
      </c>
    </row>
    <row r="29" spans="1:19" x14ac:dyDescent="0.25">
      <c r="A29" s="13" t="s">
        <v>25</v>
      </c>
      <c r="B29" s="32" t="s">
        <v>29</v>
      </c>
      <c r="C29" s="14">
        <v>2.7000000000000001E-3</v>
      </c>
      <c r="D29" s="15">
        <v>0</v>
      </c>
      <c r="E29" s="16">
        <f t="shared" si="6"/>
        <v>-328049.46712848544</v>
      </c>
      <c r="F29" s="17">
        <f t="shared" si="13"/>
        <v>-885.73356124691077</v>
      </c>
      <c r="G29" s="18">
        <f t="shared" si="14"/>
        <v>-328935.20068973233</v>
      </c>
      <c r="H29" s="15">
        <f t="shared" si="15"/>
        <v>14067.302654137215</v>
      </c>
      <c r="I29" s="16">
        <f t="shared" si="7"/>
        <v>84880.12842043041</v>
      </c>
      <c r="J29" s="17">
        <f t="shared" si="8"/>
        <v>210.18548815207691</v>
      </c>
      <c r="K29" s="18">
        <f t="shared" si="16"/>
        <v>85090.313908582481</v>
      </c>
      <c r="L29" s="82">
        <v>0</v>
      </c>
      <c r="M29" s="16">
        <f t="shared" si="9"/>
        <v>0</v>
      </c>
      <c r="N29" s="16">
        <f t="shared" si="10"/>
        <v>0</v>
      </c>
      <c r="O29" s="18">
        <f t="shared" si="17"/>
        <v>0</v>
      </c>
      <c r="P29" s="82">
        <v>0</v>
      </c>
      <c r="Q29" s="16">
        <f t="shared" si="11"/>
        <v>0</v>
      </c>
      <c r="R29" s="16">
        <f t="shared" si="12"/>
        <v>0</v>
      </c>
      <c r="S29" s="18">
        <f t="shared" si="18"/>
        <v>0</v>
      </c>
    </row>
    <row r="30" spans="1:19" x14ac:dyDescent="0.25">
      <c r="A30" s="13" t="s">
        <v>11</v>
      </c>
      <c r="B30" s="32" t="s">
        <v>29</v>
      </c>
      <c r="C30" s="14">
        <v>2.7000000000000001E-3</v>
      </c>
      <c r="D30" s="15">
        <v>0</v>
      </c>
      <c r="E30" s="16">
        <f t="shared" si="6"/>
        <v>-328935.20068973233</v>
      </c>
      <c r="F30" s="17">
        <f t="shared" si="13"/>
        <v>-888.12504186227739</v>
      </c>
      <c r="G30" s="18">
        <f t="shared" si="14"/>
        <v>-329823.32573159458</v>
      </c>
      <c r="H30" s="15">
        <f t="shared" si="15"/>
        <v>14067.302654137215</v>
      </c>
      <c r="I30" s="16">
        <f t="shared" si="7"/>
        <v>99157.61656271969</v>
      </c>
      <c r="J30" s="17">
        <f t="shared" si="8"/>
        <v>248.73470613625796</v>
      </c>
      <c r="K30" s="18">
        <f t="shared" si="16"/>
        <v>99406.351268855942</v>
      </c>
      <c r="L30" s="82">
        <v>0</v>
      </c>
      <c r="M30" s="16">
        <f t="shared" si="9"/>
        <v>0</v>
      </c>
      <c r="N30" s="16">
        <f t="shared" si="10"/>
        <v>0</v>
      </c>
      <c r="O30" s="18">
        <f t="shared" si="17"/>
        <v>0</v>
      </c>
      <c r="P30" s="82">
        <v>0</v>
      </c>
      <c r="Q30" s="16">
        <f t="shared" si="11"/>
        <v>0</v>
      </c>
      <c r="R30" s="16">
        <f t="shared" si="12"/>
        <v>0</v>
      </c>
      <c r="S30" s="18">
        <f t="shared" si="18"/>
        <v>0</v>
      </c>
    </row>
    <row r="31" spans="1:19" x14ac:dyDescent="0.25">
      <c r="A31" s="13" t="s">
        <v>12</v>
      </c>
      <c r="B31" s="32" t="s">
        <v>29</v>
      </c>
      <c r="C31" s="14">
        <v>2.7000000000000001E-3</v>
      </c>
      <c r="D31" s="15">
        <v>0</v>
      </c>
      <c r="E31" s="16">
        <f t="shared" si="6"/>
        <v>-329823.32573159458</v>
      </c>
      <c r="F31" s="17">
        <f t="shared" si="13"/>
        <v>-890.52297947530542</v>
      </c>
      <c r="G31" s="18">
        <f t="shared" si="14"/>
        <v>-330713.84871106991</v>
      </c>
      <c r="H31" s="15">
        <f t="shared" si="15"/>
        <v>14067.302654137215</v>
      </c>
      <c r="I31" s="16">
        <f t="shared" si="7"/>
        <v>113473.65392299315</v>
      </c>
      <c r="J31" s="17">
        <f t="shared" si="8"/>
        <v>287.38800700899628</v>
      </c>
      <c r="K31" s="18">
        <f t="shared" si="16"/>
        <v>113761.04193000215</v>
      </c>
      <c r="L31" s="82">
        <v>0</v>
      </c>
      <c r="M31" s="16">
        <f t="shared" si="9"/>
        <v>0</v>
      </c>
      <c r="N31" s="16">
        <f t="shared" si="10"/>
        <v>0</v>
      </c>
      <c r="O31" s="18">
        <f t="shared" si="17"/>
        <v>0</v>
      </c>
      <c r="P31" s="82">
        <v>0</v>
      </c>
      <c r="Q31" s="16">
        <f t="shared" si="11"/>
        <v>0</v>
      </c>
      <c r="R31" s="16">
        <f t="shared" si="12"/>
        <v>0</v>
      </c>
      <c r="S31" s="18">
        <f t="shared" si="18"/>
        <v>0</v>
      </c>
    </row>
    <row r="32" spans="1:19" x14ac:dyDescent="0.25">
      <c r="A32" s="13" t="s">
        <v>13</v>
      </c>
      <c r="B32" s="32" t="s">
        <v>29</v>
      </c>
      <c r="C32" s="14">
        <v>2.7000000000000001E-3</v>
      </c>
      <c r="D32" s="15">
        <v>0</v>
      </c>
      <c r="E32" s="16">
        <f t="shared" si="6"/>
        <v>-330713.84871106991</v>
      </c>
      <c r="F32" s="17">
        <f t="shared" si="13"/>
        <v>-892.92739151988883</v>
      </c>
      <c r="G32" s="18">
        <f t="shared" si="14"/>
        <v>-331606.77610258979</v>
      </c>
      <c r="H32" s="15">
        <f t="shared" si="15"/>
        <v>14067.302654137215</v>
      </c>
      <c r="I32" s="16">
        <f t="shared" si="7"/>
        <v>127828.34458413935</v>
      </c>
      <c r="J32" s="17">
        <f t="shared" si="8"/>
        <v>326.14567179409107</v>
      </c>
      <c r="K32" s="18">
        <f t="shared" si="16"/>
        <v>128154.49025593344</v>
      </c>
      <c r="L32" s="82">
        <v>0</v>
      </c>
      <c r="M32" s="16">
        <f t="shared" si="9"/>
        <v>0</v>
      </c>
      <c r="N32" s="16">
        <f t="shared" si="10"/>
        <v>0</v>
      </c>
      <c r="O32" s="18">
        <f t="shared" si="17"/>
        <v>0</v>
      </c>
      <c r="P32" s="82">
        <v>0</v>
      </c>
      <c r="Q32" s="16">
        <f t="shared" si="11"/>
        <v>0</v>
      </c>
      <c r="R32" s="16">
        <f t="shared" si="12"/>
        <v>0</v>
      </c>
      <c r="S32" s="18">
        <f t="shared" si="18"/>
        <v>0</v>
      </c>
    </row>
    <row r="33" spans="1:19" x14ac:dyDescent="0.25">
      <c r="A33" s="13" t="s">
        <v>15</v>
      </c>
      <c r="B33" s="32" t="s">
        <v>29</v>
      </c>
      <c r="C33" s="14">
        <v>2.7000000000000001E-3</v>
      </c>
      <c r="D33" s="15">
        <v>0</v>
      </c>
      <c r="E33" s="16">
        <f t="shared" si="6"/>
        <v>-331606.77610258979</v>
      </c>
      <c r="F33" s="17">
        <f t="shared" si="13"/>
        <v>-895.33829547699247</v>
      </c>
      <c r="G33" s="18">
        <f t="shared" si="14"/>
        <v>-332502.11439806677</v>
      </c>
      <c r="H33" s="15">
        <f t="shared" si="15"/>
        <v>14067.302654137215</v>
      </c>
      <c r="I33" s="16">
        <f t="shared" si="7"/>
        <v>142221.79291007065</v>
      </c>
      <c r="J33" s="17">
        <f t="shared" si="8"/>
        <v>365.00798227410559</v>
      </c>
      <c r="K33" s="18">
        <f t="shared" si="16"/>
        <v>142586.80089234476</v>
      </c>
      <c r="L33" s="82">
        <v>0</v>
      </c>
      <c r="M33" s="16">
        <f t="shared" si="9"/>
        <v>0</v>
      </c>
      <c r="N33" s="16">
        <f t="shared" si="10"/>
        <v>0</v>
      </c>
      <c r="O33" s="18">
        <f t="shared" si="17"/>
        <v>0</v>
      </c>
      <c r="P33" s="82">
        <v>0</v>
      </c>
      <c r="Q33" s="16">
        <f t="shared" si="11"/>
        <v>0</v>
      </c>
      <c r="R33" s="16">
        <f t="shared" si="12"/>
        <v>0</v>
      </c>
      <c r="S33" s="18">
        <f t="shared" si="18"/>
        <v>0</v>
      </c>
    </row>
    <row r="34" spans="1:19" x14ac:dyDescent="0.25">
      <c r="A34" s="13" t="s">
        <v>14</v>
      </c>
      <c r="B34" s="32" t="s">
        <v>29</v>
      </c>
      <c r="C34" s="14">
        <v>2.7000000000000001E-3</v>
      </c>
      <c r="D34" s="15">
        <v>0</v>
      </c>
      <c r="E34" s="16">
        <f t="shared" si="6"/>
        <v>-332502.11439806677</v>
      </c>
      <c r="F34" s="17">
        <f t="shared" si="13"/>
        <v>-897.75570887478034</v>
      </c>
      <c r="G34" s="18">
        <f t="shared" si="14"/>
        <v>-333399.87010694155</v>
      </c>
      <c r="H34" s="15">
        <f t="shared" si="15"/>
        <v>14067.302654137215</v>
      </c>
      <c r="I34" s="16">
        <f t="shared" si="7"/>
        <v>156654.10354648199</v>
      </c>
      <c r="J34" s="17">
        <f t="shared" si="8"/>
        <v>403.9752209924161</v>
      </c>
      <c r="K34" s="18">
        <f t="shared" si="16"/>
        <v>157058.07876747439</v>
      </c>
      <c r="L34" s="82">
        <v>0</v>
      </c>
      <c r="M34" s="16">
        <f t="shared" si="9"/>
        <v>0</v>
      </c>
      <c r="N34" s="16">
        <f t="shared" si="10"/>
        <v>0</v>
      </c>
      <c r="O34" s="18">
        <f t="shared" si="17"/>
        <v>0</v>
      </c>
      <c r="P34" s="82">
        <v>0</v>
      </c>
      <c r="Q34" s="16">
        <f t="shared" si="11"/>
        <v>0</v>
      </c>
      <c r="R34" s="16">
        <f t="shared" si="12"/>
        <v>0</v>
      </c>
      <c r="S34" s="18">
        <f t="shared" si="18"/>
        <v>0</v>
      </c>
    </row>
    <row r="35" spans="1:19" x14ac:dyDescent="0.25">
      <c r="A35" s="13" t="s">
        <v>6</v>
      </c>
      <c r="B35" s="32" t="s">
        <v>29</v>
      </c>
      <c r="C35" s="14">
        <v>2.7000000000000001E-3</v>
      </c>
      <c r="D35" s="15">
        <v>0</v>
      </c>
      <c r="E35" s="16">
        <f t="shared" si="6"/>
        <v>-333399.87010694155</v>
      </c>
      <c r="F35" s="17">
        <f t="shared" si="13"/>
        <v>-900.17964928874221</v>
      </c>
      <c r="G35" s="16">
        <f t="shared" si="14"/>
        <v>-334300.04975623032</v>
      </c>
      <c r="H35" s="82">
        <f t="shared" si="15"/>
        <v>14067.302654137215</v>
      </c>
      <c r="I35" s="16">
        <f t="shared" si="7"/>
        <v>171125.38142161162</v>
      </c>
      <c r="J35" s="17">
        <f t="shared" si="8"/>
        <v>443.04767125526615</v>
      </c>
      <c r="K35" s="18">
        <f t="shared" si="16"/>
        <v>171568.42909286689</v>
      </c>
      <c r="L35" s="82">
        <v>0</v>
      </c>
      <c r="M35" s="16">
        <f t="shared" si="9"/>
        <v>0</v>
      </c>
      <c r="N35" s="16">
        <f t="shared" si="10"/>
        <v>0</v>
      </c>
      <c r="O35" s="18">
        <f t="shared" si="17"/>
        <v>0</v>
      </c>
      <c r="P35" s="82">
        <v>0</v>
      </c>
      <c r="Q35" s="16">
        <f t="shared" si="11"/>
        <v>0</v>
      </c>
      <c r="R35" s="16">
        <f t="shared" si="12"/>
        <v>0</v>
      </c>
      <c r="S35" s="18">
        <f t="shared" si="18"/>
        <v>0</v>
      </c>
    </row>
    <row r="36" spans="1:19" x14ac:dyDescent="0.25">
      <c r="A36" s="13" t="s">
        <v>7</v>
      </c>
      <c r="B36" s="129" t="s">
        <v>289</v>
      </c>
      <c r="C36" s="14">
        <v>2.7000000000000001E-3</v>
      </c>
      <c r="D36" s="15">
        <v>0</v>
      </c>
      <c r="E36" s="16">
        <f t="shared" si="6"/>
        <v>-334300.04975623032</v>
      </c>
      <c r="F36" s="17">
        <f t="shared" si="13"/>
        <v>-902.61013434182189</v>
      </c>
      <c r="G36" s="16">
        <f t="shared" si="14"/>
        <v>-335202.65989057213</v>
      </c>
      <c r="H36" s="82">
        <v>0</v>
      </c>
      <c r="I36" s="16">
        <f t="shared" si="7"/>
        <v>171568.42909286689</v>
      </c>
      <c r="J36" s="17">
        <f t="shared" si="8"/>
        <v>463.23475855074065</v>
      </c>
      <c r="K36" s="83">
        <f t="shared" si="16"/>
        <v>172031.66385141763</v>
      </c>
      <c r="L36" s="82">
        <f>('WP-2014 True Up TRR Adj'!D8)/12</f>
        <v>20375.757184644539</v>
      </c>
      <c r="M36" s="16">
        <f>L36+O35</f>
        <v>20375.757184644539</v>
      </c>
      <c r="N36" s="16">
        <f>(((L36+O35))/2)*$C36</f>
        <v>27.50727219927013</v>
      </c>
      <c r="O36" s="83">
        <f>M36+N36</f>
        <v>20403.264456843808</v>
      </c>
      <c r="P36" s="82">
        <v>0</v>
      </c>
      <c r="Q36" s="16">
        <f t="shared" si="11"/>
        <v>0</v>
      </c>
      <c r="R36" s="16">
        <f>(((P36+S35))/2)*$C36</f>
        <v>0</v>
      </c>
      <c r="S36" s="83">
        <f t="shared" si="18"/>
        <v>0</v>
      </c>
    </row>
    <row r="37" spans="1:19" x14ac:dyDescent="0.25">
      <c r="A37" s="13" t="s">
        <v>8</v>
      </c>
      <c r="B37" s="129" t="s">
        <v>289</v>
      </c>
      <c r="C37" s="14">
        <v>2.7000000000000001E-3</v>
      </c>
      <c r="D37" s="15">
        <v>0</v>
      </c>
      <c r="E37" s="16">
        <f t="shared" si="6"/>
        <v>-335202.65989057213</v>
      </c>
      <c r="F37" s="17">
        <f t="shared" si="13"/>
        <v>-905.04718170454476</v>
      </c>
      <c r="G37" s="16">
        <f t="shared" si="14"/>
        <v>-336107.70707227668</v>
      </c>
      <c r="H37" s="82">
        <v>0</v>
      </c>
      <c r="I37" s="16">
        <f t="shared" si="7"/>
        <v>172031.66385141763</v>
      </c>
      <c r="J37" s="17">
        <f t="shared" si="8"/>
        <v>464.4854923988276</v>
      </c>
      <c r="K37" s="83">
        <f t="shared" si="16"/>
        <v>172496.14934381645</v>
      </c>
      <c r="L37" s="82">
        <f>L36</f>
        <v>20375.757184644539</v>
      </c>
      <c r="M37" s="16">
        <f t="shared" ref="M37:M47" si="19">L37+O36</f>
        <v>40779.021641488347</v>
      </c>
      <c r="N37" s="16">
        <f>(((L37+O36))/2)*$C37</f>
        <v>55.051679216009269</v>
      </c>
      <c r="O37" s="83">
        <f t="shared" si="17"/>
        <v>40834.07332070436</v>
      </c>
      <c r="P37" s="82">
        <v>0</v>
      </c>
      <c r="Q37" s="16">
        <f t="shared" si="11"/>
        <v>0</v>
      </c>
      <c r="R37" s="16">
        <f t="shared" si="12"/>
        <v>0</v>
      </c>
      <c r="S37" s="83">
        <f t="shared" si="18"/>
        <v>0</v>
      </c>
    </row>
    <row r="38" spans="1:19" x14ac:dyDescent="0.25">
      <c r="A38" s="13" t="s">
        <v>18</v>
      </c>
      <c r="B38" s="129" t="s">
        <v>289</v>
      </c>
      <c r="C38" s="14">
        <v>2.7000000000000001E-3</v>
      </c>
      <c r="D38" s="15">
        <v>0</v>
      </c>
      <c r="E38" s="16">
        <f t="shared" si="6"/>
        <v>-336107.70707227668</v>
      </c>
      <c r="F38" s="17">
        <f t="shared" si="13"/>
        <v>-907.49080909514703</v>
      </c>
      <c r="G38" s="16">
        <f t="shared" si="14"/>
        <v>-337015.19788137183</v>
      </c>
      <c r="H38" s="82">
        <v>0</v>
      </c>
      <c r="I38" s="16">
        <f t="shared" si="7"/>
        <v>172496.14934381645</v>
      </c>
      <c r="J38" s="17">
        <f t="shared" si="8"/>
        <v>465.73960322830442</v>
      </c>
      <c r="K38" s="83">
        <f t="shared" si="16"/>
        <v>172961.88894704476</v>
      </c>
      <c r="L38" s="82">
        <f t="shared" ref="L38:L47" si="20">L37</f>
        <v>20375.757184644539</v>
      </c>
      <c r="M38" s="16">
        <f t="shared" si="19"/>
        <v>61209.830505348902</v>
      </c>
      <c r="N38" s="16">
        <f t="shared" si="10"/>
        <v>82.633271182221023</v>
      </c>
      <c r="O38" s="83">
        <f t="shared" si="17"/>
        <v>61292.46377653112</v>
      </c>
      <c r="P38" s="82">
        <v>0</v>
      </c>
      <c r="Q38" s="16">
        <f t="shared" si="11"/>
        <v>0</v>
      </c>
      <c r="R38" s="16">
        <f t="shared" si="12"/>
        <v>0</v>
      </c>
      <c r="S38" s="83">
        <f t="shared" si="18"/>
        <v>0</v>
      </c>
    </row>
    <row r="39" spans="1:19" x14ac:dyDescent="0.25">
      <c r="A39" s="13" t="s">
        <v>9</v>
      </c>
      <c r="B39" s="129" t="s">
        <v>289</v>
      </c>
      <c r="C39" s="14">
        <v>2.7000000000000001E-3</v>
      </c>
      <c r="D39" s="15">
        <v>0</v>
      </c>
      <c r="E39" s="16">
        <f t="shared" si="6"/>
        <v>-337015.19788137183</v>
      </c>
      <c r="F39" s="17">
        <f t="shared" si="13"/>
        <v>-909.94103427970401</v>
      </c>
      <c r="G39" s="16">
        <f t="shared" si="14"/>
        <v>-337925.13891565154</v>
      </c>
      <c r="H39" s="82">
        <v>0</v>
      </c>
      <c r="I39" s="16">
        <f t="shared" si="7"/>
        <v>172961.88894704476</v>
      </c>
      <c r="J39" s="17">
        <f t="shared" si="8"/>
        <v>466.9971001570209</v>
      </c>
      <c r="K39" s="83">
        <f t="shared" si="16"/>
        <v>173428.88604720178</v>
      </c>
      <c r="L39" s="82">
        <f t="shared" si="20"/>
        <v>20375.757184644539</v>
      </c>
      <c r="M39" s="16">
        <f t="shared" si="19"/>
        <v>81668.220961175655</v>
      </c>
      <c r="N39" s="16">
        <f t="shared" si="10"/>
        <v>110.25209829758714</v>
      </c>
      <c r="O39" s="83">
        <f t="shared" si="17"/>
        <v>81778.473059473239</v>
      </c>
      <c r="P39" s="82">
        <v>0</v>
      </c>
      <c r="Q39" s="16">
        <f t="shared" si="11"/>
        <v>0</v>
      </c>
      <c r="R39" s="16">
        <f t="shared" si="12"/>
        <v>0</v>
      </c>
      <c r="S39" s="83">
        <f t="shared" si="18"/>
        <v>0</v>
      </c>
    </row>
    <row r="40" spans="1:19" x14ac:dyDescent="0.25">
      <c r="A40" s="13" t="s">
        <v>10</v>
      </c>
      <c r="B40" s="129" t="s">
        <v>289</v>
      </c>
      <c r="C40" s="14">
        <v>2.7000000000000001E-3</v>
      </c>
      <c r="D40" s="15">
        <v>0</v>
      </c>
      <c r="E40" s="16">
        <f t="shared" si="6"/>
        <v>-337925.13891565154</v>
      </c>
      <c r="F40" s="17">
        <f t="shared" si="13"/>
        <v>-912.39787507225924</v>
      </c>
      <c r="G40" s="16">
        <f t="shared" si="14"/>
        <v>-338837.5367907238</v>
      </c>
      <c r="H40" s="82">
        <v>0</v>
      </c>
      <c r="I40" s="16">
        <f t="shared" si="7"/>
        <v>173428.88604720178</v>
      </c>
      <c r="J40" s="17">
        <f t="shared" si="8"/>
        <v>468.25799232744487</v>
      </c>
      <c r="K40" s="83">
        <f t="shared" si="16"/>
        <v>173897.14403952923</v>
      </c>
      <c r="L40" s="82">
        <f t="shared" si="20"/>
        <v>20375.757184644539</v>
      </c>
      <c r="M40" s="16">
        <f t="shared" si="19"/>
        <v>102154.23024411777</v>
      </c>
      <c r="N40" s="16">
        <f t="shared" si="10"/>
        <v>137.90821082955901</v>
      </c>
      <c r="O40" s="83">
        <f t="shared" si="17"/>
        <v>102292.13845494733</v>
      </c>
      <c r="P40" s="82">
        <v>0</v>
      </c>
      <c r="Q40" s="16">
        <f t="shared" si="11"/>
        <v>0</v>
      </c>
      <c r="R40" s="16">
        <f t="shared" si="12"/>
        <v>0</v>
      </c>
      <c r="S40" s="83">
        <f t="shared" si="18"/>
        <v>0</v>
      </c>
    </row>
    <row r="41" spans="1:19" x14ac:dyDescent="0.25">
      <c r="A41" s="13" t="s">
        <v>25</v>
      </c>
      <c r="B41" s="129" t="s">
        <v>289</v>
      </c>
      <c r="C41" s="14">
        <v>2.7000000000000001E-3</v>
      </c>
      <c r="D41" s="15">
        <v>0</v>
      </c>
      <c r="E41" s="16">
        <f t="shared" si="6"/>
        <v>-338837.5367907238</v>
      </c>
      <c r="F41" s="17">
        <f t="shared" si="13"/>
        <v>-914.8613493349543</v>
      </c>
      <c r="G41" s="18">
        <f t="shared" si="14"/>
        <v>-339752.39814005874</v>
      </c>
      <c r="H41" s="15">
        <v>0</v>
      </c>
      <c r="I41" s="16">
        <f t="shared" si="7"/>
        <v>173897.14403952923</v>
      </c>
      <c r="J41" s="17">
        <f t="shared" si="8"/>
        <v>469.52228890672893</v>
      </c>
      <c r="K41" s="83">
        <f t="shared" si="16"/>
        <v>174366.66632843597</v>
      </c>
      <c r="L41" s="82">
        <f t="shared" si="20"/>
        <v>20375.757184644539</v>
      </c>
      <c r="M41" s="16">
        <f t="shared" si="19"/>
        <v>122667.89563959186</v>
      </c>
      <c r="N41" s="16">
        <f t="shared" si="10"/>
        <v>165.60165911344902</v>
      </c>
      <c r="O41" s="83">
        <f t="shared" si="17"/>
        <v>122833.49729870532</v>
      </c>
      <c r="P41" s="82">
        <v>0</v>
      </c>
      <c r="Q41" s="16">
        <f t="shared" si="11"/>
        <v>0</v>
      </c>
      <c r="R41" s="16">
        <f t="shared" si="12"/>
        <v>0</v>
      </c>
      <c r="S41" s="83">
        <f t="shared" si="18"/>
        <v>0</v>
      </c>
    </row>
    <row r="42" spans="1:19" x14ac:dyDescent="0.25">
      <c r="A42" s="13" t="s">
        <v>11</v>
      </c>
      <c r="B42" s="129" t="s">
        <v>289</v>
      </c>
      <c r="C42" s="14">
        <v>2.7000000000000001E-3</v>
      </c>
      <c r="D42" s="15">
        <v>0</v>
      </c>
      <c r="E42" s="16">
        <f t="shared" si="6"/>
        <v>-339752.39814005874</v>
      </c>
      <c r="F42" s="17">
        <f t="shared" si="13"/>
        <v>-917.33147497815867</v>
      </c>
      <c r="G42" s="16">
        <f t="shared" si="14"/>
        <v>-340669.72961503692</v>
      </c>
      <c r="H42" s="82">
        <v>0</v>
      </c>
      <c r="I42" s="16">
        <f t="shared" si="7"/>
        <v>174366.66632843597</v>
      </c>
      <c r="J42" s="17">
        <f>(((I42+K41))/2)*$C42</f>
        <v>470.78999908677713</v>
      </c>
      <c r="K42" s="83">
        <f t="shared" si="16"/>
        <v>174837.45632752276</v>
      </c>
      <c r="L42" s="82">
        <f t="shared" si="20"/>
        <v>20375.757184644539</v>
      </c>
      <c r="M42" s="16">
        <f t="shared" si="19"/>
        <v>143209.25448334985</v>
      </c>
      <c r="N42" s="16">
        <f t="shared" si="10"/>
        <v>193.33249355252232</v>
      </c>
      <c r="O42" s="83">
        <f t="shared" si="17"/>
        <v>143402.58697690238</v>
      </c>
      <c r="P42" s="82">
        <v>0</v>
      </c>
      <c r="Q42" s="16">
        <f t="shared" si="11"/>
        <v>0</v>
      </c>
      <c r="R42" s="16">
        <f t="shared" si="12"/>
        <v>0</v>
      </c>
      <c r="S42" s="83">
        <f t="shared" si="18"/>
        <v>0</v>
      </c>
    </row>
    <row r="43" spans="1:19" x14ac:dyDescent="0.25">
      <c r="A43" s="13" t="s">
        <v>12</v>
      </c>
      <c r="B43" s="129" t="s">
        <v>289</v>
      </c>
      <c r="C43" s="14">
        <v>2.7000000000000001E-3</v>
      </c>
      <c r="D43" s="15">
        <v>0</v>
      </c>
      <c r="E43" s="16">
        <f t="shared" si="6"/>
        <v>-340669.72961503692</v>
      </c>
      <c r="F43" s="17">
        <f t="shared" si="13"/>
        <v>-919.80826996059977</v>
      </c>
      <c r="G43" s="18">
        <f t="shared" si="14"/>
        <v>-341589.53788499749</v>
      </c>
      <c r="H43" s="15">
        <v>0</v>
      </c>
      <c r="I43" s="16">
        <f t="shared" si="7"/>
        <v>174837.45632752276</v>
      </c>
      <c r="J43" s="17">
        <f t="shared" si="8"/>
        <v>472.06113208431145</v>
      </c>
      <c r="K43" s="83">
        <f t="shared" si="16"/>
        <v>175309.51745960707</v>
      </c>
      <c r="L43" s="82">
        <f t="shared" si="20"/>
        <v>20375.757184644539</v>
      </c>
      <c r="M43" s="16">
        <f t="shared" si="19"/>
        <v>163778.34416154693</v>
      </c>
      <c r="N43" s="16">
        <f t="shared" si="10"/>
        <v>221.10076461808836</v>
      </c>
      <c r="O43" s="83">
        <f t="shared" si="17"/>
        <v>163999.44492616502</v>
      </c>
      <c r="P43" s="82">
        <v>0</v>
      </c>
      <c r="Q43" s="16">
        <f t="shared" si="11"/>
        <v>0</v>
      </c>
      <c r="R43" s="16">
        <f t="shared" si="12"/>
        <v>0</v>
      </c>
      <c r="S43" s="83">
        <f t="shared" si="18"/>
        <v>0</v>
      </c>
    </row>
    <row r="44" spans="1:19" x14ac:dyDescent="0.25">
      <c r="A44" s="13" t="s">
        <v>13</v>
      </c>
      <c r="B44" s="129" t="s">
        <v>289</v>
      </c>
      <c r="C44" s="14">
        <v>2.7000000000000001E-3</v>
      </c>
      <c r="D44" s="15">
        <v>0</v>
      </c>
      <c r="E44" s="16">
        <f t="shared" si="6"/>
        <v>-341589.53788499749</v>
      </c>
      <c r="F44" s="17">
        <f t="shared" si="13"/>
        <v>-922.29175228949327</v>
      </c>
      <c r="G44" s="16">
        <f t="shared" si="14"/>
        <v>-342511.82963728701</v>
      </c>
      <c r="H44" s="82">
        <v>0</v>
      </c>
      <c r="I44" s="16">
        <f t="shared" si="7"/>
        <v>175309.51745960707</v>
      </c>
      <c r="J44" s="17">
        <f t="shared" si="8"/>
        <v>473.33569714093915</v>
      </c>
      <c r="K44" s="83">
        <f t="shared" si="16"/>
        <v>175782.85315674802</v>
      </c>
      <c r="L44" s="82">
        <f t="shared" si="20"/>
        <v>20375.757184644539</v>
      </c>
      <c r="M44" s="16">
        <f t="shared" si="19"/>
        <v>184375.20211080957</v>
      </c>
      <c r="N44" s="16">
        <f t="shared" si="10"/>
        <v>248.90652284959293</v>
      </c>
      <c r="O44" s="83">
        <f t="shared" si="17"/>
        <v>184624.10863365917</v>
      </c>
      <c r="P44" s="82">
        <v>0</v>
      </c>
      <c r="Q44" s="16">
        <f t="shared" si="11"/>
        <v>0</v>
      </c>
      <c r="R44" s="16">
        <f t="shared" si="12"/>
        <v>0</v>
      </c>
      <c r="S44" s="83">
        <f t="shared" si="18"/>
        <v>0</v>
      </c>
    </row>
    <row r="45" spans="1:19" x14ac:dyDescent="0.25">
      <c r="A45" s="13" t="s">
        <v>15</v>
      </c>
      <c r="B45" s="129" t="s">
        <v>289</v>
      </c>
      <c r="C45" s="14">
        <v>2.7000000000000001E-3</v>
      </c>
      <c r="D45" s="15">
        <v>0</v>
      </c>
      <c r="E45" s="16">
        <f t="shared" si="6"/>
        <v>-342511.82963728701</v>
      </c>
      <c r="F45" s="17">
        <f t="shared" si="13"/>
        <v>-924.78194002067494</v>
      </c>
      <c r="G45" s="16">
        <f t="shared" si="14"/>
        <v>-343436.61157730769</v>
      </c>
      <c r="H45" s="82">
        <v>0</v>
      </c>
      <c r="I45" s="16">
        <f t="shared" si="7"/>
        <v>175782.85315674802</v>
      </c>
      <c r="J45" s="17">
        <f t="shared" si="8"/>
        <v>474.61370352321967</v>
      </c>
      <c r="K45" s="83">
        <f t="shared" si="16"/>
        <v>176257.46686027123</v>
      </c>
      <c r="L45" s="82">
        <f t="shared" si="20"/>
        <v>20375.757184644539</v>
      </c>
      <c r="M45" s="16">
        <f t="shared" si="19"/>
        <v>204999.86581830372</v>
      </c>
      <c r="N45" s="16">
        <f t="shared" si="10"/>
        <v>276.74981885471004</v>
      </c>
      <c r="O45" s="83">
        <f t="shared" si="17"/>
        <v>205276.61563715842</v>
      </c>
      <c r="P45" s="82">
        <v>0</v>
      </c>
      <c r="Q45" s="16">
        <f t="shared" si="11"/>
        <v>0</v>
      </c>
      <c r="R45" s="16">
        <f t="shared" si="12"/>
        <v>0</v>
      </c>
      <c r="S45" s="83">
        <f t="shared" si="18"/>
        <v>0</v>
      </c>
    </row>
    <row r="46" spans="1:19" x14ac:dyDescent="0.25">
      <c r="A46" s="13" t="s">
        <v>14</v>
      </c>
      <c r="B46" s="129" t="s">
        <v>289</v>
      </c>
      <c r="C46" s="14">
        <v>2.7000000000000001E-3</v>
      </c>
      <c r="D46" s="15">
        <v>0</v>
      </c>
      <c r="E46" s="16">
        <f t="shared" si="6"/>
        <v>-343436.61157730769</v>
      </c>
      <c r="F46" s="17">
        <f t="shared" si="13"/>
        <v>-927.27885125873081</v>
      </c>
      <c r="G46" s="16">
        <f t="shared" si="14"/>
        <v>-344363.89042856643</v>
      </c>
      <c r="H46" s="82">
        <v>0</v>
      </c>
      <c r="I46" s="16">
        <f t="shared" si="7"/>
        <v>176257.46686027123</v>
      </c>
      <c r="J46" s="17">
        <f t="shared" si="8"/>
        <v>475.89516052273234</v>
      </c>
      <c r="K46" s="83">
        <f t="shared" si="16"/>
        <v>176733.36202079395</v>
      </c>
      <c r="L46" s="82">
        <f t="shared" si="20"/>
        <v>20375.757184644539</v>
      </c>
      <c r="M46" s="16">
        <f t="shared" si="19"/>
        <v>225652.37282180297</v>
      </c>
      <c r="N46" s="16">
        <f t="shared" si="10"/>
        <v>304.63070330943401</v>
      </c>
      <c r="O46" s="83">
        <f t="shared" si="17"/>
        <v>225957.00352511241</v>
      </c>
      <c r="P46" s="82">
        <v>0</v>
      </c>
      <c r="Q46" s="16">
        <f t="shared" si="11"/>
        <v>0</v>
      </c>
      <c r="R46" s="16">
        <f t="shared" si="12"/>
        <v>0</v>
      </c>
      <c r="S46" s="83">
        <f t="shared" si="18"/>
        <v>0</v>
      </c>
    </row>
    <row r="47" spans="1:19" x14ac:dyDescent="0.25">
      <c r="A47" s="13" t="s">
        <v>6</v>
      </c>
      <c r="B47" s="129" t="s">
        <v>289</v>
      </c>
      <c r="C47" s="14">
        <v>2.7000000000000001E-3</v>
      </c>
      <c r="D47" s="15">
        <v>0</v>
      </c>
      <c r="E47" s="16">
        <f t="shared" si="6"/>
        <v>-344363.89042856643</v>
      </c>
      <c r="F47" s="17">
        <f t="shared" si="13"/>
        <v>-929.78250415712944</v>
      </c>
      <c r="G47" s="16">
        <f>E47+F47</f>
        <v>-345293.67293272354</v>
      </c>
      <c r="H47" s="82">
        <v>0</v>
      </c>
      <c r="I47" s="16">
        <f t="shared" si="7"/>
        <v>176733.36202079395</v>
      </c>
      <c r="J47" s="17">
        <f t="shared" si="8"/>
        <v>477.18007745614369</v>
      </c>
      <c r="K47" s="83">
        <f t="shared" si="16"/>
        <v>177210.54209825009</v>
      </c>
      <c r="L47" s="82">
        <f t="shared" si="20"/>
        <v>20375.757184644539</v>
      </c>
      <c r="M47" s="16">
        <f t="shared" si="19"/>
        <v>246332.76070975696</v>
      </c>
      <c r="N47" s="16">
        <f t="shared" si="10"/>
        <v>332.54922695817191</v>
      </c>
      <c r="O47" s="83">
        <f t="shared" si="17"/>
        <v>246665.30993671512</v>
      </c>
      <c r="P47" s="82">
        <v>0</v>
      </c>
      <c r="Q47" s="16">
        <f t="shared" si="11"/>
        <v>0</v>
      </c>
      <c r="R47" s="16">
        <f t="shared" si="12"/>
        <v>0</v>
      </c>
      <c r="S47" s="83">
        <f t="shared" si="18"/>
        <v>0</v>
      </c>
    </row>
    <row r="48" spans="1:19" x14ac:dyDescent="0.25">
      <c r="A48" s="13" t="s">
        <v>7</v>
      </c>
      <c r="B48" s="444" t="s">
        <v>581</v>
      </c>
      <c r="C48" s="14">
        <v>2.7000000000000001E-3</v>
      </c>
      <c r="D48" s="15">
        <v>0</v>
      </c>
      <c r="E48" s="16">
        <f t="shared" ref="E48:E59" si="21">D48+G47</f>
        <v>-345293.67293272354</v>
      </c>
      <c r="F48" s="17">
        <f t="shared" si="13"/>
        <v>-932.29291691835363</v>
      </c>
      <c r="G48" s="16">
        <f t="shared" ref="G48:G58" si="22">E48+F48</f>
        <v>-346225.96584964189</v>
      </c>
      <c r="H48" s="82">
        <v>0</v>
      </c>
      <c r="I48" s="16">
        <f t="shared" ref="I48:I59" si="23">H48+K47</f>
        <v>177210.54209825009</v>
      </c>
      <c r="J48" s="17">
        <f t="shared" si="8"/>
        <v>478.46846366527529</v>
      </c>
      <c r="K48" s="83">
        <f t="shared" ref="K48:K59" si="24">I48+J48</f>
        <v>177689.01056191538</v>
      </c>
      <c r="L48" s="82">
        <v>0</v>
      </c>
      <c r="M48" s="16">
        <f t="shared" ref="M48:M59" si="25">L48+O47</f>
        <v>246665.30993671512</v>
      </c>
      <c r="N48" s="16">
        <f t="shared" si="10"/>
        <v>332.99816841456544</v>
      </c>
      <c r="O48" s="83">
        <f t="shared" ref="O48:O59" si="26">M48+N48</f>
        <v>246998.30810512969</v>
      </c>
      <c r="P48" s="82">
        <f>('WP-2015 True Up TRR Adj'!D8)/12</f>
        <v>-12794.223911205927</v>
      </c>
      <c r="Q48" s="16">
        <f>P48+S47</f>
        <v>-12794.223911205927</v>
      </c>
      <c r="R48" s="16">
        <f>(((P48+S47))/2)*$C48</f>
        <v>-17.272202280128003</v>
      </c>
      <c r="S48" s="83">
        <f t="shared" ref="S48:S59" si="27">Q48+R48</f>
        <v>-12811.496113486055</v>
      </c>
    </row>
    <row r="49" spans="1:20" x14ac:dyDescent="0.25">
      <c r="A49" s="13" t="s">
        <v>8</v>
      </c>
      <c r="B49" s="444" t="s">
        <v>581</v>
      </c>
      <c r="C49" s="14">
        <v>2.7000000000000001E-3</v>
      </c>
      <c r="D49" s="15">
        <v>0</v>
      </c>
      <c r="E49" s="16">
        <f t="shared" si="21"/>
        <v>-346225.96584964189</v>
      </c>
      <c r="F49" s="17">
        <f t="shared" si="13"/>
        <v>-934.81010779403312</v>
      </c>
      <c r="G49" s="16">
        <f t="shared" si="22"/>
        <v>-347160.77595743589</v>
      </c>
      <c r="H49" s="82">
        <v>0</v>
      </c>
      <c r="I49" s="16">
        <f t="shared" si="23"/>
        <v>177689.01056191538</v>
      </c>
      <c r="J49" s="17">
        <f t="shared" si="8"/>
        <v>479.76032851717156</v>
      </c>
      <c r="K49" s="83">
        <f t="shared" si="24"/>
        <v>178168.77089043256</v>
      </c>
      <c r="L49" s="82">
        <v>0</v>
      </c>
      <c r="M49" s="16">
        <f t="shared" si="25"/>
        <v>246998.30810512969</v>
      </c>
      <c r="N49" s="16">
        <f t="shared" si="10"/>
        <v>333.44771594192508</v>
      </c>
      <c r="O49" s="83">
        <f t="shared" si="26"/>
        <v>247331.75582107162</v>
      </c>
      <c r="P49" s="82">
        <f>P48</f>
        <v>-12794.223911205927</v>
      </c>
      <c r="Q49" s="16">
        <f t="shared" ref="Q49:Q59" si="28">P49+S48</f>
        <v>-25605.720024691982</v>
      </c>
      <c r="R49" s="16">
        <f t="shared" si="12"/>
        <v>-34.567722033334178</v>
      </c>
      <c r="S49" s="83">
        <f t="shared" si="27"/>
        <v>-25640.287746725317</v>
      </c>
    </row>
    <row r="50" spans="1:20" x14ac:dyDescent="0.25">
      <c r="A50" s="13" t="s">
        <v>18</v>
      </c>
      <c r="B50" s="444" t="s">
        <v>581</v>
      </c>
      <c r="C50" s="14">
        <v>2.7000000000000001E-3</v>
      </c>
      <c r="D50" s="15">
        <v>0</v>
      </c>
      <c r="E50" s="16">
        <f t="shared" si="21"/>
        <v>-347160.77595743589</v>
      </c>
      <c r="F50" s="17">
        <f t="shared" si="13"/>
        <v>-937.33409508507691</v>
      </c>
      <c r="G50" s="16">
        <f t="shared" si="22"/>
        <v>-348098.11005252099</v>
      </c>
      <c r="H50" s="82">
        <v>0</v>
      </c>
      <c r="I50" s="16">
        <f t="shared" si="23"/>
        <v>178168.77089043256</v>
      </c>
      <c r="J50" s="17">
        <f t="shared" si="8"/>
        <v>481.0556814041679</v>
      </c>
      <c r="K50" s="83">
        <f t="shared" si="24"/>
        <v>178649.82657183672</v>
      </c>
      <c r="L50" s="82">
        <v>0</v>
      </c>
      <c r="M50" s="16">
        <f t="shared" si="25"/>
        <v>247331.75582107162</v>
      </c>
      <c r="N50" s="16">
        <f t="shared" si="10"/>
        <v>333.89787035844671</v>
      </c>
      <c r="O50" s="83">
        <f t="shared" si="26"/>
        <v>247665.65369143008</v>
      </c>
      <c r="P50" s="82">
        <f t="shared" ref="P50:P59" si="29">P49</f>
        <v>-12794.223911205927</v>
      </c>
      <c r="Q50" s="16">
        <f t="shared" si="28"/>
        <v>-38434.511657931245</v>
      </c>
      <c r="R50" s="16">
        <f t="shared" si="12"/>
        <v>-51.886590738207182</v>
      </c>
      <c r="S50" s="83">
        <f t="shared" si="27"/>
        <v>-38486.398248669451</v>
      </c>
    </row>
    <row r="51" spans="1:20" x14ac:dyDescent="0.25">
      <c r="A51" s="13" t="s">
        <v>9</v>
      </c>
      <c r="B51" s="444" t="s">
        <v>581</v>
      </c>
      <c r="C51" s="14">
        <v>2.7000000000000001E-3</v>
      </c>
      <c r="D51" s="15">
        <v>0</v>
      </c>
      <c r="E51" s="16">
        <f t="shared" si="21"/>
        <v>-348098.11005252099</v>
      </c>
      <c r="F51" s="17">
        <f t="shared" si="13"/>
        <v>-939.86489714180675</v>
      </c>
      <c r="G51" s="16">
        <f t="shared" si="22"/>
        <v>-349037.97494966281</v>
      </c>
      <c r="H51" s="82">
        <v>0</v>
      </c>
      <c r="I51" s="16">
        <f t="shared" si="23"/>
        <v>178649.82657183672</v>
      </c>
      <c r="J51" s="17">
        <f t="shared" si="8"/>
        <v>482.35453174395917</v>
      </c>
      <c r="K51" s="83">
        <f t="shared" si="24"/>
        <v>179132.18110358069</v>
      </c>
      <c r="L51" s="82">
        <v>0</v>
      </c>
      <c r="M51" s="16">
        <f t="shared" si="25"/>
        <v>247665.65369143008</v>
      </c>
      <c r="N51" s="16">
        <f t="shared" si="10"/>
        <v>334.34863248343061</v>
      </c>
      <c r="O51" s="83">
        <f t="shared" si="26"/>
        <v>248000.0023239135</v>
      </c>
      <c r="P51" s="82">
        <f t="shared" si="29"/>
        <v>-12794.223911205927</v>
      </c>
      <c r="Q51" s="16">
        <f t="shared" si="28"/>
        <v>-51280.622159875376</v>
      </c>
      <c r="R51" s="16">
        <f t="shared" si="12"/>
        <v>-69.228839915831756</v>
      </c>
      <c r="S51" s="83">
        <f t="shared" si="27"/>
        <v>-51349.850999791212</v>
      </c>
    </row>
    <row r="52" spans="1:20" x14ac:dyDescent="0.25">
      <c r="A52" s="13" t="s">
        <v>10</v>
      </c>
      <c r="B52" s="444" t="s">
        <v>581</v>
      </c>
      <c r="C52" s="14">
        <v>2.7000000000000001E-3</v>
      </c>
      <c r="D52" s="15">
        <v>0</v>
      </c>
      <c r="E52" s="16">
        <f t="shared" si="21"/>
        <v>-349037.97494966281</v>
      </c>
      <c r="F52" s="17">
        <f t="shared" si="13"/>
        <v>-942.40253236408967</v>
      </c>
      <c r="G52" s="16">
        <f t="shared" si="22"/>
        <v>-349980.37748202687</v>
      </c>
      <c r="H52" s="82">
        <v>0</v>
      </c>
      <c r="I52" s="16">
        <f t="shared" si="23"/>
        <v>179132.18110358069</v>
      </c>
      <c r="J52" s="17">
        <f t="shared" si="8"/>
        <v>483.65688897966788</v>
      </c>
      <c r="K52" s="83">
        <f t="shared" si="24"/>
        <v>179615.83799256035</v>
      </c>
      <c r="L52" s="82">
        <v>0</v>
      </c>
      <c r="M52" s="16">
        <f t="shared" si="25"/>
        <v>248000.0023239135</v>
      </c>
      <c r="N52" s="16">
        <f t="shared" si="10"/>
        <v>334.80000313728323</v>
      </c>
      <c r="O52" s="83">
        <f t="shared" si="26"/>
        <v>248334.8023270508</v>
      </c>
      <c r="P52" s="82">
        <f t="shared" si="29"/>
        <v>-12794.223911205927</v>
      </c>
      <c r="Q52" s="16">
        <f t="shared" si="28"/>
        <v>-64144.074910997137</v>
      </c>
      <c r="R52" s="16">
        <f t="shared" si="12"/>
        <v>-86.594501129846137</v>
      </c>
      <c r="S52" s="83">
        <f t="shared" si="27"/>
        <v>-64230.669412126983</v>
      </c>
    </row>
    <row r="53" spans="1:20" x14ac:dyDescent="0.25">
      <c r="A53" s="13" t="s">
        <v>25</v>
      </c>
      <c r="B53" s="444" t="s">
        <v>581</v>
      </c>
      <c r="C53" s="14">
        <v>2.7000000000000001E-3</v>
      </c>
      <c r="D53" s="15">
        <v>0</v>
      </c>
      <c r="E53" s="16">
        <f t="shared" si="21"/>
        <v>-349980.37748202687</v>
      </c>
      <c r="F53" s="17">
        <f t="shared" si="13"/>
        <v>-944.94701920147259</v>
      </c>
      <c r="G53" s="18">
        <f t="shared" si="22"/>
        <v>-350925.32450122834</v>
      </c>
      <c r="H53" s="15">
        <v>0</v>
      </c>
      <c r="I53" s="16">
        <f t="shared" si="23"/>
        <v>179615.83799256035</v>
      </c>
      <c r="J53" s="17">
        <f t="shared" si="8"/>
        <v>484.96276257991298</v>
      </c>
      <c r="K53" s="83">
        <f t="shared" si="24"/>
        <v>180100.80075514026</v>
      </c>
      <c r="L53" s="82">
        <v>0</v>
      </c>
      <c r="M53" s="16">
        <f t="shared" si="25"/>
        <v>248334.8023270508</v>
      </c>
      <c r="N53" s="16">
        <f t="shared" si="10"/>
        <v>335.25198314151862</v>
      </c>
      <c r="O53" s="83">
        <f t="shared" si="26"/>
        <v>248670.05431019232</v>
      </c>
      <c r="P53" s="82">
        <f t="shared" si="29"/>
        <v>-12794.223911205927</v>
      </c>
      <c r="Q53" s="16">
        <f t="shared" si="28"/>
        <v>-77024.893323332915</v>
      </c>
      <c r="R53" s="16">
        <f t="shared" si="12"/>
        <v>-103.98360598649944</v>
      </c>
      <c r="S53" s="83">
        <f t="shared" si="27"/>
        <v>-77128.87692931942</v>
      </c>
    </row>
    <row r="54" spans="1:20" x14ac:dyDescent="0.25">
      <c r="A54" s="13" t="s">
        <v>11</v>
      </c>
      <c r="B54" s="444" t="s">
        <v>581</v>
      </c>
      <c r="C54" s="14">
        <v>2.7000000000000001E-3</v>
      </c>
      <c r="D54" s="15">
        <v>0</v>
      </c>
      <c r="E54" s="16">
        <f t="shared" si="21"/>
        <v>-350925.32450122834</v>
      </c>
      <c r="F54" s="17">
        <f t="shared" si="13"/>
        <v>-947.4983761533166</v>
      </c>
      <c r="G54" s="16">
        <f t="shared" si="22"/>
        <v>-351872.82287738164</v>
      </c>
      <c r="H54" s="82">
        <v>0</v>
      </c>
      <c r="I54" s="16">
        <f t="shared" si="23"/>
        <v>180100.80075514026</v>
      </c>
      <c r="J54" s="17">
        <f t="shared" si="8"/>
        <v>486.27216203887872</v>
      </c>
      <c r="K54" s="83">
        <f t="shared" si="24"/>
        <v>180587.07291717915</v>
      </c>
      <c r="L54" s="82">
        <v>0</v>
      </c>
      <c r="M54" s="16">
        <f t="shared" si="25"/>
        <v>248670.05431019232</v>
      </c>
      <c r="N54" s="16">
        <f t="shared" si="10"/>
        <v>335.70457331875963</v>
      </c>
      <c r="O54" s="83">
        <f t="shared" si="26"/>
        <v>249005.75888351109</v>
      </c>
      <c r="P54" s="82">
        <f t="shared" si="29"/>
        <v>-12794.223911205927</v>
      </c>
      <c r="Q54" s="16">
        <f t="shared" si="28"/>
        <v>-89923.100840525352</v>
      </c>
      <c r="R54" s="16">
        <f t="shared" si="12"/>
        <v>-121.39618613470923</v>
      </c>
      <c r="S54" s="83">
        <f t="shared" si="27"/>
        <v>-90044.497026660058</v>
      </c>
    </row>
    <row r="55" spans="1:20" x14ac:dyDescent="0.25">
      <c r="A55" s="13" t="s">
        <v>12</v>
      </c>
      <c r="B55" s="444" t="s">
        <v>581</v>
      </c>
      <c r="C55" s="14">
        <v>2.7000000000000001E-3</v>
      </c>
      <c r="D55" s="15">
        <v>0</v>
      </c>
      <c r="E55" s="16">
        <f t="shared" si="21"/>
        <v>-351872.82287738164</v>
      </c>
      <c r="F55" s="17">
        <f t="shared" si="13"/>
        <v>-950.05662176893043</v>
      </c>
      <c r="G55" s="18">
        <f t="shared" si="22"/>
        <v>-352822.87949915056</v>
      </c>
      <c r="H55" s="15">
        <v>0</v>
      </c>
      <c r="I55" s="16">
        <f t="shared" si="23"/>
        <v>180587.07291717915</v>
      </c>
      <c r="J55" s="17">
        <f t="shared" si="8"/>
        <v>487.58509687638372</v>
      </c>
      <c r="K55" s="83">
        <f t="shared" si="24"/>
        <v>181074.65801405552</v>
      </c>
      <c r="L55" s="82">
        <v>0</v>
      </c>
      <c r="M55" s="16">
        <f t="shared" si="25"/>
        <v>249005.75888351109</v>
      </c>
      <c r="N55" s="16">
        <f t="shared" si="10"/>
        <v>336.15777449273997</v>
      </c>
      <c r="O55" s="83">
        <f t="shared" si="26"/>
        <v>249341.91665800384</v>
      </c>
      <c r="P55" s="82">
        <f t="shared" si="29"/>
        <v>-12794.223911205927</v>
      </c>
      <c r="Q55" s="16">
        <f t="shared" si="28"/>
        <v>-102838.72093786599</v>
      </c>
      <c r="R55" s="16">
        <f t="shared" si="12"/>
        <v>-138.8322732661191</v>
      </c>
      <c r="S55" s="83">
        <f t="shared" si="27"/>
        <v>-102977.55321113211</v>
      </c>
    </row>
    <row r="56" spans="1:20" x14ac:dyDescent="0.25">
      <c r="A56" s="13" t="s">
        <v>13</v>
      </c>
      <c r="B56" s="444" t="s">
        <v>581</v>
      </c>
      <c r="C56" s="14">
        <v>2.7000000000000001E-3</v>
      </c>
      <c r="D56" s="15">
        <v>0</v>
      </c>
      <c r="E56" s="16">
        <f t="shared" si="21"/>
        <v>-352822.87949915056</v>
      </c>
      <c r="F56" s="17">
        <f t="shared" si="13"/>
        <v>-952.6217746477065</v>
      </c>
      <c r="G56" s="16">
        <f t="shared" si="22"/>
        <v>-353775.50127379829</v>
      </c>
      <c r="H56" s="82">
        <v>0</v>
      </c>
      <c r="I56" s="16">
        <f t="shared" si="23"/>
        <v>181074.65801405552</v>
      </c>
      <c r="J56" s="17">
        <f t="shared" si="8"/>
        <v>488.90157663794992</v>
      </c>
      <c r="K56" s="83">
        <f t="shared" si="24"/>
        <v>181563.55959069348</v>
      </c>
      <c r="L56" s="82">
        <v>0</v>
      </c>
      <c r="M56" s="16">
        <f t="shared" si="25"/>
        <v>249341.91665800384</v>
      </c>
      <c r="N56" s="16">
        <f t="shared" si="10"/>
        <v>336.61158748830519</v>
      </c>
      <c r="O56" s="83">
        <f t="shared" si="26"/>
        <v>249678.52824549214</v>
      </c>
      <c r="P56" s="82">
        <f t="shared" si="29"/>
        <v>-12794.223911205927</v>
      </c>
      <c r="Q56" s="16">
        <f t="shared" si="28"/>
        <v>-115771.77712233804</v>
      </c>
      <c r="R56" s="16">
        <f t="shared" si="12"/>
        <v>-156.29189911515635</v>
      </c>
      <c r="S56" s="83">
        <f t="shared" si="27"/>
        <v>-115928.06902145319</v>
      </c>
    </row>
    <row r="57" spans="1:20" x14ac:dyDescent="0.25">
      <c r="A57" s="13" t="s">
        <v>15</v>
      </c>
      <c r="B57" s="444" t="s">
        <v>581</v>
      </c>
      <c r="C57" s="14">
        <v>2.7000000000000001E-3</v>
      </c>
      <c r="D57" s="15">
        <v>0</v>
      </c>
      <c r="E57" s="16">
        <f t="shared" si="21"/>
        <v>-353775.50127379829</v>
      </c>
      <c r="F57" s="17">
        <f t="shared" si="13"/>
        <v>-955.19385343925546</v>
      </c>
      <c r="G57" s="16">
        <f t="shared" si="22"/>
        <v>-354730.69512723753</v>
      </c>
      <c r="H57" s="82">
        <v>0</v>
      </c>
      <c r="I57" s="16">
        <f t="shared" si="23"/>
        <v>181563.55959069348</v>
      </c>
      <c r="J57" s="17">
        <f t="shared" si="8"/>
        <v>490.22161089487241</v>
      </c>
      <c r="K57" s="83">
        <f t="shared" si="24"/>
        <v>182053.78120158834</v>
      </c>
      <c r="L57" s="82">
        <v>0</v>
      </c>
      <c r="M57" s="16">
        <f t="shared" si="25"/>
        <v>249678.52824549214</v>
      </c>
      <c r="N57" s="16">
        <f t="shared" si="10"/>
        <v>337.06601313141442</v>
      </c>
      <c r="O57" s="83">
        <f t="shared" si="26"/>
        <v>250015.59425862355</v>
      </c>
      <c r="P57" s="82">
        <f t="shared" si="29"/>
        <v>-12794.223911205927</v>
      </c>
      <c r="Q57" s="16">
        <f t="shared" si="28"/>
        <v>-128722.29293265913</v>
      </c>
      <c r="R57" s="16">
        <f t="shared" si="12"/>
        <v>-173.77509545908984</v>
      </c>
      <c r="S57" s="83">
        <f t="shared" si="27"/>
        <v>-128896.06802811821</v>
      </c>
    </row>
    <row r="58" spans="1:20" x14ac:dyDescent="0.25">
      <c r="A58" s="13" t="s">
        <v>14</v>
      </c>
      <c r="B58" s="444" t="s">
        <v>581</v>
      </c>
      <c r="C58" s="14">
        <v>2.7000000000000001E-3</v>
      </c>
      <c r="D58" s="15">
        <v>0</v>
      </c>
      <c r="E58" s="16">
        <f t="shared" si="21"/>
        <v>-354730.69512723753</v>
      </c>
      <c r="F58" s="17">
        <f t="shared" si="13"/>
        <v>-957.77287684354133</v>
      </c>
      <c r="G58" s="16">
        <f t="shared" si="22"/>
        <v>-355688.46800408105</v>
      </c>
      <c r="H58" s="82">
        <v>0</v>
      </c>
      <c r="I58" s="16">
        <f t="shared" si="23"/>
        <v>182053.78120158834</v>
      </c>
      <c r="J58" s="17">
        <f t="shared" si="8"/>
        <v>491.54520924428851</v>
      </c>
      <c r="K58" s="83">
        <f t="shared" si="24"/>
        <v>182545.32641083264</v>
      </c>
      <c r="L58" s="82">
        <v>0</v>
      </c>
      <c r="M58" s="16">
        <f t="shared" si="25"/>
        <v>250015.59425862355</v>
      </c>
      <c r="N58" s="16">
        <f t="shared" si="10"/>
        <v>337.5210522491418</v>
      </c>
      <c r="O58" s="83">
        <f t="shared" si="26"/>
        <v>250353.1153108727</v>
      </c>
      <c r="P58" s="82">
        <f t="shared" si="29"/>
        <v>-12794.223911205927</v>
      </c>
      <c r="Q58" s="16">
        <f t="shared" si="28"/>
        <v>-141690.29193932415</v>
      </c>
      <c r="R58" s="16">
        <f t="shared" si="12"/>
        <v>-191.28189411808762</v>
      </c>
      <c r="S58" s="83">
        <f t="shared" si="27"/>
        <v>-141881.57383344223</v>
      </c>
    </row>
    <row r="59" spans="1:20" x14ac:dyDescent="0.25">
      <c r="A59" s="13" t="s">
        <v>6</v>
      </c>
      <c r="B59" s="444" t="s">
        <v>581</v>
      </c>
      <c r="C59" s="14">
        <v>2.7000000000000001E-3</v>
      </c>
      <c r="D59" s="15">
        <v>0</v>
      </c>
      <c r="E59" s="16">
        <f t="shared" si="21"/>
        <v>-355688.46800408105</v>
      </c>
      <c r="F59" s="17">
        <f t="shared" si="13"/>
        <v>-960.35886361101893</v>
      </c>
      <c r="G59" s="16">
        <f>E59+F59</f>
        <v>-356648.82686769206</v>
      </c>
      <c r="H59" s="82">
        <v>0</v>
      </c>
      <c r="I59" s="16">
        <f t="shared" si="23"/>
        <v>182545.32641083264</v>
      </c>
      <c r="J59" s="17">
        <f t="shared" si="8"/>
        <v>492.87238130924817</v>
      </c>
      <c r="K59" s="83">
        <f t="shared" si="24"/>
        <v>183038.19879214189</v>
      </c>
      <c r="L59" s="82">
        <v>0</v>
      </c>
      <c r="M59" s="16">
        <f t="shared" si="25"/>
        <v>250353.1153108727</v>
      </c>
      <c r="N59" s="16">
        <f t="shared" si="10"/>
        <v>337.97670566967815</v>
      </c>
      <c r="O59" s="83">
        <f t="shared" si="26"/>
        <v>250691.09201654239</v>
      </c>
      <c r="P59" s="82">
        <f t="shared" si="29"/>
        <v>-12794.223911205927</v>
      </c>
      <c r="Q59" s="16">
        <f t="shared" si="28"/>
        <v>-154675.79774464815</v>
      </c>
      <c r="R59" s="16">
        <f t="shared" si="12"/>
        <v>-208.81232695527501</v>
      </c>
      <c r="S59" s="83">
        <f t="shared" si="27"/>
        <v>-154884.61007160344</v>
      </c>
    </row>
    <row r="60" spans="1:20" s="86" customFormat="1" ht="15.75" thickBot="1" x14ac:dyDescent="0.3">
      <c r="A60" s="697"/>
      <c r="B60" s="698"/>
      <c r="C60" s="698"/>
      <c r="D60" s="699">
        <f>SUM(D12:D59)</f>
        <v>-318448.32174420357</v>
      </c>
      <c r="E60" s="155"/>
      <c r="F60" s="84" t="s">
        <v>32</v>
      </c>
      <c r="G60" s="699">
        <f>G59</f>
        <v>-356648.82686769206</v>
      </c>
      <c r="H60" s="700">
        <f>SUM(H12:H59)</f>
        <v>168807.63184964657</v>
      </c>
      <c r="I60" s="155"/>
      <c r="J60" s="84" t="s">
        <v>32</v>
      </c>
      <c r="K60" s="85">
        <f>K59</f>
        <v>183038.19879214189</v>
      </c>
      <c r="L60" s="700">
        <f>SUM(L12:L59)</f>
        <v>244509.08621573451</v>
      </c>
      <c r="M60" s="297"/>
      <c r="N60" s="84" t="s">
        <v>32</v>
      </c>
      <c r="O60" s="85">
        <f>O59</f>
        <v>250691.09201654239</v>
      </c>
      <c r="P60" s="700">
        <f>SUM(P12:P59)</f>
        <v>-153530.68693447113</v>
      </c>
      <c r="Q60" s="155"/>
      <c r="R60" s="84" t="s">
        <v>32</v>
      </c>
      <c r="S60" s="294">
        <f>S59</f>
        <v>-154884.61007160344</v>
      </c>
    </row>
    <row r="61" spans="1:20" ht="26.25" customHeight="1" thickBot="1" x14ac:dyDescent="0.4">
      <c r="A61" s="35"/>
      <c r="B61" s="36"/>
      <c r="C61" s="36"/>
      <c r="D61" s="36"/>
      <c r="E61" s="36"/>
      <c r="F61" s="36"/>
      <c r="G61" s="36"/>
      <c r="H61" s="156"/>
      <c r="I61" s="156"/>
      <c r="J61" s="156"/>
      <c r="K61" s="156"/>
      <c r="L61" s="36"/>
      <c r="M61" s="157"/>
      <c r="N61" s="296"/>
      <c r="O61" s="295"/>
      <c r="P61" s="35"/>
      <c r="Q61" s="157"/>
      <c r="R61" s="130" t="s">
        <v>972</v>
      </c>
      <c r="S61" s="707">
        <f>SUM(G60,K60,O60,S60)</f>
        <v>-77804.146130611218</v>
      </c>
      <c r="T61" s="13"/>
    </row>
    <row r="62" spans="1:20" x14ac:dyDescent="0.25">
      <c r="I62" s="86"/>
      <c r="J62" s="86"/>
      <c r="K62" s="86"/>
      <c r="M62" s="38"/>
      <c r="N62" s="23"/>
      <c r="O62" s="23"/>
      <c r="P62" s="38"/>
      <c r="Q62" s="38"/>
      <c r="R62" s="38"/>
      <c r="S62" s="38"/>
    </row>
    <row r="63" spans="1:20" x14ac:dyDescent="0.25">
      <c r="E63" s="19"/>
      <c r="N63" s="445"/>
      <c r="O63" s="445"/>
    </row>
    <row r="65" spans="1:6" x14ac:dyDescent="0.25">
      <c r="A65" s="20"/>
      <c r="F65" s="42"/>
    </row>
    <row r="66" spans="1:6" x14ac:dyDescent="0.25">
      <c r="E66" s="21"/>
    </row>
    <row r="71" spans="1:6" x14ac:dyDescent="0.25">
      <c r="A71" s="20"/>
    </row>
    <row r="75" spans="1:6" x14ac:dyDescent="0.25">
      <c r="D75" s="22"/>
      <c r="F75" s="23"/>
    </row>
    <row r="76" spans="1:6" x14ac:dyDescent="0.25">
      <c r="E76" s="24"/>
    </row>
    <row r="77" spans="1:6" x14ac:dyDescent="0.25">
      <c r="F77" s="25"/>
    </row>
    <row r="79" spans="1:6" x14ac:dyDescent="0.25">
      <c r="E79" s="24"/>
      <c r="F79" s="23"/>
    </row>
  </sheetData>
  <mergeCells count="4">
    <mergeCell ref="H5:K5"/>
    <mergeCell ref="A5:G5"/>
    <mergeCell ref="L5:O5"/>
    <mergeCell ref="P5:S5"/>
  </mergeCells>
  <printOptions horizontalCentered="1"/>
  <pageMargins left="0.7" right="0.7" top="0.75" bottom="0.75" header="0.3" footer="0.3"/>
  <pageSetup scale="46" fitToHeight="0" orientation="landscape" cellComments="asDisplayed" r:id="rId1"/>
  <headerFooter>
    <oddHeader>&amp;RTO12 Draft Annual Update
Attachment 4
WP-Schedule 3-One Time Adj True Up Adj
Page &amp;P of &amp;N</oddHeader>
    <oddFooter>&amp;R&amp;A</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8"/>
  <dimension ref="A1:X112"/>
  <sheetViews>
    <sheetView zoomScale="110" zoomScaleNormal="110" zoomScaleSheetLayoutView="90" workbookViewId="0">
      <selection activeCell="E46" sqref="E46"/>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236"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521548033</v>
      </c>
      <c r="F6" s="238" t="s">
        <v>174</v>
      </c>
      <c r="G6" s="173">
        <f>D37</f>
        <v>136182047.58511403</v>
      </c>
      <c r="H6" s="221">
        <f t="shared" ref="H6:H19" si="0">E6-G6</f>
        <v>385365985.414886</v>
      </c>
      <c r="J6" s="223"/>
    </row>
    <row r="7" spans="1:24" x14ac:dyDescent="0.2">
      <c r="A7" s="166">
        <f>A6+1</f>
        <v>2</v>
      </c>
      <c r="C7" s="238">
        <v>921</v>
      </c>
      <c r="D7" t="s">
        <v>175</v>
      </c>
      <c r="E7" s="239">
        <v>152455978</v>
      </c>
      <c r="F7" s="238" t="s">
        <v>176</v>
      </c>
      <c r="G7" s="173">
        <f t="shared" ref="G7:G19" si="1">D38</f>
        <v>837749.97488595883</v>
      </c>
      <c r="H7" s="221">
        <f t="shared" si="0"/>
        <v>151618228.02511403</v>
      </c>
      <c r="J7" s="223"/>
    </row>
    <row r="8" spans="1:24" x14ac:dyDescent="0.2">
      <c r="A8" s="166">
        <f>A7+1</f>
        <v>3</v>
      </c>
      <c r="C8" s="238">
        <v>922</v>
      </c>
      <c r="D8" t="s">
        <v>177</v>
      </c>
      <c r="E8" s="239">
        <v>-123756875</v>
      </c>
      <c r="F8" s="238" t="s">
        <v>178</v>
      </c>
      <c r="G8" s="173">
        <f t="shared" si="1"/>
        <v>-37645896</v>
      </c>
      <c r="H8" s="221">
        <f t="shared" si="0"/>
        <v>-86110979</v>
      </c>
      <c r="I8" s="177" t="s">
        <v>179</v>
      </c>
      <c r="J8" s="223"/>
    </row>
    <row r="9" spans="1:24" x14ac:dyDescent="0.2">
      <c r="A9" s="166">
        <f t="shared" ref="A9:A20" si="2">A8+1</f>
        <v>4</v>
      </c>
      <c r="B9" s="166"/>
      <c r="C9" s="238">
        <v>923</v>
      </c>
      <c r="D9" t="s">
        <v>180</v>
      </c>
      <c r="E9" s="239">
        <v>69572362</v>
      </c>
      <c r="F9" s="238" t="s">
        <v>181</v>
      </c>
      <c r="G9" s="179">
        <f t="shared" si="1"/>
        <v>8898562.9400000013</v>
      </c>
      <c r="H9" s="179">
        <f t="shared" si="0"/>
        <v>60673799.060000002</v>
      </c>
      <c r="J9" s="223"/>
    </row>
    <row r="10" spans="1:24" x14ac:dyDescent="0.2">
      <c r="A10" s="166">
        <f t="shared" si="2"/>
        <v>5</v>
      </c>
      <c r="B10" s="166"/>
      <c r="C10" s="238">
        <v>924</v>
      </c>
      <c r="D10" t="s">
        <v>182</v>
      </c>
      <c r="E10" s="239">
        <v>21629921</v>
      </c>
      <c r="F10" s="238" t="s">
        <v>183</v>
      </c>
      <c r="G10" s="173">
        <f t="shared" si="1"/>
        <v>0</v>
      </c>
      <c r="H10" s="221">
        <f t="shared" si="0"/>
        <v>21629921</v>
      </c>
      <c r="J10" s="223"/>
    </row>
    <row r="11" spans="1:24" x14ac:dyDescent="0.2">
      <c r="A11" s="166">
        <f t="shared" si="2"/>
        <v>6</v>
      </c>
      <c r="B11" s="166"/>
      <c r="C11" s="238">
        <v>925</v>
      </c>
      <c r="D11" t="s">
        <v>184</v>
      </c>
      <c r="E11" s="239">
        <v>115243086</v>
      </c>
      <c r="F11" s="238" t="s">
        <v>185</v>
      </c>
      <c r="G11" s="173">
        <f t="shared" si="1"/>
        <v>211377.76</v>
      </c>
      <c r="H11" s="221">
        <f t="shared" si="0"/>
        <v>115031708.23999999</v>
      </c>
      <c r="J11" s="223"/>
    </row>
    <row r="12" spans="1:24" x14ac:dyDescent="0.2">
      <c r="A12" s="166">
        <f t="shared" si="2"/>
        <v>7</v>
      </c>
      <c r="B12" s="166"/>
      <c r="C12" s="238">
        <v>926</v>
      </c>
      <c r="D12" t="s">
        <v>186</v>
      </c>
      <c r="E12" s="239">
        <v>237122922</v>
      </c>
      <c r="F12" s="238" t="s">
        <v>187</v>
      </c>
      <c r="G12" s="173">
        <f t="shared" si="1"/>
        <v>66910617.034766808</v>
      </c>
      <c r="H12" s="173">
        <f t="shared" si="0"/>
        <v>170212304.96523321</v>
      </c>
      <c r="J12" s="223"/>
    </row>
    <row r="13" spans="1:24" x14ac:dyDescent="0.2">
      <c r="A13" s="166">
        <f t="shared" si="2"/>
        <v>8</v>
      </c>
      <c r="B13" s="166"/>
      <c r="C13" s="238">
        <v>927</v>
      </c>
      <c r="D13" t="s">
        <v>156</v>
      </c>
      <c r="E13" s="239">
        <v>107623671</v>
      </c>
      <c r="F13" s="238" t="s">
        <v>188</v>
      </c>
      <c r="G13" s="173">
        <f t="shared" si="1"/>
        <v>107623671</v>
      </c>
      <c r="H13" s="173">
        <f t="shared" si="0"/>
        <v>0</v>
      </c>
      <c r="J13" s="223"/>
    </row>
    <row r="14" spans="1:24" x14ac:dyDescent="0.2">
      <c r="A14" s="166">
        <f t="shared" si="2"/>
        <v>9</v>
      </c>
      <c r="B14" s="166"/>
      <c r="C14" s="238">
        <v>928</v>
      </c>
      <c r="D14" s="223" t="s">
        <v>189</v>
      </c>
      <c r="E14" s="239">
        <v>37629040</v>
      </c>
      <c r="F14" s="238" t="s">
        <v>190</v>
      </c>
      <c r="G14" s="173">
        <f t="shared" si="1"/>
        <v>34272932.310000002</v>
      </c>
      <c r="H14" s="173">
        <f t="shared" si="0"/>
        <v>3356107.6899999976</v>
      </c>
      <c r="J14" s="223"/>
    </row>
    <row r="15" spans="1:24" x14ac:dyDescent="0.2">
      <c r="A15" s="166">
        <f t="shared" si="2"/>
        <v>10</v>
      </c>
      <c r="B15" s="166"/>
      <c r="C15" s="238">
        <v>929</v>
      </c>
      <c r="D15" t="s">
        <v>191</v>
      </c>
      <c r="E15" s="239">
        <v>0</v>
      </c>
      <c r="F15" s="238" t="s">
        <v>192</v>
      </c>
      <c r="G15" s="173">
        <f t="shared" si="1"/>
        <v>0</v>
      </c>
      <c r="H15" s="173">
        <f t="shared" si="0"/>
        <v>0</v>
      </c>
      <c r="J15" s="223"/>
    </row>
    <row r="16" spans="1:24" x14ac:dyDescent="0.2">
      <c r="A16" s="166">
        <f t="shared" si="2"/>
        <v>11</v>
      </c>
      <c r="B16" s="166"/>
      <c r="C16" s="238">
        <v>930.1</v>
      </c>
      <c r="D16" t="s">
        <v>193</v>
      </c>
      <c r="E16" s="239">
        <v>328718</v>
      </c>
      <c r="F16" s="238" t="s">
        <v>194</v>
      </c>
      <c r="G16" s="173">
        <f t="shared" si="1"/>
        <v>223160.132088218</v>
      </c>
      <c r="H16" s="173">
        <f t="shared" si="0"/>
        <v>105557.867911782</v>
      </c>
      <c r="J16" s="223"/>
    </row>
    <row r="17" spans="1:11" x14ac:dyDescent="0.2">
      <c r="A17" s="166">
        <f t="shared" si="2"/>
        <v>12</v>
      </c>
      <c r="B17" s="166"/>
      <c r="C17" s="238">
        <v>930.2</v>
      </c>
      <c r="D17" t="s">
        <v>195</v>
      </c>
      <c r="E17" s="239">
        <v>9789109</v>
      </c>
      <c r="F17" s="238" t="s">
        <v>196</v>
      </c>
      <c r="G17" s="173">
        <f t="shared" si="1"/>
        <v>20972414.239999998</v>
      </c>
      <c r="H17" s="173">
        <f t="shared" si="0"/>
        <v>-11183305.239999998</v>
      </c>
      <c r="J17" s="223"/>
    </row>
    <row r="18" spans="1:11" x14ac:dyDescent="0.2">
      <c r="A18" s="166">
        <f t="shared" si="2"/>
        <v>13</v>
      </c>
      <c r="B18" s="166"/>
      <c r="C18" s="238">
        <v>931</v>
      </c>
      <c r="D18" t="s">
        <v>197</v>
      </c>
      <c r="E18" s="239">
        <v>22993277</v>
      </c>
      <c r="F18" s="238" t="s">
        <v>198</v>
      </c>
      <c r="G18" s="173">
        <f t="shared" si="1"/>
        <v>78140.61</v>
      </c>
      <c r="H18" s="173">
        <f t="shared" si="0"/>
        <v>22915136.390000001</v>
      </c>
      <c r="J18" s="223"/>
    </row>
    <row r="19" spans="1:11" x14ac:dyDescent="0.2">
      <c r="A19" s="166">
        <f t="shared" si="2"/>
        <v>14</v>
      </c>
      <c r="B19" s="166"/>
      <c r="C19" s="238">
        <v>935</v>
      </c>
      <c r="D19" t="s">
        <v>199</v>
      </c>
      <c r="E19" s="240">
        <v>18382085</v>
      </c>
      <c r="F19" s="238" t="s">
        <v>200</v>
      </c>
      <c r="G19" s="173">
        <f t="shared" si="1"/>
        <v>1635670</v>
      </c>
      <c r="H19" s="181">
        <f t="shared" si="0"/>
        <v>16746415</v>
      </c>
      <c r="J19" s="223"/>
    </row>
    <row r="20" spans="1:11" x14ac:dyDescent="0.2">
      <c r="A20" s="166">
        <f t="shared" si="2"/>
        <v>15</v>
      </c>
      <c r="E20" s="221">
        <f>SUM(E6:E19)</f>
        <v>1190561327</v>
      </c>
      <c r="G20" s="202" t="s">
        <v>201</v>
      </c>
      <c r="H20" s="186">
        <f>SUM(H6:H19)</f>
        <v>850360879.41314495</v>
      </c>
    </row>
    <row r="22" spans="1:11" x14ac:dyDescent="0.2">
      <c r="F22" s="170" t="s">
        <v>34</v>
      </c>
      <c r="G22" s="170" t="s">
        <v>35</v>
      </c>
    </row>
    <row r="23" spans="1:11" x14ac:dyDescent="0.2">
      <c r="A23" s="166">
        <f>A20+1</f>
        <v>16</v>
      </c>
      <c r="E23" s="197" t="s">
        <v>202</v>
      </c>
      <c r="F23" s="179">
        <f>H20</f>
        <v>850360879.41314495</v>
      </c>
      <c r="G23" s="176" t="str">
        <f>"Line "&amp;A20&amp;""</f>
        <v>Line 15</v>
      </c>
      <c r="H23" s="163"/>
      <c r="I23" s="163"/>
      <c r="J23" s="163"/>
      <c r="K23" s="163"/>
    </row>
    <row r="24" spans="1:11" x14ac:dyDescent="0.2">
      <c r="A24" s="166">
        <f t="shared" ref="A24:A30" si="3">A23+1</f>
        <v>17</v>
      </c>
      <c r="E24" s="197" t="s">
        <v>203</v>
      </c>
      <c r="F24" s="181">
        <f>E10</f>
        <v>21629921</v>
      </c>
      <c r="G24" s="176" t="str">
        <f>"Line "&amp;A10&amp;""</f>
        <v>Line 5</v>
      </c>
      <c r="H24" s="163"/>
      <c r="I24" s="163"/>
      <c r="J24" s="163"/>
      <c r="K24" s="163"/>
    </row>
    <row r="25" spans="1:11" x14ac:dyDescent="0.2">
      <c r="A25" s="166">
        <f t="shared" si="3"/>
        <v>18</v>
      </c>
      <c r="E25" s="197" t="s">
        <v>204</v>
      </c>
      <c r="F25" s="179">
        <f>F23-F24</f>
        <v>828730958.41314495</v>
      </c>
      <c r="G25" s="176" t="str">
        <f>"Line "&amp;A23&amp;" - Line "&amp;A24&amp;""</f>
        <v>Line 16 - Line 17</v>
      </c>
      <c r="H25" s="163"/>
      <c r="I25" s="163"/>
      <c r="J25" s="163"/>
      <c r="K25" s="163"/>
    </row>
    <row r="26" spans="1:11" x14ac:dyDescent="0.2">
      <c r="A26" s="166">
        <f t="shared" si="3"/>
        <v>19</v>
      </c>
      <c r="E26" s="202" t="s">
        <v>205</v>
      </c>
      <c r="F26" s="447">
        <v>4.253403191269526E-2</v>
      </c>
      <c r="G26" s="176" t="s">
        <v>1058</v>
      </c>
      <c r="H26" s="163"/>
      <c r="I26" s="163"/>
      <c r="J26" s="163"/>
      <c r="K26" s="163"/>
    </row>
    <row r="27" spans="1:11" x14ac:dyDescent="0.2">
      <c r="A27" s="166">
        <f t="shared" si="3"/>
        <v>20</v>
      </c>
      <c r="E27" s="197" t="s">
        <v>206</v>
      </c>
      <c r="F27" s="179">
        <f>F25*F26</f>
        <v>35249269.032183237</v>
      </c>
      <c r="G27" s="176" t="str">
        <f>"Line "&amp;A25&amp;" * Line "&amp;A26&amp;""</f>
        <v>Line 18 * Line 19</v>
      </c>
      <c r="H27" s="163"/>
      <c r="I27" s="163"/>
      <c r="J27" s="163"/>
      <c r="K27" s="163"/>
    </row>
    <row r="28" spans="1:11" x14ac:dyDescent="0.2">
      <c r="A28" s="166">
        <f t="shared" si="3"/>
        <v>21</v>
      </c>
      <c r="E28" s="197" t="s">
        <v>207</v>
      </c>
      <c r="F28" s="492">
        <v>0.16534978347583032</v>
      </c>
      <c r="G28" s="177" t="s">
        <v>1059</v>
      </c>
      <c r="H28" s="163"/>
      <c r="I28" s="163"/>
      <c r="J28" s="163"/>
      <c r="K28" s="163"/>
    </row>
    <row r="29" spans="1:11" x14ac:dyDescent="0.2">
      <c r="A29" s="166">
        <f t="shared" si="3"/>
        <v>22</v>
      </c>
      <c r="E29" s="197" t="s">
        <v>208</v>
      </c>
      <c r="F29" s="178">
        <f>H10*F28</f>
        <v>3576502.7539493153</v>
      </c>
      <c r="G29" s="176" t="str">
        <f>"Line "&amp;A10&amp;" Col 4 * Line "&amp;A28&amp;""</f>
        <v>Line 5 Col 4 * Line 21</v>
      </c>
      <c r="H29" s="163"/>
      <c r="I29" s="163"/>
      <c r="J29" s="163"/>
      <c r="K29" s="163"/>
    </row>
    <row r="30" spans="1:11" x14ac:dyDescent="0.2">
      <c r="A30" s="166">
        <f t="shared" si="3"/>
        <v>23</v>
      </c>
      <c r="E30" s="197" t="s">
        <v>209</v>
      </c>
      <c r="F30" s="186">
        <f>F27+F29</f>
        <v>38825771.786132552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42">
        <f>SUM(E37:H37)</f>
        <v>136182047.58511403</v>
      </c>
      <c r="E37" s="243">
        <v>16475769.585114043</v>
      </c>
      <c r="F37" s="244"/>
      <c r="G37" s="173">
        <f>G58</f>
        <v>119706278</v>
      </c>
      <c r="H37" s="244"/>
      <c r="I37" s="176" t="s">
        <v>221</v>
      </c>
      <c r="J37" s="163"/>
    </row>
    <row r="38" spans="1:11" x14ac:dyDescent="0.2">
      <c r="A38" s="166">
        <f>A37+1</f>
        <v>25</v>
      </c>
      <c r="C38" s="238">
        <v>921</v>
      </c>
      <c r="D38" s="242">
        <f t="shared" ref="D38:D50" si="4">SUM(E38:H38)</f>
        <v>837749.97488595883</v>
      </c>
      <c r="E38" s="243">
        <v>837749.97488595883</v>
      </c>
      <c r="F38" s="244"/>
      <c r="G38" s="244">
        <v>0</v>
      </c>
      <c r="H38" s="244"/>
      <c r="I38" s="168"/>
    </row>
    <row r="39" spans="1:11" ht="13.5" thickBot="1" x14ac:dyDescent="0.25">
      <c r="A39" s="166">
        <f t="shared" ref="A39:A50" si="5">A38+1</f>
        <v>26</v>
      </c>
      <c r="C39" s="238">
        <v>922</v>
      </c>
      <c r="D39" s="242">
        <f t="shared" si="4"/>
        <v>-37645896</v>
      </c>
      <c r="E39" s="243">
        <v>-6451726</v>
      </c>
      <c r="F39" s="244"/>
      <c r="G39" s="60">
        <v>-31194170</v>
      </c>
      <c r="H39" s="244"/>
      <c r="I39" s="168"/>
    </row>
    <row r="40" spans="1:11" ht="13.5" thickBot="1" x14ac:dyDescent="0.25">
      <c r="A40" s="166">
        <f t="shared" si="5"/>
        <v>27</v>
      </c>
      <c r="C40" s="238">
        <v>923</v>
      </c>
      <c r="D40" s="245">
        <f t="shared" si="4"/>
        <v>8898562.9400000013</v>
      </c>
      <c r="E40" s="246">
        <v>8898562.9400000013</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211377.76</v>
      </c>
      <c r="E42" s="270">
        <v>211377.76</v>
      </c>
      <c r="F42" s="244"/>
      <c r="G42" s="244">
        <v>0</v>
      </c>
      <c r="H42" s="244"/>
      <c r="I42" s="247"/>
      <c r="K42" s="221"/>
    </row>
    <row r="43" spans="1:11" x14ac:dyDescent="0.2">
      <c r="A43" s="166">
        <f t="shared" si="5"/>
        <v>30</v>
      </c>
      <c r="C43" s="238">
        <v>926</v>
      </c>
      <c r="D43" s="269">
        <f>SUM(E43:H43)</f>
        <v>66910617.034766808</v>
      </c>
      <c r="E43" s="270">
        <v>26601707.034766808</v>
      </c>
      <c r="F43" s="244"/>
      <c r="G43" s="244">
        <v>0</v>
      </c>
      <c r="H43" s="173">
        <f>E70</f>
        <v>40308910</v>
      </c>
      <c r="I43" s="247" t="s">
        <v>157</v>
      </c>
      <c r="K43" s="221"/>
    </row>
    <row r="44" spans="1:11" x14ac:dyDescent="0.2">
      <c r="A44" s="166">
        <f t="shared" si="5"/>
        <v>31</v>
      </c>
      <c r="C44" s="238">
        <v>927</v>
      </c>
      <c r="D44" s="269">
        <f t="shared" si="4"/>
        <v>107623671</v>
      </c>
      <c r="E44" s="193" t="s">
        <v>126</v>
      </c>
      <c r="F44" s="248">
        <f>E13</f>
        <v>107623671</v>
      </c>
      <c r="G44" s="173">
        <v>0</v>
      </c>
      <c r="H44" s="173">
        <v>0</v>
      </c>
      <c r="I44" s="168" t="s">
        <v>222</v>
      </c>
      <c r="K44" s="221"/>
    </row>
    <row r="45" spans="1:11" x14ac:dyDescent="0.2">
      <c r="A45" s="166">
        <f t="shared" si="5"/>
        <v>32</v>
      </c>
      <c r="C45" s="238">
        <v>928</v>
      </c>
      <c r="D45" s="272">
        <f t="shared" si="4"/>
        <v>34272932.310000002</v>
      </c>
      <c r="E45" s="270">
        <v>34272932.310000002</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223160.132088218</v>
      </c>
      <c r="E47" s="270">
        <v>223160.132088218</v>
      </c>
      <c r="F47" s="244"/>
      <c r="G47" s="244">
        <v>0</v>
      </c>
      <c r="H47" s="244"/>
      <c r="I47" s="168"/>
      <c r="K47" s="221"/>
    </row>
    <row r="48" spans="1:11" x14ac:dyDescent="0.2">
      <c r="A48" s="166">
        <f t="shared" si="5"/>
        <v>35</v>
      </c>
      <c r="C48" s="238">
        <v>930.2</v>
      </c>
      <c r="D48" s="269">
        <f t="shared" si="4"/>
        <v>20972414.239999998</v>
      </c>
      <c r="E48" s="270">
        <v>20972414.239999998</v>
      </c>
      <c r="F48" s="244"/>
      <c r="G48" s="244">
        <v>0</v>
      </c>
      <c r="H48" s="244"/>
      <c r="I48" s="168"/>
      <c r="J48" s="250"/>
    </row>
    <row r="49" spans="1:10" x14ac:dyDescent="0.2">
      <c r="A49" s="166">
        <f t="shared" si="5"/>
        <v>36</v>
      </c>
      <c r="C49" s="238">
        <v>931</v>
      </c>
      <c r="D49" s="269">
        <f t="shared" si="4"/>
        <v>78140.61</v>
      </c>
      <c r="E49" s="270">
        <v>78140.61</v>
      </c>
      <c r="F49" s="244"/>
      <c r="G49" s="244">
        <v>0</v>
      </c>
      <c r="H49" s="244"/>
      <c r="I49" s="168"/>
      <c r="J49" s="221"/>
    </row>
    <row r="50" spans="1:10" x14ac:dyDescent="0.2">
      <c r="A50" s="166">
        <f t="shared" si="5"/>
        <v>37</v>
      </c>
      <c r="C50" s="238">
        <v>935</v>
      </c>
      <c r="D50" s="242">
        <f t="shared" si="4"/>
        <v>1635670</v>
      </c>
      <c r="E50" s="243">
        <v>1635670</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157546315</v>
      </c>
      <c r="H56" s="176" t="s">
        <v>228</v>
      </c>
    </row>
    <row r="57" spans="1:10" x14ac:dyDescent="0.2">
      <c r="A57" s="166"/>
      <c r="B57" s="166" t="s">
        <v>123</v>
      </c>
      <c r="C57" s="223"/>
      <c r="E57" s="163"/>
      <c r="F57" s="197" t="s">
        <v>229</v>
      </c>
      <c r="G57" s="181">
        <f>E61</f>
        <v>37840037</v>
      </c>
      <c r="H57" s="247" t="str">
        <f>"Note 2, "&amp;B61&amp;""</f>
        <v>Note 2, d</v>
      </c>
    </row>
    <row r="58" spans="1:10" x14ac:dyDescent="0.2">
      <c r="A58" s="166"/>
      <c r="B58" s="166" t="s">
        <v>127</v>
      </c>
      <c r="F58" s="224" t="s">
        <v>230</v>
      </c>
      <c r="G58" s="221">
        <f>G56-G57</f>
        <v>119706278</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60">
        <v>37840037</v>
      </c>
      <c r="F61" s="176" t="s">
        <v>234</v>
      </c>
      <c r="G61" s="173"/>
      <c r="I61" s="163"/>
    </row>
    <row r="62" spans="1:10" x14ac:dyDescent="0.2">
      <c r="A62" s="166"/>
      <c r="B62" s="171" t="s">
        <v>133</v>
      </c>
      <c r="C62" s="163"/>
      <c r="D62" s="174" t="s">
        <v>235</v>
      </c>
      <c r="E62" s="60">
        <v>22588839</v>
      </c>
      <c r="F62" s="176" t="s">
        <v>234</v>
      </c>
      <c r="G62" s="173"/>
      <c r="I62" s="66"/>
    </row>
    <row r="63" spans="1:10" x14ac:dyDescent="0.2">
      <c r="A63" s="166"/>
      <c r="B63" s="171" t="s">
        <v>136</v>
      </c>
      <c r="C63" s="163"/>
      <c r="D63" s="174" t="s">
        <v>236</v>
      </c>
      <c r="E63" s="67">
        <v>37430198</v>
      </c>
      <c r="F63" s="176" t="s">
        <v>234</v>
      </c>
      <c r="G63" s="173"/>
      <c r="I63" s="173"/>
    </row>
    <row r="64" spans="1:10" x14ac:dyDescent="0.2">
      <c r="A64" s="166"/>
      <c r="B64" s="171" t="s">
        <v>138</v>
      </c>
      <c r="C64" s="163"/>
      <c r="D64" s="197" t="s">
        <v>166</v>
      </c>
      <c r="E64" s="221">
        <f>SUM(E61:E63)</f>
        <v>97859074</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-7105091</v>
      </c>
      <c r="F68" s="258" t="s">
        <v>240</v>
      </c>
      <c r="G68" s="192"/>
    </row>
    <row r="69" spans="1:10" x14ac:dyDescent="0.2">
      <c r="A69" s="166"/>
      <c r="B69" s="255" t="s">
        <v>123</v>
      </c>
      <c r="C69" s="253"/>
      <c r="D69" s="256" t="s">
        <v>241</v>
      </c>
      <c r="E69" s="259">
        <v>33203819</v>
      </c>
      <c r="F69" s="258" t="s">
        <v>228</v>
      </c>
      <c r="G69" s="192"/>
    </row>
    <row r="70" spans="1:10" x14ac:dyDescent="0.2">
      <c r="A70" s="166"/>
      <c r="B70" s="255" t="s">
        <v>127</v>
      </c>
      <c r="C70" s="253"/>
      <c r="D70" s="256" t="s">
        <v>242</v>
      </c>
      <c r="E70" s="260">
        <f>E69-E68</f>
        <v>40308910</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5" orientation="landscape" cellComments="asDisplayed" r:id="rId1"/>
  <headerFooter alignWithMargins="0">
    <oddHeader>&amp;CSchedule 20
Administrative and General Expenses
(Revised 2013 True Up TRR)&amp;RTO12 Draft Annual Update
Attachment 4
WP-Schedule 3-One Time Adj True Up Adj
Page &amp;P of &amp;N</oddHeader>
    <oddFooter>&amp;R&amp;A</oddFooter>
  </headerFooter>
  <rowBreaks count="2" manualBreakCount="2">
    <brk id="50" max="9" man="1"/>
    <brk id="74" max="16383"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K138"/>
  <sheetViews>
    <sheetView zoomScale="110" zoomScaleNormal="110" workbookViewId="0">
      <selection activeCell="D66" sqref="D66"/>
    </sheetView>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32356723.076607347</v>
      </c>
      <c r="I7" s="223"/>
    </row>
    <row r="8" spans="1:9" x14ac:dyDescent="0.2">
      <c r="A8" s="166">
        <f>A7+1</f>
        <v>2</v>
      </c>
      <c r="C8" s="661" t="s">
        <v>575</v>
      </c>
      <c r="D8" s="163"/>
      <c r="E8" s="174" t="s">
        <v>574</v>
      </c>
      <c r="G8" s="662">
        <v>959389495</v>
      </c>
    </row>
    <row r="9" spans="1:9" x14ac:dyDescent="0.2">
      <c r="A9" s="166">
        <f t="shared" ref="A9:A72" si="0">A8+1</f>
        <v>3</v>
      </c>
      <c r="C9" s="258" t="s">
        <v>573</v>
      </c>
      <c r="D9" s="163"/>
      <c r="E9" s="174" t="s">
        <v>572</v>
      </c>
      <c r="G9" s="662">
        <v>258683023</v>
      </c>
    </row>
    <row r="10" spans="1:9" x14ac:dyDescent="0.2">
      <c r="A10" s="166">
        <f t="shared" si="0"/>
        <v>4</v>
      </c>
      <c r="C10" s="661" t="s">
        <v>571</v>
      </c>
      <c r="D10" s="163"/>
      <c r="E10" s="174" t="str">
        <f>"Line "&amp;A8&amp;" - Line "&amp;A9&amp;""</f>
        <v>Line 2 - Line 3</v>
      </c>
      <c r="G10" s="221">
        <f>G8-G9</f>
        <v>700706472</v>
      </c>
    </row>
    <row r="11" spans="1:9" x14ac:dyDescent="0.2">
      <c r="A11" s="166">
        <f t="shared" si="0"/>
        <v>5</v>
      </c>
      <c r="C11" s="661" t="s">
        <v>570</v>
      </c>
      <c r="D11" s="163"/>
      <c r="E11" s="174" t="str">
        <f>"20-AandG, Note 2"</f>
        <v>20-AandG, Note 2</v>
      </c>
      <c r="G11" s="173">
        <v>97859074</v>
      </c>
      <c r="I11" s="223"/>
    </row>
    <row r="12" spans="1:9" x14ac:dyDescent="0.2">
      <c r="A12" s="166">
        <f t="shared" si="0"/>
        <v>6</v>
      </c>
      <c r="C12" s="258" t="s">
        <v>569</v>
      </c>
      <c r="D12" s="163"/>
      <c r="E12" s="174" t="str">
        <f>"20-AandG, Note 2"</f>
        <v>20-AandG, Note 2</v>
      </c>
      <c r="G12" s="250">
        <v>37840037</v>
      </c>
    </row>
    <row r="13" spans="1:9" x14ac:dyDescent="0.2">
      <c r="A13" s="166">
        <f t="shared" si="0"/>
        <v>7</v>
      </c>
      <c r="C13" s="661" t="s">
        <v>568</v>
      </c>
      <c r="D13" s="163"/>
      <c r="E13" s="174" t="str">
        <f>"Line "&amp;A11&amp;" - Line "&amp;A12&amp;""</f>
        <v>Line 5 - Line 6</v>
      </c>
      <c r="G13" s="221">
        <f>G11-G12</f>
        <v>60019037</v>
      </c>
    </row>
    <row r="14" spans="1:9" x14ac:dyDescent="0.2">
      <c r="A14" s="166">
        <f t="shared" si="0"/>
        <v>8</v>
      </c>
      <c r="C14" s="661" t="s">
        <v>567</v>
      </c>
      <c r="D14" s="163"/>
      <c r="E14" s="174" t="str">
        <f>"Line "&amp;A10&amp;" + Line "&amp;A13&amp;""</f>
        <v>Line 4 + Line 7</v>
      </c>
      <c r="G14" s="221">
        <f>G10+G13</f>
        <v>760725509</v>
      </c>
    </row>
    <row r="15" spans="1:9" x14ac:dyDescent="0.2">
      <c r="A15" s="166">
        <f t="shared" si="0"/>
        <v>9</v>
      </c>
      <c r="C15" s="163" t="s">
        <v>566</v>
      </c>
      <c r="D15" s="163"/>
      <c r="E15" s="174" t="str">
        <f>"Line "&amp;A7&amp;" / Line "&amp;A14&amp;""</f>
        <v>Line 1 / Line 8</v>
      </c>
      <c r="G15" s="492">
        <f>G7/G14</f>
        <v>4.253403191269526E-2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5731652950.0200062</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1792693394</v>
      </c>
      <c r="H22" s="660"/>
    </row>
    <row r="23" spans="1:11" x14ac:dyDescent="0.2">
      <c r="A23" s="166">
        <f t="shared" si="0"/>
        <v>17</v>
      </c>
      <c r="C23" s="163" t="s">
        <v>559</v>
      </c>
      <c r="D23" s="163"/>
      <c r="E23" s="163" t="str">
        <f>"Line "&amp;A22&amp;" * Line "&amp;A15&amp;""</f>
        <v>Line 16 * Line 9</v>
      </c>
      <c r="G23" s="179">
        <f>G22*G15</f>
        <v>76250478.030073971</v>
      </c>
    </row>
    <row r="24" spans="1:11" x14ac:dyDescent="0.2">
      <c r="A24" s="166">
        <f t="shared" si="0"/>
        <v>18</v>
      </c>
      <c r="C24" s="163" t="s">
        <v>558</v>
      </c>
      <c r="D24" s="163"/>
      <c r="E24" s="174" t="s">
        <v>1012</v>
      </c>
      <c r="G24" s="173">
        <v>2566405180</v>
      </c>
    </row>
    <row r="25" spans="1:11" x14ac:dyDescent="0.2">
      <c r="A25" s="166">
        <f t="shared" si="0"/>
        <v>19</v>
      </c>
      <c r="C25" s="163" t="s">
        <v>557</v>
      </c>
      <c r="D25" s="163"/>
      <c r="E25" s="163" t="str">
        <f>"Line "&amp;A24&amp;" * Line "&amp;A15&amp;""</f>
        <v>Line 18 * Line 9</v>
      </c>
      <c r="G25" s="179">
        <f>G24*G15</f>
        <v>109159559.82702643</v>
      </c>
    </row>
    <row r="26" spans="1:11" x14ac:dyDescent="0.2">
      <c r="A26" s="166">
        <f t="shared" si="0"/>
        <v>20</v>
      </c>
      <c r="C26" s="174" t="s">
        <v>556</v>
      </c>
      <c r="D26" s="163"/>
      <c r="E26" s="163" t="s">
        <v>555</v>
      </c>
      <c r="G26" s="662">
        <v>35785126920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0.16534978347583032</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8777</v>
      </c>
      <c r="E33" s="207"/>
      <c r="F33" s="163"/>
      <c r="G33" s="664" t="s">
        <v>550</v>
      </c>
      <c r="H33" s="163"/>
      <c r="I33" s="163"/>
      <c r="J33" s="219"/>
      <c r="K33" s="163"/>
    </row>
    <row r="34" spans="1:11" x14ac:dyDescent="0.2">
      <c r="A34" s="171">
        <f t="shared" si="0"/>
        <v>28</v>
      </c>
      <c r="B34" s="163"/>
      <c r="C34" s="163" t="s">
        <v>549</v>
      </c>
      <c r="D34" s="663">
        <v>7921</v>
      </c>
      <c r="E34" s="207"/>
      <c r="F34" s="163"/>
      <c r="G34" s="664" t="s">
        <v>548</v>
      </c>
      <c r="H34" s="163"/>
      <c r="I34" s="163"/>
      <c r="J34" s="163"/>
      <c r="K34" s="163"/>
    </row>
    <row r="35" spans="1:11" x14ac:dyDescent="0.2">
      <c r="A35" s="171">
        <f t="shared" si="0"/>
        <v>29</v>
      </c>
      <c r="B35" s="163"/>
      <c r="C35" s="163" t="s">
        <v>547</v>
      </c>
      <c r="D35" s="665">
        <f>SUM(D33:D34)</f>
        <v>16698</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0.52563181219307697</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211</v>
      </c>
      <c r="E39" s="207"/>
      <c r="F39" s="163"/>
      <c r="G39" s="664" t="s">
        <v>542</v>
      </c>
      <c r="H39" s="163"/>
      <c r="I39" s="163"/>
      <c r="J39" s="163"/>
      <c r="K39" s="163"/>
    </row>
    <row r="40" spans="1:11" x14ac:dyDescent="0.2">
      <c r="A40" s="171">
        <f t="shared" si="0"/>
        <v>34</v>
      </c>
      <c r="B40" s="163"/>
      <c r="C40" s="174" t="s">
        <v>541</v>
      </c>
      <c r="D40" s="663">
        <v>999</v>
      </c>
      <c r="E40" s="207"/>
      <c r="F40" s="163"/>
      <c r="G40" s="163"/>
      <c r="H40" s="163"/>
      <c r="I40" s="163"/>
      <c r="J40" s="163"/>
      <c r="K40" s="163"/>
    </row>
    <row r="41" spans="1:11" x14ac:dyDescent="0.2">
      <c r="A41" s="171">
        <f t="shared" si="0"/>
        <v>35</v>
      </c>
      <c r="B41" s="163"/>
      <c r="C41" s="174" t="s">
        <v>540</v>
      </c>
      <c r="D41" s="665">
        <f>SUM(D39:D40)</f>
        <v>1210</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0.17438016528925621</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681</v>
      </c>
      <c r="E45" s="207"/>
      <c r="F45" s="163"/>
      <c r="G45" s="664" t="s">
        <v>536</v>
      </c>
      <c r="H45" s="163"/>
      <c r="I45" s="163"/>
      <c r="J45" s="163"/>
      <c r="K45" s="163"/>
    </row>
    <row r="46" spans="1:11" x14ac:dyDescent="0.2">
      <c r="A46" s="171">
        <f t="shared" si="0"/>
        <v>40</v>
      </c>
      <c r="B46" s="163"/>
      <c r="C46" s="174" t="s">
        <v>535</v>
      </c>
      <c r="D46" s="663">
        <v>2483</v>
      </c>
      <c r="E46" s="207"/>
      <c r="F46" s="163"/>
      <c r="G46" s="163"/>
      <c r="H46" s="163"/>
      <c r="I46" s="163"/>
      <c r="J46" s="163"/>
      <c r="K46" s="163"/>
    </row>
    <row r="47" spans="1:11" x14ac:dyDescent="0.2">
      <c r="A47" s="171">
        <f t="shared" si="0"/>
        <v>41</v>
      </c>
      <c r="B47" s="163"/>
      <c r="C47" s="174" t="s">
        <v>534</v>
      </c>
      <c r="D47" s="665">
        <f>SUM(D45:D46)</f>
        <v>3164</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0.2152338811630847</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5560.0759075757605</v>
      </c>
      <c r="E51" s="207"/>
      <c r="F51" s="163"/>
      <c r="G51" s="664" t="s">
        <v>530</v>
      </c>
      <c r="H51" s="163"/>
      <c r="I51" s="163"/>
      <c r="J51" s="163"/>
      <c r="K51" s="163"/>
    </row>
    <row r="52" spans="1:11" ht="13.5" thickBot="1" x14ac:dyDescent="0.25">
      <c r="A52" s="171">
        <f t="shared" si="0"/>
        <v>46</v>
      </c>
      <c r="B52" s="163"/>
      <c r="C52" s="174" t="s">
        <v>529</v>
      </c>
      <c r="D52" s="667">
        <v>6525.60149242424</v>
      </c>
      <c r="E52" s="207"/>
      <c r="F52" s="163"/>
      <c r="G52" s="664" t="s">
        <v>528</v>
      </c>
      <c r="H52" s="163"/>
      <c r="I52" s="163"/>
      <c r="J52" s="163"/>
      <c r="K52" s="163"/>
    </row>
    <row r="53" spans="1:11" x14ac:dyDescent="0.2">
      <c r="A53" s="171">
        <f t="shared" si="0"/>
        <v>47</v>
      </c>
      <c r="B53" s="163"/>
      <c r="C53" s="174" t="s">
        <v>527</v>
      </c>
      <c r="D53" s="665">
        <f>SUM(D51:D52)</f>
        <v>12085.6774</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0.46005496618466418</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1.2468651515151501</v>
      </c>
      <c r="E57" s="207"/>
      <c r="F57" s="163"/>
      <c r="G57" s="664" t="s">
        <v>521</v>
      </c>
      <c r="H57" s="163"/>
      <c r="I57" s="163"/>
      <c r="J57" s="163"/>
      <c r="K57" s="163"/>
    </row>
    <row r="58" spans="1:11" x14ac:dyDescent="0.2">
      <c r="A58" s="171">
        <f t="shared" si="0"/>
        <v>52</v>
      </c>
      <c r="B58" s="636"/>
      <c r="C58" s="174" t="s">
        <v>520</v>
      </c>
      <c r="D58" s="663">
        <v>352.51483484848501</v>
      </c>
      <c r="E58" s="207"/>
      <c r="F58" s="163"/>
      <c r="G58" s="664" t="s">
        <v>519</v>
      </c>
      <c r="H58" s="163"/>
      <c r="I58" s="163"/>
      <c r="J58" s="163"/>
      <c r="K58" s="163"/>
    </row>
    <row r="59" spans="1:11" x14ac:dyDescent="0.2">
      <c r="A59" s="171">
        <f t="shared" si="0"/>
        <v>53</v>
      </c>
      <c r="B59" s="636"/>
      <c r="C59" s="174" t="s">
        <v>518</v>
      </c>
      <c r="D59" s="665">
        <f>SUM(D57:D58)</f>
        <v>353.76170000000013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3.5245905690614605E-3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5738061.3334951103</v>
      </c>
      <c r="E63" s="207"/>
      <c r="F63" s="163"/>
      <c r="G63" s="664" t="s">
        <v>514</v>
      </c>
      <c r="H63" s="163"/>
      <c r="I63" s="163"/>
      <c r="J63" s="163"/>
      <c r="K63" s="163"/>
    </row>
    <row r="64" spans="1:11" x14ac:dyDescent="0.2">
      <c r="A64" s="171">
        <f t="shared" si="0"/>
        <v>58</v>
      </c>
      <c r="B64" s="636"/>
      <c r="C64" s="174" t="s">
        <v>513</v>
      </c>
      <c r="D64" s="663">
        <v>2539847.7523972299</v>
      </c>
      <c r="E64" s="207"/>
      <c r="F64" s="163"/>
      <c r="G64" s="664"/>
      <c r="H64" s="163"/>
      <c r="I64" s="163"/>
      <c r="J64" s="163"/>
      <c r="K64" s="163"/>
    </row>
    <row r="65" spans="1:11" x14ac:dyDescent="0.2">
      <c r="A65" s="171">
        <f t="shared" si="0"/>
        <v>59</v>
      </c>
      <c r="B65" s="636"/>
      <c r="C65" s="174" t="s">
        <v>512</v>
      </c>
      <c r="D65" s="665">
        <f>SUM(D63:D64)</f>
        <v>8277909.0858923402</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0.69317762178304476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377.33300000000003</v>
      </c>
      <c r="E69" s="207"/>
      <c r="F69" s="163"/>
      <c r="G69" s="664" t="s">
        <v>508</v>
      </c>
      <c r="H69" s="163"/>
      <c r="I69" s="163"/>
      <c r="J69" s="163"/>
      <c r="K69" s="163"/>
    </row>
    <row r="70" spans="1:11" x14ac:dyDescent="0.2">
      <c r="A70" s="171">
        <f t="shared" si="0"/>
        <v>64</v>
      </c>
      <c r="B70" s="636"/>
      <c r="C70" s="174" t="s">
        <v>507</v>
      </c>
      <c r="D70" s="663">
        <v>38.216999999999999</v>
      </c>
      <c r="E70" s="207"/>
      <c r="F70" s="163"/>
      <c r="G70" s="664"/>
      <c r="H70" s="163"/>
      <c r="I70" s="163"/>
      <c r="J70" s="163"/>
      <c r="K70" s="163"/>
    </row>
    <row r="71" spans="1:11" x14ac:dyDescent="0.2">
      <c r="A71" s="171">
        <f t="shared" si="0"/>
        <v>65</v>
      </c>
      <c r="B71" s="636"/>
      <c r="C71" s="174" t="s">
        <v>506</v>
      </c>
      <c r="D71" s="665">
        <f>SUM(D69:D70)</f>
        <v>415.55</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0.90803272771026355</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127</v>
      </c>
      <c r="E75" s="207"/>
      <c r="F75" s="163"/>
      <c r="G75" s="664" t="s">
        <v>502</v>
      </c>
      <c r="H75" s="163"/>
      <c r="I75" s="163"/>
      <c r="J75" s="163"/>
      <c r="K75" s="163"/>
    </row>
    <row r="76" spans="1:11" ht="13.5" thickBot="1" x14ac:dyDescent="0.25">
      <c r="A76" s="171">
        <f t="shared" si="1"/>
        <v>70</v>
      </c>
      <c r="B76" s="636"/>
      <c r="C76" s="174" t="s">
        <v>501</v>
      </c>
      <c r="D76" s="667">
        <v>477</v>
      </c>
      <c r="E76" s="207"/>
      <c r="F76" s="163"/>
      <c r="G76" s="664"/>
      <c r="H76" s="163"/>
      <c r="I76" s="163"/>
      <c r="J76" s="163"/>
      <c r="K76" s="163"/>
    </row>
    <row r="77" spans="1:11" x14ac:dyDescent="0.2">
      <c r="A77" s="171">
        <f t="shared" si="1"/>
        <v>71</v>
      </c>
      <c r="B77" s="636"/>
      <c r="C77" s="174" t="s">
        <v>500</v>
      </c>
      <c r="D77" s="670">
        <f>SUM(D75:D76)</f>
        <v>604</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0.21026490066225165</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1069</v>
      </c>
      <c r="E81" s="207"/>
      <c r="F81" s="163"/>
      <c r="G81" s="664" t="s">
        <v>496</v>
      </c>
      <c r="H81" s="163"/>
      <c r="I81" s="163"/>
      <c r="J81" s="163"/>
      <c r="K81" s="163"/>
    </row>
    <row r="82" spans="1:11" ht="13.5" thickBot="1" x14ac:dyDescent="0.25">
      <c r="A82" s="171">
        <f t="shared" si="1"/>
        <v>76</v>
      </c>
      <c r="B82" s="636"/>
      <c r="C82" s="174" t="s">
        <v>495</v>
      </c>
      <c r="D82" s="667">
        <v>2038</v>
      </c>
      <c r="E82" s="207"/>
      <c r="F82" s="163"/>
      <c r="G82" s="664"/>
      <c r="H82" s="163"/>
      <c r="I82" s="163"/>
      <c r="J82" s="163"/>
      <c r="K82" s="163"/>
    </row>
    <row r="83" spans="1:11" x14ac:dyDescent="0.2">
      <c r="A83" s="171">
        <f t="shared" si="1"/>
        <v>77</v>
      </c>
      <c r="B83" s="636"/>
      <c r="C83" s="174" t="s">
        <v>494</v>
      </c>
      <c r="D83" s="670">
        <f>SUM(D81:D82)</f>
        <v>3107</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0.34406179594464115</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261</v>
      </c>
      <c r="E87" s="207"/>
      <c r="F87" s="163"/>
      <c r="G87" s="664" t="s">
        <v>490</v>
      </c>
      <c r="H87" s="163"/>
      <c r="I87" s="163"/>
      <c r="J87" s="163"/>
      <c r="K87" s="163"/>
    </row>
    <row r="88" spans="1:11" ht="13.5" thickBot="1" x14ac:dyDescent="0.25">
      <c r="A88" s="171">
        <f t="shared" si="1"/>
        <v>82</v>
      </c>
      <c r="B88" s="636"/>
      <c r="C88" s="174" t="s">
        <v>489</v>
      </c>
      <c r="D88" s="667">
        <v>148</v>
      </c>
      <c r="E88" s="207"/>
      <c r="F88" s="163"/>
      <c r="G88" s="664"/>
      <c r="H88" s="163"/>
      <c r="I88" s="163"/>
      <c r="J88" s="163"/>
      <c r="K88" s="163"/>
    </row>
    <row r="89" spans="1:11" x14ac:dyDescent="0.2">
      <c r="A89" s="171">
        <f t="shared" si="1"/>
        <v>83</v>
      </c>
      <c r="B89" s="636"/>
      <c r="C89" s="174" t="s">
        <v>488</v>
      </c>
      <c r="D89" s="670">
        <f>SUM(D87:D88)</f>
        <v>409</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0.63814180929095354</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-31520.911199999799</v>
      </c>
      <c r="E93" s="207"/>
      <c r="F93" s="163"/>
      <c r="G93" s="163" t="s">
        <v>484</v>
      </c>
      <c r="H93" s="163"/>
      <c r="I93" s="163"/>
      <c r="J93" s="163"/>
      <c r="K93" s="163"/>
    </row>
    <row r="94" spans="1:11" x14ac:dyDescent="0.2">
      <c r="A94" s="171">
        <f t="shared" si="1"/>
        <v>88</v>
      </c>
      <c r="B94" s="636"/>
      <c r="C94" s="174" t="s">
        <v>483</v>
      </c>
      <c r="D94" s="663">
        <v>-1469509.4687999999</v>
      </c>
      <c r="E94" s="207"/>
      <c r="F94" s="163"/>
      <c r="G94" s="664"/>
      <c r="H94" s="163"/>
      <c r="I94" s="163"/>
      <c r="J94" s="163"/>
      <c r="K94" s="163"/>
    </row>
    <row r="95" spans="1:11" x14ac:dyDescent="0.2">
      <c r="A95" s="171">
        <f t="shared" si="1"/>
        <v>89</v>
      </c>
      <c r="B95" s="636"/>
      <c r="C95" s="174" t="s">
        <v>482</v>
      </c>
      <c r="D95" s="665">
        <f>SUM(D93:D94)</f>
        <v>-1501030.3799999997</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2.0999515812597881E-2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759799.21</v>
      </c>
      <c r="E99" s="207"/>
      <c r="F99" s="163"/>
      <c r="G99" s="664" t="s">
        <v>478</v>
      </c>
      <c r="H99" s="163"/>
      <c r="I99" s="163"/>
      <c r="J99" s="163"/>
      <c r="K99" s="163"/>
    </row>
    <row r="100" spans="1:11" x14ac:dyDescent="0.2">
      <c r="A100" s="171">
        <f t="shared" si="1"/>
        <v>94</v>
      </c>
      <c r="B100" s="636"/>
      <c r="C100" s="174" t="s">
        <v>477</v>
      </c>
      <c r="D100" s="663">
        <v>9756406.4100000095</v>
      </c>
      <c r="E100" s="207"/>
      <c r="F100" s="163"/>
      <c r="G100" s="664"/>
      <c r="H100" s="163"/>
      <c r="I100" s="163"/>
      <c r="J100" s="163"/>
      <c r="K100" s="163"/>
    </row>
    <row r="101" spans="1:11" x14ac:dyDescent="0.2">
      <c r="A101" s="171">
        <f t="shared" si="1"/>
        <v>95</v>
      </c>
      <c r="B101" s="636"/>
      <c r="C101" s="174" t="s">
        <v>476</v>
      </c>
      <c r="D101" s="665">
        <f>SUM(D99:D100)</f>
        <v>10516205.620000008</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7.2250318932048363E-2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544369.52439273091</v>
      </c>
      <c r="E105" s="207"/>
      <c r="F105" s="163"/>
      <c r="G105" s="664" t="s">
        <v>472</v>
      </c>
      <c r="H105" s="163"/>
      <c r="I105" s="163"/>
      <c r="J105" s="163"/>
      <c r="K105" s="163"/>
    </row>
    <row r="106" spans="1:11" ht="13.5" thickBot="1" x14ac:dyDescent="0.25">
      <c r="A106" s="171">
        <f t="shared" si="1"/>
        <v>100</v>
      </c>
      <c r="B106" s="636"/>
      <c r="C106" s="174" t="s">
        <v>471</v>
      </c>
      <c r="D106" s="667">
        <v>759748.95560726908</v>
      </c>
      <c r="E106" s="207"/>
      <c r="F106" s="163"/>
      <c r="G106" s="664"/>
      <c r="H106" s="163"/>
      <c r="I106" s="163"/>
      <c r="J106" s="163"/>
      <c r="K106" s="163"/>
    </row>
    <row r="107" spans="1:11" x14ac:dyDescent="0.2">
      <c r="A107" s="171">
        <f t="shared" si="1"/>
        <v>101</v>
      </c>
      <c r="B107" s="636"/>
      <c r="C107" s="174" t="s">
        <v>470</v>
      </c>
      <c r="D107" s="665">
        <f>SUM(D105:D106)</f>
        <v>1304118.48</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0.41742336508622352</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2322</v>
      </c>
      <c r="E112" s="207"/>
      <c r="F112" s="163"/>
      <c r="G112" s="664"/>
      <c r="H112" s="163"/>
      <c r="I112" s="163"/>
      <c r="J112" s="163"/>
      <c r="K112" s="163"/>
    </row>
    <row r="113" spans="1:11" x14ac:dyDescent="0.2">
      <c r="A113" s="171">
        <f t="shared" si="1"/>
        <v>107</v>
      </c>
      <c r="B113" s="636"/>
      <c r="C113" s="174" t="s">
        <v>464</v>
      </c>
      <c r="D113" s="670">
        <f>SUM(D111:D112)</f>
        <v>2322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8848</v>
      </c>
      <c r="E118" s="207"/>
      <c r="F118" s="163"/>
      <c r="G118" s="664"/>
      <c r="H118" s="163"/>
      <c r="I118" s="163"/>
      <c r="J118" s="163"/>
      <c r="K118" s="163"/>
    </row>
    <row r="119" spans="1:11" x14ac:dyDescent="0.2">
      <c r="A119" s="171">
        <f t="shared" si="1"/>
        <v>113</v>
      </c>
      <c r="B119" s="636"/>
      <c r="C119" s="174" t="s">
        <v>458</v>
      </c>
      <c r="D119" s="670">
        <f>SUM(D117:D118)</f>
        <v>8848</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2286</v>
      </c>
      <c r="E124" s="207"/>
      <c r="F124" s="163"/>
      <c r="G124" s="664"/>
      <c r="H124" s="163"/>
      <c r="I124" s="163"/>
      <c r="J124" s="163"/>
      <c r="K124" s="163"/>
    </row>
    <row r="125" spans="1:11" x14ac:dyDescent="0.2">
      <c r="A125" s="171">
        <f t="shared" si="1"/>
        <v>119</v>
      </c>
      <c r="B125" s="636"/>
      <c r="C125" s="174" t="s">
        <v>450</v>
      </c>
      <c r="D125" s="670">
        <f>SUM(D123:D124)</f>
        <v>2286</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2013 True Up TRR)&amp;RTO12 Draft Annual Update
Attachment 4
WP-Schedule 3-One Time Adj True Up Adj
Page &amp;P of &amp;N</oddHeader>
    <oddFooter>&amp;R&amp;A</oddFooter>
  </headerFooter>
  <rowBreaks count="2" manualBreakCount="2">
    <brk id="49" max="16383" man="1"/>
    <brk id="103" max="10"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3:H16"/>
  <sheetViews>
    <sheetView zoomScaleNormal="100" workbookViewId="0">
      <selection activeCell="E10" sqref="E10"/>
    </sheetView>
  </sheetViews>
  <sheetFormatPr defaultRowHeight="15" x14ac:dyDescent="0.25"/>
  <cols>
    <col min="1" max="2" width="9.140625" style="43"/>
    <col min="3" max="3" width="12" style="43" customWidth="1"/>
    <col min="4" max="4" width="17.7109375" style="43" customWidth="1"/>
    <col min="5" max="6" width="9.140625" style="43"/>
    <col min="7" max="7" width="14.85546875" style="43" customWidth="1"/>
    <col min="8" max="16384" width="9.140625" style="43"/>
  </cols>
  <sheetData>
    <row r="3" spans="1:8" x14ac:dyDescent="0.25">
      <c r="A3" s="726" t="s">
        <v>286</v>
      </c>
      <c r="B3" s="726"/>
      <c r="C3" s="726"/>
      <c r="D3" s="726"/>
      <c r="E3" s="726"/>
      <c r="F3" s="726"/>
      <c r="G3" s="726"/>
    </row>
    <row r="4" spans="1:8" x14ac:dyDescent="0.25">
      <c r="A4" s="726"/>
      <c r="B4" s="726"/>
      <c r="C4" s="726"/>
      <c r="D4" s="726"/>
      <c r="E4" s="726"/>
      <c r="F4" s="726"/>
      <c r="G4" s="726"/>
    </row>
    <row r="5" spans="1:8" x14ac:dyDescent="0.25">
      <c r="A5" s="727" t="s">
        <v>33</v>
      </c>
      <c r="B5" s="727"/>
      <c r="C5" s="727"/>
      <c r="D5" s="44" t="s">
        <v>34</v>
      </c>
      <c r="E5" s="728" t="s">
        <v>35</v>
      </c>
      <c r="F5" s="728"/>
      <c r="G5" s="728"/>
      <c r="H5" s="45"/>
    </row>
    <row r="6" spans="1:8" ht="54" customHeight="1" x14ac:dyDescent="0.25">
      <c r="A6" s="757" t="s">
        <v>319</v>
      </c>
      <c r="B6" s="739"/>
      <c r="C6" s="740"/>
      <c r="D6" s="65">
        <f>'WP-2014 Sch4-TUTRR'!J71</f>
        <v>900132405.41262996</v>
      </c>
      <c r="E6" s="758" t="s">
        <v>1099</v>
      </c>
      <c r="F6" s="759"/>
      <c r="G6" s="759"/>
    </row>
    <row r="7" spans="1:8" ht="57.75" customHeight="1" x14ac:dyDescent="0.25">
      <c r="A7" s="757" t="s">
        <v>320</v>
      </c>
      <c r="B7" s="760"/>
      <c r="C7" s="761"/>
      <c r="D7" s="443">
        <f>'WP-2014 Sch4-TUTRR'!J70</f>
        <v>900376914.4988457</v>
      </c>
      <c r="E7" s="751" t="s">
        <v>1102</v>
      </c>
      <c r="F7" s="752"/>
      <c r="G7" s="752"/>
    </row>
    <row r="8" spans="1:8" ht="23.25" customHeight="1" x14ac:dyDescent="0.25">
      <c r="A8" s="753" t="s">
        <v>36</v>
      </c>
      <c r="B8" s="753"/>
      <c r="C8" s="753"/>
      <c r="D8" s="128">
        <f>D7-D6</f>
        <v>244509.08621573448</v>
      </c>
      <c r="E8" s="754"/>
      <c r="F8" s="755"/>
      <c r="G8" s="756"/>
    </row>
    <row r="11" spans="1:8" x14ac:dyDescent="0.25">
      <c r="A11" s="43" t="s">
        <v>37</v>
      </c>
      <c r="H11" s="87"/>
    </row>
    <row r="12" spans="1:8" ht="15" customHeight="1" x14ac:dyDescent="0.25">
      <c r="A12" s="721" t="s">
        <v>1086</v>
      </c>
      <c r="B12" s="722"/>
      <c r="C12" s="722"/>
      <c r="D12" s="722"/>
      <c r="E12" s="722"/>
      <c r="F12" s="722"/>
      <c r="G12" s="722"/>
      <c r="H12" s="722"/>
    </row>
    <row r="13" spans="1:8" ht="15" customHeight="1" x14ac:dyDescent="0.25">
      <c r="A13" s="706" t="s">
        <v>1087</v>
      </c>
      <c r="B13" s="304"/>
      <c r="C13" s="304"/>
      <c r="D13" s="304"/>
      <c r="E13" s="304"/>
      <c r="F13" s="304"/>
      <c r="G13" s="304"/>
      <c r="H13" s="304"/>
    </row>
    <row r="14" spans="1:8" ht="15" customHeight="1" x14ac:dyDescent="0.25">
      <c r="A14" s="721" t="s">
        <v>1088</v>
      </c>
      <c r="B14" s="722"/>
      <c r="C14" s="722"/>
      <c r="D14" s="722"/>
      <c r="E14" s="722"/>
      <c r="F14" s="722"/>
      <c r="G14" s="722"/>
      <c r="H14" s="722"/>
    </row>
    <row r="15" spans="1:8" x14ac:dyDescent="0.25">
      <c r="A15" s="706" t="s">
        <v>1089</v>
      </c>
      <c r="B15" s="304"/>
      <c r="C15" s="304"/>
      <c r="D15" s="304"/>
      <c r="E15" s="304"/>
      <c r="F15" s="304"/>
      <c r="G15" s="304"/>
      <c r="H15" s="304"/>
    </row>
    <row r="16" spans="1:8" x14ac:dyDescent="0.25">
      <c r="A16" s="721" t="s">
        <v>1090</v>
      </c>
      <c r="B16" s="722"/>
      <c r="C16" s="722"/>
      <c r="D16" s="722"/>
      <c r="E16" s="722"/>
      <c r="F16" s="722"/>
      <c r="G16" s="722"/>
      <c r="H16" s="722"/>
    </row>
  </sheetData>
  <mergeCells count="12">
    <mergeCell ref="A3:G4"/>
    <mergeCell ref="A5:C5"/>
    <mergeCell ref="E5:G5"/>
    <mergeCell ref="A6:C6"/>
    <mergeCell ref="E6:G6"/>
    <mergeCell ref="A12:H12"/>
    <mergeCell ref="A14:H14"/>
    <mergeCell ref="A16:H16"/>
    <mergeCell ref="E7:G7"/>
    <mergeCell ref="A8:C8"/>
    <mergeCell ref="E8:G8"/>
    <mergeCell ref="A7:C7"/>
  </mergeCells>
  <pageMargins left="0.7" right="0.7" top="0.75" bottom="0.75" header="0.3" footer="0.3"/>
  <pageSetup orientation="portrait" r:id="rId1"/>
  <headerFooter>
    <oddHeader>&amp;RTO12 Draft Annual Update
Attachment 4
WP-Schedule 3-One Time Adj True Up Adj
Page &amp;P of &amp;N</oddHeader>
    <oddFooter>&amp;R&amp;A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12.28515625" bestFit="1"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5979743757.3212185</v>
      </c>
    </row>
    <row r="7" spans="1:10" x14ac:dyDescent="0.2">
      <c r="A7" s="171">
        <f>A6+1</f>
        <v>2</v>
      </c>
      <c r="B7" s="163"/>
      <c r="C7" s="172" t="s">
        <v>49</v>
      </c>
      <c r="D7" s="163"/>
      <c r="E7" s="163"/>
      <c r="F7" s="163" t="s">
        <v>50</v>
      </c>
      <c r="G7" s="163"/>
      <c r="H7" s="172" t="s">
        <v>1010</v>
      </c>
      <c r="I7" s="163"/>
      <c r="J7" s="179">
        <v>243935134.52950749</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7222500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13962623.516801436</v>
      </c>
    </row>
    <row r="13" spans="1:10" x14ac:dyDescent="0.2">
      <c r="A13" s="171">
        <f>A12+1</f>
        <v>6</v>
      </c>
      <c r="B13" s="163"/>
      <c r="C13" s="177" t="s">
        <v>55</v>
      </c>
      <c r="D13" s="163"/>
      <c r="E13" s="163"/>
      <c r="F13" s="163" t="s">
        <v>48</v>
      </c>
      <c r="G13" s="163"/>
      <c r="H13" s="172" t="s">
        <v>1016</v>
      </c>
      <c r="I13" s="163"/>
      <c r="J13" s="179">
        <v>4007324.090564732</v>
      </c>
    </row>
    <row r="14" spans="1:10" x14ac:dyDescent="0.2">
      <c r="A14" s="171">
        <f>A13+1</f>
        <v>7</v>
      </c>
      <c r="B14" s="163"/>
      <c r="C14" s="176" t="s">
        <v>56</v>
      </c>
      <c r="D14" s="163"/>
      <c r="E14" s="163"/>
      <c r="F14" s="174" t="s">
        <v>57</v>
      </c>
      <c r="G14" s="163"/>
      <c r="H14" s="163" t="s">
        <v>1017</v>
      </c>
      <c r="I14" s="163"/>
      <c r="J14" s="178">
        <v>8942908.7126193643</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26912856.319985531</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-1118370130.4942241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-100505621.26748215</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-1218875751.7617061</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-1123792994.2044671</v>
      </c>
    </row>
    <row r="24" spans="1:10" x14ac:dyDescent="0.2">
      <c r="A24" s="171">
        <f>A23+1</f>
        <v>14</v>
      </c>
      <c r="B24" s="163"/>
      <c r="C24" s="172" t="s">
        <v>66</v>
      </c>
      <c r="D24" s="163"/>
      <c r="E24" s="163"/>
      <c r="F24" s="163" t="s">
        <v>48</v>
      </c>
      <c r="G24" s="163"/>
      <c r="H24" s="172" t="s">
        <v>1038</v>
      </c>
      <c r="I24" s="163"/>
      <c r="J24" s="173">
        <v>1012920131.8777215</v>
      </c>
    </row>
    <row r="25" spans="1:10" x14ac:dyDescent="0.2">
      <c r="A25" s="171">
        <f>A24+1</f>
        <v>15</v>
      </c>
      <c r="B25" s="163"/>
      <c r="C25" s="182" t="s">
        <v>67</v>
      </c>
      <c r="D25" s="163"/>
      <c r="E25" s="163"/>
      <c r="F25" s="163" t="s">
        <v>50</v>
      </c>
      <c r="G25" s="163" t="s">
        <v>61</v>
      </c>
      <c r="H25" s="172" t="s">
        <v>1040</v>
      </c>
      <c r="I25" s="163"/>
      <c r="J25" s="173">
        <v>-39651975</v>
      </c>
    </row>
    <row r="26" spans="1:10" x14ac:dyDescent="0.2">
      <c r="A26" s="171" t="s">
        <v>68</v>
      </c>
      <c r="B26" s="163"/>
      <c r="C26" s="172" t="s">
        <v>69</v>
      </c>
      <c r="D26" s="163"/>
      <c r="E26" s="163"/>
      <c r="F26" s="163"/>
      <c r="G26" s="163"/>
      <c r="H26" s="174" t="s">
        <v>1041</v>
      </c>
      <c r="I26" s="163"/>
      <c r="J26" s="179">
        <v>-14611199.608332802</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4883744614.4739275</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7.3032204412205551E-2</v>
      </c>
    </row>
    <row r="34" spans="1:10" x14ac:dyDescent="0.2">
      <c r="A34" s="166">
        <f>A33+1</f>
        <v>19</v>
      </c>
      <c r="C34" s="174" t="s">
        <v>75</v>
      </c>
      <c r="D34" s="174"/>
      <c r="E34" s="174"/>
      <c r="F34" s="174"/>
      <c r="G34" s="174"/>
      <c r="H34" t="str">
        <f>"Line "&amp;A29&amp;" * Line "&amp;A33&amp;""</f>
        <v>Line 17 * Line 18</v>
      </c>
      <c r="J34" s="186">
        <f>J29*J33</f>
        <v>356670634.98126787</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176609752.34572574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4883744614.4739275</v>
      </c>
    </row>
    <row r="42" spans="1:10" x14ac:dyDescent="0.2">
      <c r="A42" s="171">
        <f>A41+1</f>
        <v>22</v>
      </c>
      <c r="B42" s="163"/>
      <c r="C42" s="163"/>
      <c r="D42" s="176" t="s">
        <v>80</v>
      </c>
      <c r="E42" s="163"/>
      <c r="F42" s="163"/>
      <c r="G42" s="174" t="s">
        <v>81</v>
      </c>
      <c r="H42" s="174" t="str">
        <f>"Instruction 1, Line "&amp;B103&amp;""</f>
        <v>Instruction 1, Line k</v>
      </c>
      <c r="I42" s="163"/>
      <c r="J42" s="492">
        <f>E103</f>
        <v>5.1001483828330106E-2</v>
      </c>
    </row>
    <row r="43" spans="1:10" x14ac:dyDescent="0.2">
      <c r="A43" s="171">
        <f>A42+1</f>
        <v>23</v>
      </c>
      <c r="B43" s="163"/>
      <c r="C43" s="163"/>
      <c r="D43" s="177" t="s">
        <v>82</v>
      </c>
      <c r="E43" s="163"/>
      <c r="F43" s="163"/>
      <c r="G43" s="163"/>
      <c r="H43" s="163" t="s">
        <v>1018</v>
      </c>
      <c r="I43" s="163"/>
      <c r="J43" s="187">
        <v>0.40755937049510305</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2528293</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93536627.127574801</v>
      </c>
    </row>
    <row r="49" spans="1:10" x14ac:dyDescent="0.2">
      <c r="A49" s="171">
        <f t="shared" ref="A49:A60" si="0">A48+1</f>
        <v>27</v>
      </c>
      <c r="B49" s="177"/>
      <c r="C49" s="174" t="s">
        <v>87</v>
      </c>
      <c r="D49" s="163"/>
      <c r="E49" s="163"/>
      <c r="F49" s="163"/>
      <c r="G49" s="163"/>
      <c r="H49" s="163" t="s">
        <v>1022</v>
      </c>
      <c r="I49" s="163"/>
      <c r="J49" s="179">
        <v>49549912.274335012</v>
      </c>
    </row>
    <row r="50" spans="1:10" x14ac:dyDescent="0.2">
      <c r="A50" s="189" t="s">
        <v>159</v>
      </c>
      <c r="B50" s="190"/>
      <c r="C50" s="191" t="s">
        <v>160</v>
      </c>
      <c r="D50" s="192"/>
      <c r="E50" s="192"/>
      <c r="F50" s="192"/>
      <c r="G50" s="192"/>
      <c r="H50" s="192" t="s">
        <v>1043</v>
      </c>
      <c r="I50" s="192"/>
      <c r="J50" s="194">
        <v>-1422416.9818710689</v>
      </c>
    </row>
    <row r="51" spans="1:10" x14ac:dyDescent="0.2">
      <c r="A51" s="171">
        <f>A49+1</f>
        <v>28</v>
      </c>
      <c r="B51" s="177"/>
      <c r="C51" s="163" t="s">
        <v>88</v>
      </c>
      <c r="D51" s="163"/>
      <c r="E51" s="163"/>
      <c r="F51" s="163"/>
      <c r="G51" s="163"/>
      <c r="H51" s="163" t="s">
        <v>1023</v>
      </c>
      <c r="I51" s="163"/>
      <c r="J51" s="173">
        <v>1555832</v>
      </c>
    </row>
    <row r="52" spans="1:10" x14ac:dyDescent="0.2">
      <c r="A52" s="171">
        <f t="shared" si="0"/>
        <v>29</v>
      </c>
      <c r="B52" s="177"/>
      <c r="C52" s="174" t="s">
        <v>89</v>
      </c>
      <c r="D52" s="163"/>
      <c r="E52" s="163"/>
      <c r="F52" s="163"/>
      <c r="G52" s="163"/>
      <c r="H52" s="163" t="s">
        <v>1024</v>
      </c>
      <c r="I52" s="163"/>
      <c r="J52" s="179">
        <v>175437868.62126678</v>
      </c>
    </row>
    <row r="53" spans="1:10" x14ac:dyDescent="0.2">
      <c r="A53" s="171">
        <f t="shared" si="0"/>
        <v>30</v>
      </c>
      <c r="B53" s="177"/>
      <c r="C53" s="174" t="s">
        <v>90</v>
      </c>
      <c r="D53" s="163"/>
      <c r="E53" s="163"/>
      <c r="F53" s="163"/>
      <c r="G53" s="163"/>
      <c r="H53" s="163" t="s">
        <v>1025</v>
      </c>
      <c r="I53" s="163"/>
      <c r="J53" s="173">
        <v>14445000</v>
      </c>
    </row>
    <row r="54" spans="1:10" x14ac:dyDescent="0.2">
      <c r="A54" s="171">
        <f t="shared" si="0"/>
        <v>31</v>
      </c>
      <c r="B54" s="177"/>
      <c r="C54" s="174" t="s">
        <v>91</v>
      </c>
      <c r="D54" s="163"/>
      <c r="E54" s="163"/>
      <c r="F54" s="163"/>
      <c r="G54" s="163"/>
      <c r="H54" s="163" t="s">
        <v>1026</v>
      </c>
      <c r="I54" s="163"/>
      <c r="J54" s="179">
        <v>46994489.336294442</v>
      </c>
    </row>
    <row r="55" spans="1:10" x14ac:dyDescent="0.2">
      <c r="A55" s="171">
        <f t="shared" si="0"/>
        <v>32</v>
      </c>
      <c r="B55" s="177"/>
      <c r="C55" s="163" t="s">
        <v>92</v>
      </c>
      <c r="D55" s="163"/>
      <c r="E55" s="163"/>
      <c r="F55" s="163"/>
      <c r="G55" s="174"/>
      <c r="H55" s="163" t="s">
        <v>1027</v>
      </c>
      <c r="I55" s="163"/>
      <c r="J55" s="173">
        <v>-52513435.684500799</v>
      </c>
    </row>
    <row r="56" spans="1:10" x14ac:dyDescent="0.2">
      <c r="A56" s="171">
        <f t="shared" si="0"/>
        <v>33</v>
      </c>
      <c r="B56" s="177"/>
      <c r="C56" s="163" t="s">
        <v>93</v>
      </c>
      <c r="D56" s="163"/>
      <c r="E56" s="163"/>
      <c r="F56" s="163"/>
      <c r="G56" s="163"/>
      <c r="H56" s="163" t="str">
        <f>"Line "&amp;A34&amp;""</f>
        <v>Line 19</v>
      </c>
      <c r="I56" s="163"/>
      <c r="J56" s="179">
        <f>J34</f>
        <v>356670634.98126787</v>
      </c>
    </row>
    <row r="57" spans="1:10" x14ac:dyDescent="0.2">
      <c r="A57" s="171">
        <f t="shared" si="0"/>
        <v>34</v>
      </c>
      <c r="B57" s="177"/>
      <c r="C57" s="163" t="s">
        <v>94</v>
      </c>
      <c r="D57" s="163"/>
      <c r="E57" s="163"/>
      <c r="F57" s="163"/>
      <c r="G57" s="163"/>
      <c r="H57" s="163" t="str">
        <f>"Line "&amp;A38&amp;""</f>
        <v>Line 20</v>
      </c>
      <c r="I57" s="163"/>
      <c r="J57" s="186">
        <f>J38</f>
        <v>176609752.34572574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860864264.02009273</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29542762.997239858</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890407027.01733255</v>
      </c>
    </row>
    <row r="65" spans="1:12" x14ac:dyDescent="0.2">
      <c r="A65" s="171"/>
      <c r="B65" s="177"/>
      <c r="C65" s="174"/>
      <c r="D65" s="163"/>
      <c r="E65" s="163"/>
      <c r="F65" s="163"/>
      <c r="G65" s="163"/>
      <c r="H65" s="163"/>
      <c r="I65" s="163"/>
      <c r="J65" s="173"/>
    </row>
    <row r="66" spans="1:12" x14ac:dyDescent="0.2">
      <c r="A66" s="171"/>
      <c r="B66" s="195" t="s">
        <v>100</v>
      </c>
      <c r="C66" s="174"/>
      <c r="D66" s="163"/>
      <c r="E66" s="163"/>
      <c r="F66" s="163"/>
      <c r="G66" s="163"/>
      <c r="H66" s="163"/>
      <c r="I66" s="163"/>
      <c r="J66" s="173"/>
    </row>
    <row r="67" spans="1:12" ht="13.5" thickBot="1" x14ac:dyDescent="0.25">
      <c r="A67" s="167" t="s">
        <v>42</v>
      </c>
      <c r="B67" s="196"/>
      <c r="G67" s="169" t="s">
        <v>101</v>
      </c>
    </row>
    <row r="68" spans="1:12" x14ac:dyDescent="0.2">
      <c r="A68" s="171">
        <f>A64+1</f>
        <v>40</v>
      </c>
      <c r="B68" s="182"/>
      <c r="C68" s="163"/>
      <c r="D68" s="197" t="s">
        <v>102</v>
      </c>
      <c r="E68" s="179">
        <f>J64</f>
        <v>890407027.01733255</v>
      </c>
      <c r="F68" s="163"/>
      <c r="G68" s="163" t="str">
        <f>"Line "&amp;A64&amp;""</f>
        <v>Line 39</v>
      </c>
      <c r="H68" s="163"/>
      <c r="I68" s="163"/>
      <c r="J68" s="198" t="s">
        <v>103</v>
      </c>
      <c r="L68" s="267"/>
    </row>
    <row r="69" spans="1:12" x14ac:dyDescent="0.2">
      <c r="A69" s="171">
        <f>A68+1</f>
        <v>41</v>
      </c>
      <c r="B69" s="182"/>
      <c r="C69" s="163"/>
      <c r="D69" s="197" t="s">
        <v>104</v>
      </c>
      <c r="E69" s="199">
        <v>9.1427999999999995E-3</v>
      </c>
      <c r="F69" s="163"/>
      <c r="G69" s="163" t="s">
        <v>1045</v>
      </c>
      <c r="H69" s="163"/>
      <c r="I69" s="163"/>
      <c r="J69" s="200" t="s">
        <v>287</v>
      </c>
    </row>
    <row r="70" spans="1:12" x14ac:dyDescent="0.2">
      <c r="A70" s="171">
        <f>A69+1</f>
        <v>42</v>
      </c>
      <c r="B70" s="182"/>
      <c r="C70" s="163"/>
      <c r="D70" s="202" t="s">
        <v>105</v>
      </c>
      <c r="E70" s="179">
        <v>8140813.3666140679</v>
      </c>
      <c r="F70" s="163"/>
      <c r="G70" s="163" t="str">
        <f>"Line "&amp;A68&amp;" * Line "&amp;A69&amp;""</f>
        <v>Line 40 * Line 41</v>
      </c>
      <c r="H70" s="163"/>
      <c r="I70" s="163"/>
      <c r="J70" s="203">
        <f>E73</f>
        <v>900376914.4988457</v>
      </c>
    </row>
    <row r="71" spans="1:12" x14ac:dyDescent="0.2">
      <c r="A71" s="171">
        <f>A70+1</f>
        <v>43</v>
      </c>
      <c r="B71" s="182"/>
      <c r="C71" s="163"/>
      <c r="D71" s="197" t="s">
        <v>106</v>
      </c>
      <c r="E71" s="199">
        <v>2.0541999999999999E-3</v>
      </c>
      <c r="F71" s="163"/>
      <c r="G71" s="163" t="s">
        <v>1045</v>
      </c>
      <c r="H71" s="163"/>
      <c r="I71" s="163"/>
      <c r="J71" s="204">
        <v>900132405.41262996</v>
      </c>
    </row>
    <row r="72" spans="1:12" ht="13.5" thickBot="1" x14ac:dyDescent="0.25">
      <c r="A72" s="171">
        <f>A71+1</f>
        <v>44</v>
      </c>
      <c r="B72" s="182"/>
      <c r="C72" s="163"/>
      <c r="D72" s="197" t="s">
        <v>107</v>
      </c>
      <c r="E72" s="179">
        <v>1829074.1148990046</v>
      </c>
      <c r="F72" s="163"/>
      <c r="G72" s="163" t="str">
        <f>"Line "&amp;A70&amp;" * Line "&amp;A71&amp;""</f>
        <v>Line 42 * Line 43</v>
      </c>
      <c r="H72" s="163"/>
      <c r="I72" s="163"/>
      <c r="J72" s="205">
        <f>J70-J71</f>
        <v>244509.08621573448</v>
      </c>
    </row>
    <row r="73" spans="1:12" x14ac:dyDescent="0.2">
      <c r="A73" s="171">
        <f>A72+1</f>
        <v>45</v>
      </c>
      <c r="B73" s="182"/>
      <c r="C73" s="163"/>
      <c r="D73" s="197" t="s">
        <v>108</v>
      </c>
      <c r="E73" s="179">
        <f>E68+E70+E72</f>
        <v>900376914.4988457</v>
      </c>
      <c r="F73" s="163"/>
      <c r="G73" s="163" t="str">
        <f>"L "&amp;A68&amp;" + L "&amp;A70&amp;" + L "&amp;A72&amp;""</f>
        <v>L 40 + L 42 + L 44</v>
      </c>
      <c r="H73" s="163"/>
      <c r="I73" s="163"/>
      <c r="J73" s="163"/>
    </row>
    <row r="74" spans="1:12" x14ac:dyDescent="0.2">
      <c r="A74" s="163"/>
      <c r="B74" s="206" t="s">
        <v>109</v>
      </c>
      <c r="C74" s="163"/>
      <c r="D74" s="202"/>
      <c r="E74" s="173"/>
      <c r="F74" s="163"/>
      <c r="G74" s="163"/>
      <c r="H74" s="52"/>
      <c r="I74" s="163"/>
      <c r="J74" s="163"/>
    </row>
    <row r="75" spans="1:12" x14ac:dyDescent="0.2">
      <c r="A75" s="171"/>
      <c r="B75" s="174" t="s">
        <v>110</v>
      </c>
      <c r="C75" s="195"/>
      <c r="D75" s="202"/>
      <c r="E75" s="173"/>
      <c r="F75" s="163"/>
      <c r="G75" s="163"/>
      <c r="H75" s="163"/>
      <c r="I75" s="163"/>
      <c r="J75" s="163"/>
    </row>
    <row r="76" spans="1:12" x14ac:dyDescent="0.2">
      <c r="A76" s="171"/>
      <c r="B76" s="174" t="s">
        <v>111</v>
      </c>
      <c r="C76" s="195"/>
      <c r="D76" s="202"/>
      <c r="E76" s="173"/>
      <c r="F76" s="163"/>
      <c r="G76" s="163"/>
      <c r="H76" s="163"/>
      <c r="I76" s="163"/>
      <c r="J76" s="163"/>
    </row>
    <row r="77" spans="1:12" x14ac:dyDescent="0.2">
      <c r="A77" s="171"/>
      <c r="B77" s="172" t="s">
        <v>112</v>
      </c>
      <c r="C77" s="174"/>
      <c r="D77" s="202"/>
      <c r="E77" s="173"/>
      <c r="F77" s="163"/>
      <c r="G77" s="163"/>
      <c r="H77" s="163"/>
      <c r="I77" s="163"/>
      <c r="J77" s="163"/>
    </row>
    <row r="78" spans="1:12" x14ac:dyDescent="0.2">
      <c r="A78" s="171"/>
      <c r="B78" s="172" t="s">
        <v>113</v>
      </c>
      <c r="C78" s="163"/>
      <c r="D78" s="202"/>
      <c r="E78" s="173"/>
      <c r="F78" s="163"/>
      <c r="G78" s="163"/>
      <c r="H78" s="163"/>
      <c r="I78" s="163"/>
      <c r="J78" s="163"/>
    </row>
    <row r="79" spans="1:12" x14ac:dyDescent="0.2">
      <c r="A79" s="171"/>
      <c r="B79" s="163"/>
      <c r="C79" s="163"/>
      <c r="D79" s="163"/>
      <c r="E79" s="163"/>
      <c r="F79" s="163"/>
      <c r="G79" s="163"/>
      <c r="H79" s="163"/>
      <c r="I79" s="163"/>
      <c r="J79" s="163"/>
    </row>
    <row r="80" spans="1:12"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283</v>
      </c>
      <c r="H84" s="212" t="s">
        <v>284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2.2030720583875441E-2</v>
      </c>
      <c r="F95" s="163" t="s">
        <v>1031</v>
      </c>
      <c r="G95" s="163"/>
      <c r="H95" s="174"/>
      <c r="I95" s="174"/>
      <c r="J95" s="163"/>
    </row>
    <row r="96" spans="1:12" x14ac:dyDescent="0.2">
      <c r="B96" s="209" t="s">
        <v>140</v>
      </c>
      <c r="C96" s="174" t="s">
        <v>141</v>
      </c>
      <c r="D96" s="163"/>
      <c r="E96" s="492">
        <v>5.011336782410134E-3</v>
      </c>
      <c r="F96" s="163" t="s">
        <v>1032</v>
      </c>
      <c r="G96" s="163"/>
      <c r="H96" s="174"/>
      <c r="I96" s="174"/>
      <c r="J96" s="163"/>
    </row>
    <row r="97" spans="1:10" x14ac:dyDescent="0.2">
      <c r="B97" s="209" t="s">
        <v>142</v>
      </c>
      <c r="C97" s="174" t="s">
        <v>143</v>
      </c>
      <c r="D97" s="163"/>
      <c r="E97" s="447">
        <v>4.5990147045919971E-2</v>
      </c>
      <c r="F97" s="163" t="s">
        <v>1033</v>
      </c>
      <c r="G97" s="174"/>
      <c r="H97" s="174"/>
      <c r="I97" s="163"/>
      <c r="J97" s="163"/>
    </row>
    <row r="98" spans="1:10" x14ac:dyDescent="0.2">
      <c r="A98" s="163"/>
      <c r="B98" s="171" t="s">
        <v>144</v>
      </c>
      <c r="C98" s="176" t="s">
        <v>73</v>
      </c>
      <c r="D98" s="163"/>
      <c r="E98" s="448">
        <f>SUM(E95:E97)</f>
        <v>7.3032204412205551E-2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5.1001483828330106E-2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2014 True Up TRR)
&amp;RTO12 Draft Annual Update
Attachment 4
WP-Schedule 3-One Time Adj True Up Adj
Page &amp;P of &amp;N</oddHeader>
    <oddFooter>&amp;R&amp;A</oddFooter>
  </headerFooter>
  <rowBreaks count="4" manualBreakCount="4">
    <brk id="46" max="9" man="1"/>
    <brk id="73" max="16383" man="1"/>
    <brk id="119" max="9" man="1"/>
    <brk id="151"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110" zoomScaleNormal="11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2014</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10052861538.461538</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306770512.55153847</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10199092051.013077</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473381575</v>
      </c>
    </row>
    <row r="20" spans="1:27" x14ac:dyDescent="0.2">
      <c r="A20" s="171">
        <f>A19+1</f>
        <v>10</v>
      </c>
      <c r="B20" s="183"/>
      <c r="C20" s="174" t="s">
        <v>666</v>
      </c>
      <c r="D20" s="174"/>
      <c r="E20" s="174"/>
      <c r="F20" s="174"/>
      <c r="G20" s="174"/>
      <c r="H20" s="174"/>
      <c r="I20" s="174"/>
      <c r="J20" s="176" t="s">
        <v>667</v>
      </c>
      <c r="K20" s="174"/>
      <c r="L20" s="454">
        <v>31446113</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504827688</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4.9497316572395818E-2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2006571103.8461537</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-38151559.284829073</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-6379264.5816739397</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1962040279.9796507</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112295310</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8">
        <v>2150136.9666666663</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114833355.17881809</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5.8527521759139972E-2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12746555230.936153</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-2006571103.8461537</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6379264.5816739397</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-3474997.9807692301</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10694483.02</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10753582876.710905</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2014 True Up TRR)&amp;RTO12 Draft Annual Update
Attachment 4
WP-Schedule 3-One Time Adj True Up Adj
Page &amp;P of &amp;N</oddHeader>
    <oddFooter>&amp;R&amp;A</oddFooter>
  </headerFooter>
  <colBreaks count="1" manualBreakCount="1">
    <brk id="12" max="1048575" man="1"/>
  </colBreaks>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0"/>
  <sheetViews>
    <sheetView zoomScale="110" zoomScaleNormal="110" workbookViewId="0">
      <selection activeCell="I96" sqref="I96"/>
    </sheetView>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2014</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52"/>
      <c r="E7" s="453"/>
      <c r="F7" s="453"/>
      <c r="G7" s="453"/>
      <c r="H7" s="453"/>
      <c r="I7" s="453"/>
      <c r="J7" s="453"/>
      <c r="K7" s="453"/>
      <c r="L7" s="453"/>
      <c r="M7" s="453"/>
      <c r="N7" s="453"/>
      <c r="O7" s="453"/>
      <c r="P7" s="453"/>
    </row>
    <row r="8" spans="1:17" x14ac:dyDescent="0.2">
      <c r="A8" s="171">
        <v>1</v>
      </c>
      <c r="B8" s="171"/>
      <c r="C8" s="188">
        <f>SUM(D8:P8)/13</f>
        <v>10052861538.461538</v>
      </c>
      <c r="D8" s="454">
        <v>9914400000</v>
      </c>
      <c r="E8" s="454">
        <v>10214400000</v>
      </c>
      <c r="F8" s="454">
        <v>10214400000</v>
      </c>
      <c r="G8" s="454">
        <v>9914400000</v>
      </c>
      <c r="H8" s="454">
        <v>9914400000</v>
      </c>
      <c r="I8" s="454">
        <v>10314400000</v>
      </c>
      <c r="J8" s="454">
        <v>10314400000</v>
      </c>
      <c r="K8" s="454">
        <v>10314400000</v>
      </c>
      <c r="L8" s="454">
        <v>10314400000</v>
      </c>
      <c r="M8" s="454">
        <v>9914400000</v>
      </c>
      <c r="N8" s="454">
        <v>9714400000</v>
      </c>
      <c r="O8" s="454">
        <v>9814400000</v>
      </c>
      <c r="P8" s="454">
        <v>9814400000</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306770512.55153847</v>
      </c>
      <c r="D14" s="454">
        <v>306794853</v>
      </c>
      <c r="E14" s="454">
        <v>306790384.20999998</v>
      </c>
      <c r="F14" s="454">
        <v>306785895.94999999</v>
      </c>
      <c r="G14" s="454">
        <v>306785895.94999999</v>
      </c>
      <c r="H14" s="454">
        <v>306776862.56999999</v>
      </c>
      <c r="I14" s="454">
        <v>306772317.29000002</v>
      </c>
      <c r="J14" s="454">
        <v>306767752.85000002</v>
      </c>
      <c r="K14" s="454">
        <v>306796290.25999999</v>
      </c>
      <c r="L14" s="454">
        <v>306758566.13999999</v>
      </c>
      <c r="M14" s="454">
        <v>306753943.70999998</v>
      </c>
      <c r="N14" s="454">
        <v>306749301.79000002</v>
      </c>
      <c r="O14" s="454">
        <v>306744640.30000001</v>
      </c>
      <c r="P14" s="454">
        <v>306739959.14999998</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row>
    <row r="24" spans="1:17" x14ac:dyDescent="0.2">
      <c r="A24" s="171">
        <v>18</v>
      </c>
      <c r="B24" s="171"/>
      <c r="C24" s="188">
        <f t="shared" ref="C24:C28" si="1">SUM(D24:P24)/13</f>
        <v>2006571103.8461537</v>
      </c>
      <c r="D24" s="454">
        <v>1795024950</v>
      </c>
      <c r="E24" s="454">
        <v>1795024950</v>
      </c>
      <c r="F24" s="454">
        <v>1795024950</v>
      </c>
      <c r="G24" s="454">
        <v>2070034950</v>
      </c>
      <c r="H24" s="454">
        <v>2070034950</v>
      </c>
      <c r="I24" s="454">
        <v>2070034950</v>
      </c>
      <c r="J24" s="454">
        <v>2070034950</v>
      </c>
      <c r="K24" s="454">
        <v>2070034950</v>
      </c>
      <c r="L24" s="454">
        <v>2070034950</v>
      </c>
      <c r="M24" s="454">
        <v>2070034950</v>
      </c>
      <c r="N24" s="454">
        <v>2070034950</v>
      </c>
      <c r="O24" s="454">
        <v>2070034950</v>
      </c>
      <c r="P24" s="454">
        <v>2070034950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-38151559.284829073</v>
      </c>
      <c r="D26" s="455">
        <v>-34321322.169444457</v>
      </c>
      <c r="E26" s="456">
        <v>-34185702.1277778</v>
      </c>
      <c r="F26" s="456">
        <v>-34050082.086111128</v>
      </c>
      <c r="G26" s="456">
        <v>-40186820.044444457</v>
      </c>
      <c r="H26" s="456">
        <v>-39998930.352777787</v>
      </c>
      <c r="I26" s="456">
        <v>-39811040.661111124</v>
      </c>
      <c r="J26" s="456">
        <v>-39623150.969444469</v>
      </c>
      <c r="K26" s="456">
        <v>-39435261.277777798</v>
      </c>
      <c r="L26" s="456">
        <v>-39247371.586111128</v>
      </c>
      <c r="M26" s="456">
        <v>-39059481.894444458</v>
      </c>
      <c r="N26" s="456">
        <v>-38871592.202777795</v>
      </c>
      <c r="O26" s="456">
        <v>-38683702.511111133</v>
      </c>
      <c r="P26" s="457">
        <v>-38495812.819444463</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-6379264.5816739397</v>
      </c>
      <c r="D28" s="455">
        <v>-6573218.6877496485</v>
      </c>
      <c r="E28" s="456">
        <v>-6540893.0034036981</v>
      </c>
      <c r="F28" s="456">
        <v>-6508567.3190577459</v>
      </c>
      <c r="G28" s="456">
        <v>-6476241.6347117946</v>
      </c>
      <c r="H28" s="456">
        <v>-6443915.9503658433</v>
      </c>
      <c r="I28" s="456">
        <v>-6411590.2660198919</v>
      </c>
      <c r="J28" s="456">
        <v>-6379264.5816739406</v>
      </c>
      <c r="K28" s="456">
        <v>-6346938.8973279893</v>
      </c>
      <c r="L28" s="456">
        <v>-6314613.212982038</v>
      </c>
      <c r="M28" s="456">
        <v>-6282287.5286360867</v>
      </c>
      <c r="N28" s="456">
        <v>-6249961.8442901354</v>
      </c>
      <c r="O28" s="456">
        <v>-6217636.1599441841</v>
      </c>
      <c r="P28" s="457">
        <v>-6185310.4755982328</v>
      </c>
    </row>
    <row r="29" spans="1:17" x14ac:dyDescent="0.2">
      <c r="A29" s="163"/>
      <c r="B29" s="183" t="s">
        <v>599</v>
      </c>
    </row>
    <row r="30" spans="1:17" x14ac:dyDescent="0.2">
      <c r="A30" s="171">
        <v>27</v>
      </c>
      <c r="B30" s="171"/>
      <c r="C30" s="188">
        <f>SUM(D30:P30)/13</f>
        <v>12746555230.936153</v>
      </c>
      <c r="D30" s="454">
        <v>12138117704</v>
      </c>
      <c r="E30" s="454">
        <v>12250086249.130001</v>
      </c>
      <c r="F30" s="454">
        <v>12202936476.719999</v>
      </c>
      <c r="G30" s="454">
        <v>12496206456.66</v>
      </c>
      <c r="H30" s="454">
        <v>12555918955.929998</v>
      </c>
      <c r="I30" s="454">
        <v>12643544715.940001</v>
      </c>
      <c r="J30" s="454">
        <v>12700202523.210001</v>
      </c>
      <c r="K30" s="454">
        <v>12826965385.050001</v>
      </c>
      <c r="L30" s="454">
        <v>12879422454.82</v>
      </c>
      <c r="M30" s="454">
        <v>13093042436.279999</v>
      </c>
      <c r="N30" s="454">
        <v>13249324244.9</v>
      </c>
      <c r="O30" s="454">
        <v>13387339366.529999</v>
      </c>
      <c r="P30" s="454">
        <v>13282111033</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-3474997.9807692301</v>
      </c>
      <c r="D32" s="454">
        <v>-3081731</v>
      </c>
      <c r="E32" s="454">
        <v>-3046060.26</v>
      </c>
      <c r="F32" s="454">
        <v>-3021727.9599999995</v>
      </c>
      <c r="G32" s="454">
        <v>-3079704.7499999995</v>
      </c>
      <c r="H32" s="454">
        <v>-3072071.3899999997</v>
      </c>
      <c r="I32" s="454">
        <v>-3079023.01</v>
      </c>
      <c r="J32" s="454">
        <v>-3079023.01</v>
      </c>
      <c r="K32" s="454">
        <v>-3078811.3699999996</v>
      </c>
      <c r="L32" s="454">
        <v>-3078871.5699999994</v>
      </c>
      <c r="M32" s="454">
        <v>-3080817.5699999994</v>
      </c>
      <c r="N32" s="454">
        <v>-3080607.5699999994</v>
      </c>
      <c r="O32" s="454">
        <v>-5699523.4400000004</v>
      </c>
      <c r="P32" s="454">
        <v>-5697000.8500000006</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10694483.02</v>
      </c>
      <c r="D34" s="454">
        <v>10924608.119999999</v>
      </c>
      <c r="E34" s="454">
        <v>11011379.91</v>
      </c>
      <c r="F34" s="454">
        <v>10717679.91</v>
      </c>
      <c r="G34" s="454">
        <v>10130660.91</v>
      </c>
      <c r="H34" s="454">
        <v>9570314.3599999994</v>
      </c>
      <c r="I34" s="454">
        <v>8725582.2699999996</v>
      </c>
      <c r="J34" s="454">
        <v>8431037.5899999999</v>
      </c>
      <c r="K34" s="454">
        <v>8436617.5600000005</v>
      </c>
      <c r="L34" s="454">
        <v>7361582.1900000004</v>
      </c>
      <c r="M34" s="454">
        <v>8433806.0299999993</v>
      </c>
      <c r="N34" s="454">
        <v>8949354.4499999993</v>
      </c>
      <c r="O34" s="454">
        <v>8169607.96</v>
      </c>
      <c r="P34" s="454">
        <v>28166048</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655" t="s">
        <v>940</v>
      </c>
      <c r="K57" s="218"/>
      <c r="L57" s="218"/>
      <c r="M57" s="218"/>
    </row>
    <row r="58" spans="1:13" x14ac:dyDescent="0.2">
      <c r="A58" s="163"/>
      <c r="B58" s="163"/>
      <c r="C58" s="458" t="s">
        <v>630</v>
      </c>
      <c r="D58" s="459"/>
      <c r="E58" s="244">
        <v>125000000</v>
      </c>
      <c r="F58" s="461">
        <v>40612</v>
      </c>
      <c r="G58" s="244">
        <v>2577363</v>
      </c>
      <c r="H58" s="462">
        <v>30</v>
      </c>
      <c r="I58" s="244">
        <v>85912.1</v>
      </c>
      <c r="J58" s="655"/>
      <c r="K58" s="218"/>
      <c r="L58" s="218"/>
      <c r="M58" s="218"/>
    </row>
    <row r="59" spans="1:13" x14ac:dyDescent="0.2">
      <c r="A59" s="163"/>
      <c r="B59" s="163"/>
      <c r="C59" s="458" t="s">
        <v>631</v>
      </c>
      <c r="D59" s="459"/>
      <c r="E59" s="244">
        <v>350000000</v>
      </c>
      <c r="F59" s="461">
        <v>40925</v>
      </c>
      <c r="G59" s="244">
        <v>5957289</v>
      </c>
      <c r="H59" s="462">
        <v>10</v>
      </c>
      <c r="I59" s="244">
        <v>595728.9</v>
      </c>
      <c r="J59" s="655"/>
      <c r="K59" s="218"/>
      <c r="L59" s="218"/>
      <c r="M59" s="218"/>
    </row>
    <row r="60" spans="1:13" x14ac:dyDescent="0.2">
      <c r="A60" s="163"/>
      <c r="B60" s="163"/>
      <c r="C60" s="465" t="s">
        <v>633</v>
      </c>
      <c r="D60" s="466"/>
      <c r="E60" s="114">
        <v>475000000</v>
      </c>
      <c r="F60" s="467">
        <v>41046</v>
      </c>
      <c r="G60" s="114">
        <v>15401698</v>
      </c>
      <c r="H60" s="468">
        <v>30</v>
      </c>
      <c r="I60" s="244">
        <v>513389.93333333335</v>
      </c>
      <c r="J60" s="655"/>
      <c r="K60" s="218"/>
      <c r="L60" s="218"/>
      <c r="M60" s="218"/>
    </row>
    <row r="61" spans="1:13" x14ac:dyDescent="0.2">
      <c r="A61" s="163"/>
      <c r="B61" s="163"/>
      <c r="C61" s="465" t="s">
        <v>706</v>
      </c>
      <c r="D61" s="466"/>
      <c r="E61" s="114">
        <v>400000000</v>
      </c>
      <c r="F61" s="467">
        <v>41303</v>
      </c>
      <c r="G61" s="114">
        <v>12972286</v>
      </c>
      <c r="H61" s="469">
        <v>30</v>
      </c>
      <c r="I61" s="244">
        <v>432409.53333333298</v>
      </c>
      <c r="J61" s="762" t="s">
        <v>941</v>
      </c>
      <c r="K61" s="763"/>
      <c r="L61" s="763"/>
      <c r="M61" s="763"/>
    </row>
    <row r="62" spans="1:13" x14ac:dyDescent="0.2">
      <c r="A62" s="163"/>
      <c r="B62" s="163"/>
      <c r="C62" s="465" t="s">
        <v>942</v>
      </c>
      <c r="D62" s="466"/>
      <c r="E62" s="114">
        <v>275000000</v>
      </c>
      <c r="F62" s="467">
        <v>41704</v>
      </c>
      <c r="G62" s="114">
        <v>6272358</v>
      </c>
      <c r="H62" s="468">
        <v>10</v>
      </c>
      <c r="I62" s="244">
        <v>522696.50000000006</v>
      </c>
      <c r="J62" s="625" t="s">
        <v>943</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SUM(I58:I63)</f>
        <v>2150136.9666666663</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708</v>
      </c>
      <c r="D73" s="506"/>
      <c r="E73" s="672">
        <v>41333</v>
      </c>
      <c r="F73" s="673">
        <v>2586350.9805555502</v>
      </c>
      <c r="G73" s="674">
        <f>+$H$61</f>
        <v>30</v>
      </c>
      <c r="H73" s="673">
        <f t="shared" ref="H73:H74" si="3">+F73/G73</f>
        <v>86211.699351851668</v>
      </c>
      <c r="I73" s="675" t="s">
        <v>709</v>
      </c>
      <c r="J73" s="498"/>
      <c r="K73" s="498"/>
      <c r="L73" s="498"/>
      <c r="M73" s="499"/>
    </row>
    <row r="74" spans="1:13" ht="13.5" thickBot="1" x14ac:dyDescent="0.25">
      <c r="A74" s="163"/>
      <c r="B74" s="163"/>
      <c r="C74" s="510" t="s">
        <v>710</v>
      </c>
      <c r="D74" s="511"/>
      <c r="E74" s="676">
        <v>41333</v>
      </c>
      <c r="F74" s="271">
        <v>2886865.9722222402</v>
      </c>
      <c r="G74" s="677">
        <f>+$H$61</f>
        <v>30</v>
      </c>
      <c r="H74" s="271">
        <f t="shared" si="3"/>
        <v>96228.865740741341</v>
      </c>
      <c r="I74" s="678" t="s">
        <v>709</v>
      </c>
      <c r="J74" s="515"/>
      <c r="K74" s="515"/>
      <c r="L74" s="515"/>
      <c r="M74" s="516"/>
    </row>
    <row r="75" spans="1:13" x14ac:dyDescent="0.2">
      <c r="A75" s="163"/>
      <c r="B75" s="163"/>
      <c r="C75" s="459" t="s">
        <v>635</v>
      </c>
      <c r="D75" s="459"/>
      <c r="E75" s="473"/>
      <c r="F75" s="244"/>
      <c r="G75" s="462"/>
      <c r="H75" s="244"/>
      <c r="I75" s="213"/>
      <c r="J75" s="218"/>
      <c r="K75" s="218"/>
      <c r="L75" s="218"/>
      <c r="M75" s="218"/>
    </row>
    <row r="76" spans="1:13" x14ac:dyDescent="0.2">
      <c r="A76" s="163"/>
      <c r="B76" s="163"/>
      <c r="C76" s="471"/>
      <c r="D76" s="471"/>
      <c r="E76" s="163"/>
      <c r="F76" s="163"/>
      <c r="G76" s="163"/>
      <c r="H76" s="504">
        <f>SUM(H70:H75)</f>
        <v>387908.21215141658</v>
      </c>
      <c r="I76" s="174" t="s">
        <v>648</v>
      </c>
      <c r="J76" s="163"/>
      <c r="K76" s="163"/>
      <c r="L76" s="163"/>
      <c r="M76" s="163"/>
    </row>
    <row r="77" spans="1:13" x14ac:dyDescent="0.2">
      <c r="A77" s="163"/>
      <c r="B77" s="163"/>
      <c r="C77" s="163"/>
      <c r="D77" s="163"/>
      <c r="E77" s="163"/>
      <c r="F77" s="163"/>
      <c r="G77" s="163"/>
      <c r="H77" s="163"/>
      <c r="I77" s="163"/>
      <c r="J77" s="163"/>
      <c r="K77" s="163"/>
      <c r="L77" s="163"/>
      <c r="M77" s="163"/>
    </row>
    <row r="78" spans="1:13" x14ac:dyDescent="0.2">
      <c r="A78" s="163"/>
      <c r="B78" s="174" t="s">
        <v>649</v>
      </c>
      <c r="C78" s="163"/>
      <c r="D78" s="163"/>
      <c r="E78" s="163"/>
      <c r="F78" s="163"/>
      <c r="G78" s="163"/>
      <c r="H78" s="163"/>
      <c r="I78" s="163"/>
      <c r="J78" s="163"/>
      <c r="K78" s="163"/>
      <c r="L78" s="163"/>
      <c r="M78" s="163"/>
    </row>
    <row r="79" spans="1:13" x14ac:dyDescent="0.2">
      <c r="A79" s="163"/>
      <c r="B79" s="174" t="s">
        <v>650</v>
      </c>
      <c r="C79" s="163"/>
      <c r="D79" s="163"/>
      <c r="E79" s="163"/>
      <c r="F79" s="163"/>
      <c r="G79" s="163"/>
      <c r="H79" s="163"/>
      <c r="I79" s="163"/>
      <c r="J79" s="163"/>
      <c r="K79" s="163"/>
      <c r="L79" s="163"/>
      <c r="M79" s="163"/>
    </row>
    <row r="80" spans="1:13" x14ac:dyDescent="0.2">
      <c r="A80" s="163"/>
      <c r="B80" s="174" t="s">
        <v>651</v>
      </c>
      <c r="C80" s="163"/>
      <c r="D80" s="163"/>
      <c r="E80" s="163"/>
      <c r="F80" s="163"/>
      <c r="G80" s="163"/>
      <c r="H80" s="163"/>
      <c r="I80" s="163"/>
      <c r="J80" s="163"/>
      <c r="K80" s="163"/>
      <c r="L80" s="163"/>
      <c r="M80" s="163"/>
    </row>
  </sheetData>
  <mergeCells count="1">
    <mergeCell ref="J61:M61"/>
  </mergeCells>
  <pageMargins left="0.7" right="0.7" top="0.75" bottom="0.75" header="0.3" footer="0.3"/>
  <pageSetup scale="57" fitToHeight="0" orientation="landscape" cellComments="asDisplayed" r:id="rId1"/>
  <headerFooter>
    <oddHeader>&amp;CSchedule 5 ROR-2
Return and Capitalization
(Revised 2014 True Up TRR)&amp;RTO12 Draft Annual Update
Attachment 4
WP-Schedule 3-One Time Adj True Up Adj
Page &amp;P of &amp;N</oddHeader>
    <oddFooter>&amp;R5-ROR-2</oddFooter>
  </headerFooter>
  <rowBreaks count="1" manualBreakCount="1">
    <brk id="41" max="15" man="1"/>
  </rowBreaks>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Normal="100" workbookViewId="0">
      <selection activeCell="H40" sqref="H40"/>
    </sheetView>
  </sheetViews>
  <sheetFormatPr defaultRowHeight="12.75" x14ac:dyDescent="0.2"/>
  <cols>
    <col min="1" max="1" width="4.7109375" customWidth="1"/>
    <col min="2" max="2" width="10.7109375" customWidth="1"/>
    <col min="3" max="12" width="13.7109375" customWidth="1"/>
    <col min="13" max="13" width="1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2014</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728</v>
      </c>
      <c r="C11" s="243">
        <v>75790815.887711585</v>
      </c>
      <c r="D11" s="525">
        <v>137147763.30748817</v>
      </c>
      <c r="E11" s="526">
        <v>376495330.50643671</v>
      </c>
      <c r="F11" s="243">
        <v>2708882934.2757506</v>
      </c>
      <c r="G11" s="243">
        <v>1443480699.261306</v>
      </c>
      <c r="H11" s="243">
        <v>143991959.4211576</v>
      </c>
      <c r="I11" s="243">
        <v>764993253.97262263</v>
      </c>
      <c r="J11" s="243">
        <v>207785.26313157106</v>
      </c>
      <c r="K11" s="243">
        <v>12339133.617654419</v>
      </c>
      <c r="L11" s="243">
        <v>68770632.234584257</v>
      </c>
      <c r="M11" s="527">
        <f>SUM(C11:L11)</f>
        <v>5732100307.7478437</v>
      </c>
    </row>
    <row r="12" spans="1:13" x14ac:dyDescent="0.2">
      <c r="A12" s="166">
        <f>A11+1</f>
        <v>2</v>
      </c>
      <c r="B12" s="528" t="s">
        <v>944</v>
      </c>
      <c r="C12" s="529">
        <f t="shared" ref="C12:L22" si="0">C146+C94 +C11</f>
        <v>75790366.388642803</v>
      </c>
      <c r="D12" s="530">
        <f t="shared" si="0"/>
        <v>136883423.41486815</v>
      </c>
      <c r="E12" s="529">
        <f t="shared" si="0"/>
        <v>376634532.67131823</v>
      </c>
      <c r="F12" s="529">
        <f t="shared" si="0"/>
        <v>2698781664.3926816</v>
      </c>
      <c r="G12" s="573">
        <f t="shared" si="0"/>
        <v>1448184853.710542</v>
      </c>
      <c r="H12" s="573">
        <f t="shared" si="0"/>
        <v>145489836.68388322</v>
      </c>
      <c r="I12" s="573">
        <f t="shared" si="0"/>
        <v>765536889.26045156</v>
      </c>
      <c r="J12" s="529">
        <f t="shared" si="0"/>
        <v>207833.41225475553</v>
      </c>
      <c r="K12" s="529">
        <f t="shared" si="0"/>
        <v>32805650.172246993</v>
      </c>
      <c r="L12" s="573">
        <f t="shared" si="0"/>
        <v>64392579.884281553</v>
      </c>
      <c r="M12" s="573">
        <f t="shared" ref="M12:M23" si="1">SUM(C12:L12)</f>
        <v>5744707629.9911699</v>
      </c>
    </row>
    <row r="13" spans="1:13" x14ac:dyDescent="0.2">
      <c r="A13" s="166">
        <f t="shared" ref="A13:A24" si="2">A12+1</f>
        <v>3</v>
      </c>
      <c r="B13" s="531" t="s">
        <v>945</v>
      </c>
      <c r="C13" s="529">
        <f t="shared" si="0"/>
        <v>75790366.388642803</v>
      </c>
      <c r="D13" s="530">
        <f t="shared" si="0"/>
        <v>138556211.4829433</v>
      </c>
      <c r="E13" s="529">
        <f t="shared" si="0"/>
        <v>377379951.73907059</v>
      </c>
      <c r="F13" s="529">
        <f t="shared" si="0"/>
        <v>2715473623.4411893</v>
      </c>
      <c r="G13" s="573">
        <f t="shared" si="0"/>
        <v>1462374821.0814867</v>
      </c>
      <c r="H13" s="573">
        <f t="shared" si="0"/>
        <v>147439312.0885075</v>
      </c>
      <c r="I13" s="573">
        <f t="shared" si="0"/>
        <v>772601241.98216522</v>
      </c>
      <c r="J13" s="529">
        <f t="shared" si="0"/>
        <v>207887.14744563261</v>
      </c>
      <c r="K13" s="529">
        <f t="shared" si="0"/>
        <v>32009282.224797588</v>
      </c>
      <c r="L13" s="573">
        <f t="shared" si="0"/>
        <v>65150347.390864789</v>
      </c>
      <c r="M13" s="573">
        <f t="shared" si="1"/>
        <v>5786983044.9671135</v>
      </c>
    </row>
    <row r="14" spans="1:13" x14ac:dyDescent="0.2">
      <c r="A14" s="166">
        <f t="shared" si="2"/>
        <v>4</v>
      </c>
      <c r="B14" s="531" t="s">
        <v>946</v>
      </c>
      <c r="C14" s="529">
        <f t="shared" si="0"/>
        <v>75790388.192420855</v>
      </c>
      <c r="D14" s="530">
        <f t="shared" si="0"/>
        <v>139620906.32816333</v>
      </c>
      <c r="E14" s="529">
        <f t="shared" si="0"/>
        <v>375097751.17452371</v>
      </c>
      <c r="F14" s="529">
        <f t="shared" si="0"/>
        <v>2737560773.5247889</v>
      </c>
      <c r="G14" s="573">
        <f t="shared" si="0"/>
        <v>1462616878.4104626</v>
      </c>
      <c r="H14" s="573">
        <f t="shared" si="0"/>
        <v>148284831.20271522</v>
      </c>
      <c r="I14" s="573">
        <f t="shared" si="0"/>
        <v>772750893.30739546</v>
      </c>
      <c r="J14" s="529">
        <f t="shared" si="0"/>
        <v>207977.94158359521</v>
      </c>
      <c r="K14" s="529">
        <f t="shared" si="0"/>
        <v>33010659.193778593</v>
      </c>
      <c r="L14" s="573">
        <f t="shared" si="0"/>
        <v>65119305.573975496</v>
      </c>
      <c r="M14" s="573">
        <f t="shared" si="1"/>
        <v>5810060364.8498087</v>
      </c>
    </row>
    <row r="15" spans="1:13" x14ac:dyDescent="0.2">
      <c r="A15" s="166">
        <f t="shared" si="2"/>
        <v>5</v>
      </c>
      <c r="B15" s="528" t="s">
        <v>947</v>
      </c>
      <c r="C15" s="529">
        <f t="shared" si="0"/>
        <v>75788071.157277584</v>
      </c>
      <c r="D15" s="530">
        <f t="shared" si="0"/>
        <v>139629789.57166091</v>
      </c>
      <c r="E15" s="529">
        <f t="shared" si="0"/>
        <v>376549497.18900222</v>
      </c>
      <c r="F15" s="529">
        <f t="shared" si="0"/>
        <v>2762637280.9332275</v>
      </c>
      <c r="G15" s="573">
        <f t="shared" si="0"/>
        <v>1464670501.9742339</v>
      </c>
      <c r="H15" s="573">
        <f t="shared" si="0"/>
        <v>150682777.41550192</v>
      </c>
      <c r="I15" s="573">
        <f t="shared" si="0"/>
        <v>773573863.95215154</v>
      </c>
      <c r="J15" s="529">
        <f t="shared" si="0"/>
        <v>215663.3345886996</v>
      </c>
      <c r="K15" s="529">
        <f t="shared" si="0"/>
        <v>20615117.684986889</v>
      </c>
      <c r="L15" s="573">
        <f t="shared" si="0"/>
        <v>65273514.313975506</v>
      </c>
      <c r="M15" s="573">
        <f t="shared" si="1"/>
        <v>5829636077.5266066</v>
      </c>
    </row>
    <row r="16" spans="1:13" x14ac:dyDescent="0.2">
      <c r="A16" s="166">
        <f t="shared" si="2"/>
        <v>6</v>
      </c>
      <c r="B16" s="531" t="s">
        <v>948</v>
      </c>
      <c r="C16" s="529">
        <f t="shared" si="0"/>
        <v>75787470.104135513</v>
      </c>
      <c r="D16" s="530">
        <f t="shared" si="0"/>
        <v>139629789.57166091</v>
      </c>
      <c r="E16" s="529">
        <f t="shared" si="0"/>
        <v>377526194.11257088</v>
      </c>
      <c r="F16" s="529">
        <f t="shared" si="0"/>
        <v>2797969715.3719378</v>
      </c>
      <c r="G16" s="573">
        <f t="shared" si="0"/>
        <v>1476051048.9004259</v>
      </c>
      <c r="H16" s="573">
        <f t="shared" si="0"/>
        <v>153340108.75089735</v>
      </c>
      <c r="I16" s="573">
        <f t="shared" si="0"/>
        <v>778460487.16615736</v>
      </c>
      <c r="J16" s="529">
        <f t="shared" si="0"/>
        <v>215698.69190183212</v>
      </c>
      <c r="K16" s="529">
        <f t="shared" si="0"/>
        <v>20672252.430312958</v>
      </c>
      <c r="L16" s="573">
        <f t="shared" si="0"/>
        <v>65505014.113975503</v>
      </c>
      <c r="M16" s="573">
        <f t="shared" si="1"/>
        <v>5885157779.2139769</v>
      </c>
    </row>
    <row r="17" spans="1:15" x14ac:dyDescent="0.2">
      <c r="A17" s="166">
        <f t="shared" si="2"/>
        <v>7</v>
      </c>
      <c r="B17" s="531" t="s">
        <v>949</v>
      </c>
      <c r="C17" s="529">
        <f t="shared" si="0"/>
        <v>75785828.44821243</v>
      </c>
      <c r="D17" s="530">
        <f t="shared" si="0"/>
        <v>139612178.33655</v>
      </c>
      <c r="E17" s="529">
        <f t="shared" si="0"/>
        <v>378771301.28768301</v>
      </c>
      <c r="F17" s="529">
        <f t="shared" si="0"/>
        <v>2826968153.1307845</v>
      </c>
      <c r="G17" s="573">
        <f t="shared" si="0"/>
        <v>1479229819.7048635</v>
      </c>
      <c r="H17" s="573">
        <f t="shared" si="0"/>
        <v>154758583.24775258</v>
      </c>
      <c r="I17" s="573">
        <f t="shared" si="0"/>
        <v>781340610.45985019</v>
      </c>
      <c r="J17" s="529">
        <f t="shared" si="0"/>
        <v>218273.14347642564</v>
      </c>
      <c r="K17" s="529">
        <f t="shared" si="0"/>
        <v>21268441.088640548</v>
      </c>
      <c r="L17" s="573">
        <f t="shared" si="0"/>
        <v>65698764.263975509</v>
      </c>
      <c r="M17" s="573">
        <f t="shared" si="1"/>
        <v>5923651953.1117878</v>
      </c>
    </row>
    <row r="18" spans="1:15" x14ac:dyDescent="0.2">
      <c r="A18" s="166">
        <f t="shared" si="2"/>
        <v>8</v>
      </c>
      <c r="B18" s="528" t="s">
        <v>950</v>
      </c>
      <c r="C18" s="529">
        <f t="shared" si="0"/>
        <v>75785828.44821243</v>
      </c>
      <c r="D18" s="530">
        <f t="shared" si="0"/>
        <v>139611418.33067831</v>
      </c>
      <c r="E18" s="529">
        <f t="shared" si="0"/>
        <v>379384643.14312631</v>
      </c>
      <c r="F18" s="529">
        <f t="shared" si="0"/>
        <v>2844041959.0820365</v>
      </c>
      <c r="G18" s="573">
        <f t="shared" si="0"/>
        <v>1482282888.4625893</v>
      </c>
      <c r="H18" s="573">
        <f t="shared" si="0"/>
        <v>156159479.68694526</v>
      </c>
      <c r="I18" s="573">
        <f t="shared" si="0"/>
        <v>784295713.76422191</v>
      </c>
      <c r="J18" s="529">
        <f t="shared" si="0"/>
        <v>218116.09562072984</v>
      </c>
      <c r="K18" s="529">
        <f t="shared" si="0"/>
        <v>21122021.451418173</v>
      </c>
      <c r="L18" s="573">
        <f t="shared" si="0"/>
        <v>65832617.593975507</v>
      </c>
      <c r="M18" s="573">
        <f t="shared" si="1"/>
        <v>5948734686.0588236</v>
      </c>
    </row>
    <row r="19" spans="1:15" x14ac:dyDescent="0.2">
      <c r="A19" s="166">
        <f t="shared" si="2"/>
        <v>9</v>
      </c>
      <c r="B19" s="531" t="s">
        <v>951</v>
      </c>
      <c r="C19" s="529">
        <f t="shared" si="0"/>
        <v>75785819.663660735</v>
      </c>
      <c r="D19" s="530">
        <f t="shared" si="0"/>
        <v>158372560.06746858</v>
      </c>
      <c r="E19" s="529">
        <f t="shared" si="0"/>
        <v>387016704.21849084</v>
      </c>
      <c r="F19" s="529">
        <f t="shared" si="0"/>
        <v>2838743440.2423902</v>
      </c>
      <c r="G19" s="573">
        <f t="shared" si="0"/>
        <v>1486376715.6735287</v>
      </c>
      <c r="H19" s="573">
        <f t="shared" si="0"/>
        <v>160547978.31651744</v>
      </c>
      <c r="I19" s="573">
        <f t="shared" si="0"/>
        <v>786389855.07948112</v>
      </c>
      <c r="J19" s="529">
        <f t="shared" si="0"/>
        <v>218085.23104996313</v>
      </c>
      <c r="K19" s="529">
        <f t="shared" si="0"/>
        <v>21229357.726996157</v>
      </c>
      <c r="L19" s="573">
        <f t="shared" si="0"/>
        <v>66015584.003975503</v>
      </c>
      <c r="M19" s="573">
        <f t="shared" si="1"/>
        <v>5980696100.2235603</v>
      </c>
    </row>
    <row r="20" spans="1:15" x14ac:dyDescent="0.2">
      <c r="A20" s="166">
        <f t="shared" si="2"/>
        <v>10</v>
      </c>
      <c r="B20" s="531" t="s">
        <v>952</v>
      </c>
      <c r="C20" s="529">
        <f t="shared" si="0"/>
        <v>75785447.45768325</v>
      </c>
      <c r="D20" s="530">
        <f t="shared" si="0"/>
        <v>158373974.14595038</v>
      </c>
      <c r="E20" s="529">
        <f t="shared" si="0"/>
        <v>387701452.61039352</v>
      </c>
      <c r="F20" s="529">
        <f t="shared" si="0"/>
        <v>2846461397.28229</v>
      </c>
      <c r="G20" s="573">
        <f t="shared" si="0"/>
        <v>1489055616.3252053</v>
      </c>
      <c r="H20" s="573">
        <f t="shared" si="0"/>
        <v>171070327.83130592</v>
      </c>
      <c r="I20" s="573">
        <f t="shared" si="0"/>
        <v>783233034.78064859</v>
      </c>
      <c r="J20" s="529">
        <f t="shared" si="0"/>
        <v>218085.76689810836</v>
      </c>
      <c r="K20" s="529">
        <f t="shared" si="0"/>
        <v>15951594.176892441</v>
      </c>
      <c r="L20" s="679">
        <f t="shared" si="0"/>
        <v>58774153.37043149</v>
      </c>
      <c r="M20" s="573">
        <f t="shared" si="1"/>
        <v>5986625083.7476978</v>
      </c>
    </row>
    <row r="21" spans="1:15" x14ac:dyDescent="0.2">
      <c r="A21" s="166">
        <f t="shared" si="2"/>
        <v>11</v>
      </c>
      <c r="B21" s="528" t="s">
        <v>953</v>
      </c>
      <c r="C21" s="529">
        <f t="shared" si="0"/>
        <v>75785292.323322713</v>
      </c>
      <c r="D21" s="530">
        <f t="shared" si="0"/>
        <v>158375607.74481097</v>
      </c>
      <c r="E21" s="529">
        <f t="shared" si="0"/>
        <v>422068987.52147526</v>
      </c>
      <c r="F21" s="529">
        <f t="shared" si="0"/>
        <v>2819184441.0600419</v>
      </c>
      <c r="G21" s="573">
        <f t="shared" si="0"/>
        <v>1492069676.8753977</v>
      </c>
      <c r="H21" s="573">
        <f t="shared" si="0"/>
        <v>174411532.4764562</v>
      </c>
      <c r="I21" s="573">
        <f t="shared" si="0"/>
        <v>789940974.93804061</v>
      </c>
      <c r="J21" s="529">
        <f t="shared" si="0"/>
        <v>218735.99291777294</v>
      </c>
      <c r="K21" s="529">
        <f t="shared" si="0"/>
        <v>15840491.97492006</v>
      </c>
      <c r="L21" s="573">
        <f t="shared" si="0"/>
        <v>54209042.709173568</v>
      </c>
      <c r="M21" s="573">
        <f t="shared" si="1"/>
        <v>6002104783.6165571</v>
      </c>
    </row>
    <row r="22" spans="1:15" x14ac:dyDescent="0.2">
      <c r="A22" s="166">
        <f t="shared" si="2"/>
        <v>12</v>
      </c>
      <c r="B22" s="528" t="s">
        <v>954</v>
      </c>
      <c r="C22" s="529">
        <f t="shared" si="0"/>
        <v>75785292.323322713</v>
      </c>
      <c r="D22" s="530">
        <f t="shared" si="0"/>
        <v>158387114.01569772</v>
      </c>
      <c r="E22" s="529">
        <f t="shared" si="0"/>
        <v>423366856.4347145</v>
      </c>
      <c r="F22" s="529">
        <f t="shared" si="0"/>
        <v>2848885301.54039</v>
      </c>
      <c r="G22" s="573">
        <f t="shared" si="0"/>
        <v>1619791655.1494448</v>
      </c>
      <c r="H22" s="573">
        <f t="shared" si="0"/>
        <v>201800310.24862525</v>
      </c>
      <c r="I22" s="573">
        <f t="shared" si="0"/>
        <v>976065397.54118526</v>
      </c>
      <c r="J22" s="529">
        <f t="shared" si="0"/>
        <v>217186.75272675962</v>
      </c>
      <c r="K22" s="529">
        <f t="shared" si="0"/>
        <v>15758975.04892043</v>
      </c>
      <c r="L22" s="573">
        <f t="shared" si="0"/>
        <v>50370701.489173561</v>
      </c>
      <c r="M22" s="573">
        <f t="shared" si="1"/>
        <v>6370428790.5442009</v>
      </c>
    </row>
    <row r="23" spans="1:15" x14ac:dyDescent="0.2">
      <c r="A23" s="166">
        <f t="shared" si="2"/>
        <v>13</v>
      </c>
      <c r="B23" s="531" t="s">
        <v>955</v>
      </c>
      <c r="C23" s="555">
        <v>75785254.841655239</v>
      </c>
      <c r="D23" s="555">
        <v>158395946.88183823</v>
      </c>
      <c r="E23" s="534">
        <v>428326101.10242754</v>
      </c>
      <c r="F23" s="534">
        <v>2920111449.7090721</v>
      </c>
      <c r="G23" s="575">
        <v>1785692481.2182062</v>
      </c>
      <c r="H23" s="575">
        <v>230375815.62843621</v>
      </c>
      <c r="I23" s="575">
        <v>1044185330.6920563</v>
      </c>
      <c r="J23" s="534">
        <v>217200.87680843673</v>
      </c>
      <c r="K23" s="534">
        <v>12994313.507308003</v>
      </c>
      <c r="L23" s="575">
        <v>79698349.11889191</v>
      </c>
      <c r="M23" s="575">
        <f t="shared" si="1"/>
        <v>6735782243.5767002</v>
      </c>
      <c r="O23" s="162"/>
    </row>
    <row r="24" spans="1:15" x14ac:dyDescent="0.2">
      <c r="A24" s="166">
        <f t="shared" si="2"/>
        <v>14</v>
      </c>
      <c r="B24" s="535" t="s">
        <v>729</v>
      </c>
      <c r="C24" s="527">
        <f t="shared" ref="C24:M24" si="3">AVERAGE(C11:C23)</f>
        <v>75787403.201915428</v>
      </c>
      <c r="D24" s="527">
        <f t="shared" si="3"/>
        <v>146353591.01536763</v>
      </c>
      <c r="E24" s="527">
        <f t="shared" si="3"/>
        <v>389716869.51624876</v>
      </c>
      <c r="F24" s="527">
        <f t="shared" si="3"/>
        <v>2797361702.6143522</v>
      </c>
      <c r="G24" s="573">
        <f t="shared" si="3"/>
        <v>1507067512.0575144</v>
      </c>
      <c r="H24" s="573">
        <f t="shared" si="3"/>
        <v>164488680.99990013</v>
      </c>
      <c r="I24" s="573">
        <f t="shared" si="3"/>
        <v>813335965.14587915</v>
      </c>
      <c r="J24" s="527">
        <f t="shared" si="3"/>
        <v>214502.2808003294</v>
      </c>
      <c r="K24" s="527">
        <f t="shared" si="3"/>
        <v>21201330.022990245</v>
      </c>
      <c r="L24" s="573">
        <f t="shared" si="3"/>
        <v>64216200.466250315</v>
      </c>
      <c r="M24" s="573">
        <f t="shared" si="3"/>
        <v>5979743757.3212185</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728</v>
      </c>
      <c r="C34" s="526">
        <v>0</v>
      </c>
      <c r="D34" s="526">
        <v>0</v>
      </c>
      <c r="E34" s="526">
        <v>0</v>
      </c>
      <c r="F34" s="527">
        <f>SUM(C34:E34)</f>
        <v>0</v>
      </c>
      <c r="G34" s="223"/>
      <c r="H34" s="223"/>
      <c r="K34" s="223"/>
      <c r="L34" s="223"/>
    </row>
    <row r="35" spans="1:12" ht="12.75" customHeight="1" x14ac:dyDescent="0.2">
      <c r="A35" s="166">
        <f>A34+1</f>
        <v>16</v>
      </c>
      <c r="B35" s="531" t="s">
        <v>955</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5979743757.3212185</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6735782243.5767002</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F52" s="244">
        <v>2566405180</v>
      </c>
      <c r="G52" s="243">
        <v>1792693394</v>
      </c>
      <c r="H52" s="540">
        <f>SUM(F52:G52)</f>
        <v>4359098574</v>
      </c>
      <c r="I52" s="550" t="s">
        <v>746</v>
      </c>
      <c r="J52" s="174"/>
      <c r="K52" s="570"/>
      <c r="L52" s="570"/>
    </row>
    <row r="53" spans="1:12" ht="12.75" customHeight="1" x14ac:dyDescent="0.2">
      <c r="A53" s="166">
        <f>A52+1</f>
        <v>21</v>
      </c>
      <c r="B53" s="223"/>
      <c r="C53" s="53" t="s">
        <v>6</v>
      </c>
      <c r="D53" s="550" t="s">
        <v>747</v>
      </c>
      <c r="E53" s="163"/>
      <c r="F53" s="244">
        <v>2714243545</v>
      </c>
      <c r="G53" s="243">
        <v>1877243156</v>
      </c>
      <c r="H53" s="540">
        <f>SUM(F53:G53)</f>
        <v>4591486701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4475292637.5</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5.4507080159516719E-2</v>
      </c>
      <c r="G57" s="553" t="s">
        <v>1058</v>
      </c>
      <c r="H57" s="223"/>
      <c r="I57" s="223"/>
      <c r="J57" s="223"/>
      <c r="K57" s="223"/>
      <c r="L57" s="223"/>
    </row>
    <row r="58" spans="1:12" x14ac:dyDescent="0.2">
      <c r="A58" s="166">
        <f>A57+1</f>
        <v>24</v>
      </c>
      <c r="B58" s="223"/>
      <c r="C58" s="48"/>
      <c r="D58" s="48"/>
      <c r="E58" s="440" t="s">
        <v>752</v>
      </c>
      <c r="F58" s="587">
        <f>F56*F57</f>
        <v>243935134.52950749</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4591486701</v>
      </c>
      <c r="G61" s="553" t="str">
        <f>"Line "&amp;A53&amp;"."</f>
        <v>Line 21.</v>
      </c>
      <c r="H61" s="223"/>
      <c r="I61" s="223"/>
      <c r="J61" s="223"/>
      <c r="K61" s="223"/>
      <c r="L61" s="223"/>
    </row>
    <row r="62" spans="1:12" x14ac:dyDescent="0.2">
      <c r="A62" s="166">
        <f>A61+1</f>
        <v>26</v>
      </c>
      <c r="B62" s="223"/>
      <c r="C62" s="48"/>
      <c r="D62" s="48"/>
      <c r="E62" s="440" t="s">
        <v>751</v>
      </c>
      <c r="F62" s="680">
        <v>5.4507080159516719E-2</v>
      </c>
      <c r="G62" s="553" t="s">
        <v>1058</v>
      </c>
      <c r="H62" s="223"/>
      <c r="I62" s="223"/>
      <c r="J62" s="223"/>
      <c r="K62" s="223"/>
      <c r="L62" s="223"/>
    </row>
    <row r="63" spans="1:12" x14ac:dyDescent="0.2">
      <c r="A63" s="166">
        <f>A62+1</f>
        <v>27</v>
      </c>
      <c r="B63" s="223"/>
      <c r="C63" s="48"/>
      <c r="D63" s="48"/>
      <c r="E63" s="440" t="s">
        <v>752</v>
      </c>
      <c r="F63" s="587">
        <f>F61*F62</f>
        <v>250268533.66276199</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944</v>
      </c>
      <c r="C74" s="243">
        <v>-1311.9800000041723</v>
      </c>
      <c r="D74" s="243">
        <v>-264840.21000000834</v>
      </c>
      <c r="E74" s="526">
        <v>-213429.7199999094</v>
      </c>
      <c r="F74" s="526">
        <v>-9974980.6599988937</v>
      </c>
      <c r="G74" s="526">
        <v>6137126.8800001144</v>
      </c>
      <c r="H74" s="526">
        <v>3099111.3299999237</v>
      </c>
      <c r="I74" s="526">
        <v>247894.15999996662</v>
      </c>
      <c r="J74" s="526">
        <v>7502.070000000298</v>
      </c>
      <c r="K74" s="526">
        <v>180801.21000000834</v>
      </c>
      <c r="L74" s="526">
        <v>-4141019.900000006</v>
      </c>
      <c r="M74" s="527">
        <f t="shared" ref="M74:M85" si="4">SUM(C74:L74)</f>
        <v>-4923146.8199988082</v>
      </c>
    </row>
    <row r="75" spans="1:13" x14ac:dyDescent="0.2">
      <c r="A75" s="166">
        <f t="shared" ref="A75:A86" si="5">A74+1</f>
        <v>29</v>
      </c>
      <c r="B75" s="531" t="s">
        <v>945</v>
      </c>
      <c r="C75" s="243">
        <v>0</v>
      </c>
      <c r="D75" s="243">
        <v>1677304.9200000167</v>
      </c>
      <c r="E75" s="526">
        <v>1551610.5799999237</v>
      </c>
      <c r="F75" s="526">
        <v>20114795.499999046</v>
      </c>
      <c r="G75" s="526">
        <v>15360819.889999628</v>
      </c>
      <c r="H75" s="526">
        <v>4032005.9099999666</v>
      </c>
      <c r="I75" s="526">
        <v>8011509.2699999809</v>
      </c>
      <c r="J75" s="526">
        <v>8372.429999999702</v>
      </c>
      <c r="K75" s="526">
        <v>821489.25999999046</v>
      </c>
      <c r="L75" s="526">
        <v>757702.36000001431</v>
      </c>
      <c r="M75" s="527">
        <f t="shared" si="4"/>
        <v>52335610.119998567</v>
      </c>
    </row>
    <row r="76" spans="1:13" x14ac:dyDescent="0.2">
      <c r="A76" s="166">
        <f t="shared" si="5"/>
        <v>30</v>
      </c>
      <c r="B76" s="531" t="s">
        <v>946</v>
      </c>
      <c r="C76" s="243">
        <v>63.640000000596046</v>
      </c>
      <c r="D76" s="243">
        <v>1066195.1499999762</v>
      </c>
      <c r="E76" s="526">
        <v>-8944384.1399999857</v>
      </c>
      <c r="F76" s="526">
        <v>29123181.530000687</v>
      </c>
      <c r="G76" s="526">
        <v>455786.89000034332</v>
      </c>
      <c r="H76" s="526">
        <v>1749537.5299999714</v>
      </c>
      <c r="I76" s="526">
        <v>186794.97000014782</v>
      </c>
      <c r="J76" s="526">
        <v>14146.54999999702</v>
      </c>
      <c r="K76" s="526">
        <v>24457.949999988079</v>
      </c>
      <c r="L76" s="526">
        <v>-31050.610000014305</v>
      </c>
      <c r="M76" s="527">
        <f t="shared" si="4"/>
        <v>23644729.460001111</v>
      </c>
    </row>
    <row r="77" spans="1:13" x14ac:dyDescent="0.2">
      <c r="A77" s="166">
        <f t="shared" si="5"/>
        <v>31</v>
      </c>
      <c r="B77" s="528" t="s">
        <v>947</v>
      </c>
      <c r="C77" s="243">
        <v>-6762.8699999898672</v>
      </c>
      <c r="D77" s="243">
        <v>6908.380000025034</v>
      </c>
      <c r="E77" s="526">
        <v>4584551.120000124</v>
      </c>
      <c r="F77" s="526">
        <v>46863583.070000648</v>
      </c>
      <c r="G77" s="526">
        <v>1904493.8499996662</v>
      </c>
      <c r="H77" s="526">
        <v>4961798.7699999809</v>
      </c>
      <c r="I77" s="526">
        <v>764803.33000004292</v>
      </c>
      <c r="J77" s="526">
        <v>1197453.9200000018</v>
      </c>
      <c r="K77" s="526">
        <v>12576336.770000041</v>
      </c>
      <c r="L77" s="526">
        <v>154208.74000000954</v>
      </c>
      <c r="M77" s="527">
        <f t="shared" si="4"/>
        <v>73007375.08000055</v>
      </c>
    </row>
    <row r="78" spans="1:13" x14ac:dyDescent="0.2">
      <c r="A78" s="166">
        <f t="shared" si="5"/>
        <v>32</v>
      </c>
      <c r="B78" s="531" t="s">
        <v>948</v>
      </c>
      <c r="C78" s="243">
        <v>-1754.3299999982119</v>
      </c>
      <c r="D78" s="243">
        <v>0</v>
      </c>
      <c r="E78" s="526">
        <v>2298288.6499999762</v>
      </c>
      <c r="F78" s="526">
        <v>47333204.699998856</v>
      </c>
      <c r="G78" s="526">
        <v>13484554.340000153</v>
      </c>
      <c r="H78" s="526">
        <v>4649361.2299998999</v>
      </c>
      <c r="I78" s="526">
        <v>4999642.0199997425</v>
      </c>
      <c r="J78" s="526">
        <v>5508.9900000020862</v>
      </c>
      <c r="K78" s="526">
        <v>-48994.920000016689</v>
      </c>
      <c r="L78" s="526">
        <v>231499.79999999702</v>
      </c>
      <c r="M78" s="527">
        <f t="shared" si="4"/>
        <v>72951310.479998603</v>
      </c>
    </row>
    <row r="79" spans="1:13" x14ac:dyDescent="0.2">
      <c r="A79" s="166">
        <f t="shared" si="5"/>
        <v>33</v>
      </c>
      <c r="B79" s="531" t="s">
        <v>949</v>
      </c>
      <c r="C79" s="243">
        <v>-4791.6000000089407</v>
      </c>
      <c r="D79" s="243">
        <v>-22295.25</v>
      </c>
      <c r="E79" s="526">
        <v>2171600.2199999094</v>
      </c>
      <c r="F79" s="526">
        <v>50975384.720001221</v>
      </c>
      <c r="G79" s="526">
        <v>3430071.3100001812</v>
      </c>
      <c r="H79" s="526">
        <v>2935088.8300000429</v>
      </c>
      <c r="I79" s="526">
        <v>3430818.5000001192</v>
      </c>
      <c r="J79" s="526">
        <v>401122.89999999851</v>
      </c>
      <c r="K79" s="526">
        <v>-602975.75999999046</v>
      </c>
      <c r="L79" s="526">
        <v>193750.15000000596</v>
      </c>
      <c r="M79" s="527">
        <f t="shared" si="4"/>
        <v>62907774.020001478</v>
      </c>
    </row>
    <row r="80" spans="1:13" x14ac:dyDescent="0.2">
      <c r="A80" s="166">
        <f t="shared" si="5"/>
        <v>34</v>
      </c>
      <c r="B80" s="528" t="s">
        <v>950</v>
      </c>
      <c r="C80" s="243">
        <v>0</v>
      </c>
      <c r="D80" s="243">
        <v>-936.84999999403954</v>
      </c>
      <c r="E80" s="526">
        <v>1668289.1300001144</v>
      </c>
      <c r="F80" s="526">
        <v>30783625.840000153</v>
      </c>
      <c r="G80" s="526">
        <v>3093385.6699998379</v>
      </c>
      <c r="H80" s="526">
        <v>2891951.0899999142</v>
      </c>
      <c r="I80" s="526">
        <v>3452073.2599999905</v>
      </c>
      <c r="J80" s="526">
        <v>-24469.479999996722</v>
      </c>
      <c r="K80" s="526">
        <v>331781.19999998808</v>
      </c>
      <c r="L80" s="526">
        <v>133853.32999999821</v>
      </c>
      <c r="M80" s="527">
        <f t="shared" si="4"/>
        <v>42329553.190000005</v>
      </c>
    </row>
    <row r="81" spans="1:13" x14ac:dyDescent="0.2">
      <c r="A81" s="166">
        <f t="shared" si="5"/>
        <v>35</v>
      </c>
      <c r="B81" s="531" t="s">
        <v>951</v>
      </c>
      <c r="C81" s="243">
        <v>-25.640000000596046</v>
      </c>
      <c r="D81" s="243">
        <v>18760958.110000014</v>
      </c>
      <c r="E81" s="526">
        <v>9128121.3299999237</v>
      </c>
      <c r="F81" s="526">
        <v>-4390317.8700017929</v>
      </c>
      <c r="G81" s="526">
        <v>4600944.9500000477</v>
      </c>
      <c r="H81" s="526">
        <v>9077863.8100001812</v>
      </c>
      <c r="I81" s="526">
        <v>2186757.8200001717</v>
      </c>
      <c r="J81" s="526">
        <v>-4808.9800000041723</v>
      </c>
      <c r="K81" s="526">
        <v>-108816.19999998808</v>
      </c>
      <c r="L81" s="526">
        <v>182966.40999999642</v>
      </c>
      <c r="M81" s="527">
        <f t="shared" si="4"/>
        <v>39433643.739998549</v>
      </c>
    </row>
    <row r="82" spans="1:13" x14ac:dyDescent="0.2">
      <c r="A82" s="166">
        <f t="shared" si="5"/>
        <v>36</v>
      </c>
      <c r="B82" s="531" t="s">
        <v>952</v>
      </c>
      <c r="C82" s="243">
        <v>-1086.3799999952316</v>
      </c>
      <c r="D82" s="243">
        <v>1391.3999999761581</v>
      </c>
      <c r="E82" s="526">
        <v>2017242.5400000811</v>
      </c>
      <c r="F82" s="526">
        <v>13839216.760001183</v>
      </c>
      <c r="G82" s="526">
        <v>4500663.9500000477</v>
      </c>
      <c r="H82" s="526">
        <v>14437711.459999919</v>
      </c>
      <c r="I82" s="526">
        <v>-3311784.3900001049</v>
      </c>
      <c r="J82" s="526">
        <v>83.490000002086163</v>
      </c>
      <c r="K82" s="526">
        <v>5350531.9699999988</v>
      </c>
      <c r="L82" s="526">
        <v>-7245163.9399999976</v>
      </c>
      <c r="M82" s="527">
        <f t="shared" si="4"/>
        <v>29588806.86000111</v>
      </c>
    </row>
    <row r="83" spans="1:13" x14ac:dyDescent="0.2">
      <c r="A83" s="166">
        <f t="shared" si="5"/>
        <v>37</v>
      </c>
      <c r="B83" s="528" t="s">
        <v>953</v>
      </c>
      <c r="C83" s="243">
        <v>-452.79999999701977</v>
      </c>
      <c r="D83" s="243">
        <v>2477.039999961853</v>
      </c>
      <c r="E83" s="526">
        <v>32421215.749999762</v>
      </c>
      <c r="F83" s="526">
        <v>-17060973.25</v>
      </c>
      <c r="G83" s="526">
        <v>2558378.6499998569</v>
      </c>
      <c r="H83" s="526">
        <v>6912447.3200000525</v>
      </c>
      <c r="I83" s="526">
        <v>7282100.6399999857</v>
      </c>
      <c r="J83" s="526">
        <v>101311.1099999994</v>
      </c>
      <c r="K83" s="526">
        <v>112634.05000001192</v>
      </c>
      <c r="L83" s="526">
        <v>-4563155.9200000018</v>
      </c>
      <c r="M83" s="527">
        <f t="shared" si="4"/>
        <v>27765982.589999631</v>
      </c>
    </row>
    <row r="84" spans="1:13" x14ac:dyDescent="0.2">
      <c r="A84" s="166">
        <f t="shared" si="5"/>
        <v>38</v>
      </c>
      <c r="B84" s="528" t="s">
        <v>954</v>
      </c>
      <c r="C84" s="243">
        <v>0</v>
      </c>
      <c r="D84" s="243">
        <v>14806.700000017881</v>
      </c>
      <c r="E84" s="526">
        <v>4096755.3500001431</v>
      </c>
      <c r="F84" s="526">
        <v>53968610.649998665</v>
      </c>
      <c r="G84" s="526">
        <v>127683113.61000037</v>
      </c>
      <c r="H84" s="526">
        <v>28643497.769999862</v>
      </c>
      <c r="I84" s="526">
        <v>186630377.53000033</v>
      </c>
      <c r="J84" s="526">
        <v>-241385.67000000179</v>
      </c>
      <c r="K84" s="526">
        <v>82640.859999984503</v>
      </c>
      <c r="L84" s="526">
        <v>-3838341.2200000063</v>
      </c>
      <c r="M84" s="527">
        <f t="shared" si="4"/>
        <v>397040075.57999933</v>
      </c>
    </row>
    <row r="85" spans="1:13" x14ac:dyDescent="0.2">
      <c r="A85" s="166">
        <f t="shared" si="5"/>
        <v>39</v>
      </c>
      <c r="B85" s="531" t="s">
        <v>955</v>
      </c>
      <c r="C85" s="555">
        <v>-109.40000000596046</v>
      </c>
      <c r="D85" s="555">
        <v>10602.92999997735</v>
      </c>
      <c r="E85" s="538">
        <v>13840463.76000011</v>
      </c>
      <c r="F85" s="538">
        <v>95032808.870000839</v>
      </c>
      <c r="G85" s="538">
        <v>179120470.93000007</v>
      </c>
      <c r="H85" s="538">
        <v>56181279.890000105</v>
      </c>
      <c r="I85" s="538">
        <v>74812365.949999571</v>
      </c>
      <c r="J85" s="538">
        <v>2200.6600000038743</v>
      </c>
      <c r="K85" s="538">
        <v>2802779.9699999988</v>
      </c>
      <c r="L85" s="538">
        <v>28383942.420000024</v>
      </c>
      <c r="M85" s="539">
        <f t="shared" si="4"/>
        <v>450186805.98000067</v>
      </c>
    </row>
    <row r="86" spans="1:13" x14ac:dyDescent="0.2">
      <c r="A86" s="166">
        <f t="shared" si="5"/>
        <v>40</v>
      </c>
      <c r="B86" s="535" t="s">
        <v>166</v>
      </c>
      <c r="C86" s="527">
        <f>SUM(C74:C85)</f>
        <v>-16231.359999999404</v>
      </c>
      <c r="D86" s="527">
        <f t="shared" ref="D86:L86" si="6">SUM(D74:D85)</f>
        <v>21252572.319999963</v>
      </c>
      <c r="E86" s="527">
        <f t="shared" si="6"/>
        <v>64620324.570000172</v>
      </c>
      <c r="F86" s="527">
        <f t="shared" si="6"/>
        <v>356608139.86000061</v>
      </c>
      <c r="G86" s="527">
        <f t="shared" si="6"/>
        <v>362329810.92000031</v>
      </c>
      <c r="H86" s="527">
        <f t="shared" si="6"/>
        <v>139571654.93999982</v>
      </c>
      <c r="I86" s="527">
        <f t="shared" si="6"/>
        <v>288693353.05999994</v>
      </c>
      <c r="J86" s="527">
        <f t="shared" si="6"/>
        <v>1467037.9900000021</v>
      </c>
      <c r="K86" s="527">
        <f t="shared" si="6"/>
        <v>21522666.360000014</v>
      </c>
      <c r="L86" s="527">
        <f t="shared" si="6"/>
        <v>10219191.62000002</v>
      </c>
      <c r="M86" s="527">
        <f>SUM(M74:M85)</f>
        <v>1266268520.2800007</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944</v>
      </c>
      <c r="C94" s="243">
        <v>0</v>
      </c>
      <c r="D94" s="243">
        <v>-262444.34999999404</v>
      </c>
      <c r="E94" s="526">
        <v>301755.5</v>
      </c>
      <c r="F94" s="526">
        <v>-10254038.670000076</v>
      </c>
      <c r="G94" s="526">
        <v>2491979.9999998808</v>
      </c>
      <c r="H94" s="526">
        <v>259.52999999374151</v>
      </c>
      <c r="I94" s="526">
        <v>1387682.8000000119</v>
      </c>
      <c r="J94" s="526">
        <v>0</v>
      </c>
      <c r="K94" s="526">
        <v>10393103.67</v>
      </c>
      <c r="L94" s="526">
        <v>216785.56000000238</v>
      </c>
      <c r="M94" s="527">
        <f t="shared" ref="M94:M105" si="7">SUM(C94:L94)</f>
        <v>4275084.0399998184</v>
      </c>
    </row>
    <row r="95" spans="1:13" x14ac:dyDescent="0.2">
      <c r="A95" s="166">
        <f t="shared" ref="A95:A106" si="8">A94+1</f>
        <v>42</v>
      </c>
      <c r="B95" s="531" t="s">
        <v>945</v>
      </c>
      <c r="C95" s="243">
        <v>0</v>
      </c>
      <c r="D95" s="243">
        <v>1655675.1599999964</v>
      </c>
      <c r="E95" s="526">
        <v>373787.56000000238</v>
      </c>
      <c r="F95" s="526">
        <v>12551442.860000253</v>
      </c>
      <c r="G95" s="526">
        <v>12382444.790000081</v>
      </c>
      <c r="H95" s="526">
        <v>1706.070000000298</v>
      </c>
      <c r="I95" s="526">
        <v>4361160.4599999785</v>
      </c>
      <c r="J95" s="526">
        <v>0</v>
      </c>
      <c r="K95" s="526">
        <v>7022.1899999994785</v>
      </c>
      <c r="L95" s="526">
        <v>756504.64999999851</v>
      </c>
      <c r="M95" s="527">
        <f t="shared" si="7"/>
        <v>32089743.740000308</v>
      </c>
    </row>
    <row r="96" spans="1:13" x14ac:dyDescent="0.2">
      <c r="A96" s="166">
        <f t="shared" si="8"/>
        <v>43</v>
      </c>
      <c r="B96" s="531" t="s">
        <v>946</v>
      </c>
      <c r="C96" s="243">
        <v>0</v>
      </c>
      <c r="D96" s="243">
        <v>1059010.6700000018</v>
      </c>
      <c r="E96" s="526">
        <v>788877.82000002265</v>
      </c>
      <c r="F96" s="526">
        <v>13575845.929999948</v>
      </c>
      <c r="G96" s="526">
        <v>-87891.149999976158</v>
      </c>
      <c r="H96" s="526">
        <v>0</v>
      </c>
      <c r="I96" s="526">
        <v>43643.069999992847</v>
      </c>
      <c r="J96" s="526">
        <v>0</v>
      </c>
      <c r="K96" s="526">
        <v>516261.77999999933</v>
      </c>
      <c r="L96" s="526">
        <v>-31212.270000003278</v>
      </c>
      <c r="M96" s="527">
        <f t="shared" si="7"/>
        <v>15864535.849999985</v>
      </c>
    </row>
    <row r="97" spans="1:13" x14ac:dyDescent="0.2">
      <c r="A97" s="166">
        <f t="shared" si="8"/>
        <v>44</v>
      </c>
      <c r="B97" s="528" t="s">
        <v>947</v>
      </c>
      <c r="C97" s="243">
        <v>0</v>
      </c>
      <c r="D97" s="243">
        <v>16365.370000004768</v>
      </c>
      <c r="E97" s="526">
        <v>7611.3799999952316</v>
      </c>
      <c r="F97" s="526">
        <v>-1278751.0900000334</v>
      </c>
      <c r="G97" s="526">
        <v>2283844.9799998999</v>
      </c>
      <c r="H97" s="526">
        <v>1.3200000002980232</v>
      </c>
      <c r="I97" s="526">
        <v>988980.61999994516</v>
      </c>
      <c r="J97" s="526">
        <v>0</v>
      </c>
      <c r="K97" s="526">
        <v>4910.5399999991059</v>
      </c>
      <c r="L97" s="526">
        <v>154208.74000000209</v>
      </c>
      <c r="M97" s="527">
        <f t="shared" si="7"/>
        <v>2177171.8599998131</v>
      </c>
    </row>
    <row r="98" spans="1:13" x14ac:dyDescent="0.2">
      <c r="A98" s="166">
        <f t="shared" si="8"/>
        <v>45</v>
      </c>
      <c r="B98" s="531" t="s">
        <v>948</v>
      </c>
      <c r="C98" s="243">
        <v>0</v>
      </c>
      <c r="D98" s="243">
        <v>0</v>
      </c>
      <c r="E98" s="526">
        <v>367480.48000001907</v>
      </c>
      <c r="F98" s="526">
        <v>20815414.929999948</v>
      </c>
      <c r="G98" s="526">
        <v>8132451.3299999237</v>
      </c>
      <c r="H98" s="526">
        <v>794206.28999999911</v>
      </c>
      <c r="I98" s="526">
        <v>4564066.6500000358</v>
      </c>
      <c r="J98" s="526">
        <v>0</v>
      </c>
      <c r="K98" s="526">
        <v>4433.230000000447</v>
      </c>
      <c r="L98" s="526">
        <v>231499.80000000447</v>
      </c>
      <c r="M98" s="527">
        <f t="shared" si="7"/>
        <v>34909552.709999926</v>
      </c>
    </row>
    <row r="99" spans="1:13" x14ac:dyDescent="0.2">
      <c r="A99" s="166">
        <f t="shared" si="8"/>
        <v>46</v>
      </c>
      <c r="B99" s="531" t="s">
        <v>949</v>
      </c>
      <c r="C99" s="243">
        <v>0</v>
      </c>
      <c r="D99" s="243">
        <v>135</v>
      </c>
      <c r="E99" s="526">
        <v>818020.05999994278</v>
      </c>
      <c r="F99" s="526">
        <v>2413496.8899998665</v>
      </c>
      <c r="G99" s="526">
        <v>2790821.5699999332</v>
      </c>
      <c r="H99" s="526">
        <v>0.72999999672174454</v>
      </c>
      <c r="I99" s="526">
        <v>1308434.8299999833</v>
      </c>
      <c r="J99" s="526">
        <v>0</v>
      </c>
      <c r="K99" s="526">
        <v>711.58999999985099</v>
      </c>
      <c r="L99" s="526">
        <v>193750.14999999106</v>
      </c>
      <c r="M99" s="527">
        <f t="shared" si="7"/>
        <v>7525370.8199997135</v>
      </c>
    </row>
    <row r="100" spans="1:13" x14ac:dyDescent="0.2">
      <c r="A100" s="166">
        <f t="shared" si="8"/>
        <v>47</v>
      </c>
      <c r="B100" s="528" t="s">
        <v>950</v>
      </c>
      <c r="C100" s="243">
        <v>0</v>
      </c>
      <c r="D100" s="243">
        <v>-90</v>
      </c>
      <c r="E100" s="526">
        <v>127040.97000005841</v>
      </c>
      <c r="F100" s="526">
        <v>489393.58000016212</v>
      </c>
      <c r="G100" s="526">
        <v>2990828.870000124</v>
      </c>
      <c r="H100" s="526">
        <v>6328.3800000026822</v>
      </c>
      <c r="I100" s="526">
        <v>1536747.1300000548</v>
      </c>
      <c r="J100" s="526">
        <v>0</v>
      </c>
      <c r="K100" s="526">
        <v>91043.740000000224</v>
      </c>
      <c r="L100" s="526">
        <v>133853.32999999821</v>
      </c>
      <c r="M100" s="527">
        <f t="shared" si="7"/>
        <v>5375146.0000004005</v>
      </c>
    </row>
    <row r="101" spans="1:13" x14ac:dyDescent="0.2">
      <c r="A101" s="166">
        <f t="shared" si="8"/>
        <v>48</v>
      </c>
      <c r="B101" s="531" t="s">
        <v>951</v>
      </c>
      <c r="C101" s="243">
        <v>0</v>
      </c>
      <c r="D101" s="243">
        <v>18761837.439999998</v>
      </c>
      <c r="E101" s="526">
        <v>6942419.569999963</v>
      </c>
      <c r="F101" s="526">
        <v>-6397145.9200000763</v>
      </c>
      <c r="G101" s="526">
        <v>3310955.9700000286</v>
      </c>
      <c r="H101" s="526">
        <v>2583.6700000017881</v>
      </c>
      <c r="I101" s="526">
        <v>1829813.0799999833</v>
      </c>
      <c r="J101" s="526">
        <v>0</v>
      </c>
      <c r="K101" s="526">
        <v>0</v>
      </c>
      <c r="L101" s="526">
        <v>182966.41000000387</v>
      </c>
      <c r="M101" s="527">
        <f t="shared" si="7"/>
        <v>24633430.219999902</v>
      </c>
    </row>
    <row r="102" spans="1:13" x14ac:dyDescent="0.2">
      <c r="A102" s="166">
        <f t="shared" si="8"/>
        <v>49</v>
      </c>
      <c r="B102" s="531" t="s">
        <v>952</v>
      </c>
      <c r="C102" s="243">
        <v>0</v>
      </c>
      <c r="D102" s="243">
        <v>1500</v>
      </c>
      <c r="E102" s="526">
        <v>70506.239999979734</v>
      </c>
      <c r="F102" s="526">
        <v>313228.44000005722</v>
      </c>
      <c r="G102" s="526">
        <v>-133476.01000010967</v>
      </c>
      <c r="H102" s="526">
        <v>6860351.8100000024</v>
      </c>
      <c r="I102" s="526">
        <v>-2714551.5599999428</v>
      </c>
      <c r="J102" s="526">
        <v>0</v>
      </c>
      <c r="K102" s="526">
        <v>0</v>
      </c>
      <c r="L102" s="526">
        <v>-7313800.2100000009</v>
      </c>
      <c r="M102" s="527">
        <f t="shared" si="7"/>
        <v>-2916241.290000014</v>
      </c>
    </row>
    <row r="103" spans="1:13" x14ac:dyDescent="0.2">
      <c r="A103" s="166">
        <f t="shared" si="8"/>
        <v>50</v>
      </c>
      <c r="B103" s="528" t="s">
        <v>953</v>
      </c>
      <c r="C103" s="243">
        <v>0</v>
      </c>
      <c r="D103" s="243">
        <v>-1561.9300000071526</v>
      </c>
      <c r="E103" s="526">
        <v>35264733.050000012</v>
      </c>
      <c r="F103" s="526">
        <v>-39634964.99000001</v>
      </c>
      <c r="G103" s="526">
        <v>3717526.8800001144</v>
      </c>
      <c r="H103" s="526">
        <v>1058.1500000059605</v>
      </c>
      <c r="I103" s="526">
        <v>5069281.6099999547</v>
      </c>
      <c r="J103" s="526">
        <v>0</v>
      </c>
      <c r="K103" s="526">
        <v>0</v>
      </c>
      <c r="L103" s="526">
        <v>-4527218.3000000045</v>
      </c>
      <c r="M103" s="527">
        <f t="shared" si="7"/>
        <v>-111145.52999993414</v>
      </c>
    </row>
    <row r="104" spans="1:13" x14ac:dyDescent="0.2">
      <c r="A104" s="166">
        <f t="shared" si="8"/>
        <v>51</v>
      </c>
      <c r="B104" s="528" t="s">
        <v>954</v>
      </c>
      <c r="C104" s="243">
        <v>0</v>
      </c>
      <c r="D104" s="243">
        <v>-998</v>
      </c>
      <c r="E104" s="526">
        <v>7661.3500000238419</v>
      </c>
      <c r="F104" s="526">
        <v>344794.58000004292</v>
      </c>
      <c r="G104" s="526">
        <v>127781976.2299999</v>
      </c>
      <c r="H104" s="526">
        <v>26215251.079999998</v>
      </c>
      <c r="I104" s="526">
        <v>184680423.24999994</v>
      </c>
      <c r="J104" s="526">
        <v>0</v>
      </c>
      <c r="K104" s="526">
        <v>0</v>
      </c>
      <c r="L104" s="526">
        <v>-3838341.2199999988</v>
      </c>
      <c r="M104" s="527">
        <f t="shared" si="7"/>
        <v>335190767.26999986</v>
      </c>
    </row>
    <row r="105" spans="1:13" x14ac:dyDescent="0.2">
      <c r="A105" s="166">
        <f t="shared" si="8"/>
        <v>52</v>
      </c>
      <c r="B105" s="531" t="s">
        <v>955</v>
      </c>
      <c r="C105" s="555">
        <v>0</v>
      </c>
      <c r="D105" s="555">
        <v>2126.6599999964237</v>
      </c>
      <c r="E105" s="538">
        <v>865253.6099999845</v>
      </c>
      <c r="F105" s="538">
        <v>42427850.199999928</v>
      </c>
      <c r="G105" s="538">
        <v>145492784.74000001</v>
      </c>
      <c r="H105" s="538">
        <v>2756108.7800000012</v>
      </c>
      <c r="I105" s="538">
        <v>49019677.139999986</v>
      </c>
      <c r="J105" s="538">
        <v>0</v>
      </c>
      <c r="K105" s="538">
        <v>0</v>
      </c>
      <c r="L105" s="538">
        <v>11034066.020000003</v>
      </c>
      <c r="M105" s="539">
        <f t="shared" si="7"/>
        <v>251597867.14999992</v>
      </c>
    </row>
    <row r="106" spans="1:13" x14ac:dyDescent="0.2">
      <c r="A106" s="166">
        <f t="shared" si="8"/>
        <v>53</v>
      </c>
      <c r="B106" s="535" t="s">
        <v>166</v>
      </c>
      <c r="C106" s="527">
        <f>SUM(C94:C105)</f>
        <v>0</v>
      </c>
      <c r="D106" s="527">
        <f t="shared" ref="D106:L106" si="9">SUM(D94:D105)</f>
        <v>21231556.019999996</v>
      </c>
      <c r="E106" s="527">
        <f t="shared" si="9"/>
        <v>45935147.590000004</v>
      </c>
      <c r="F106" s="527">
        <f t="shared" si="9"/>
        <v>35366566.74000001</v>
      </c>
      <c r="G106" s="527">
        <f t="shared" si="9"/>
        <v>311154248.19999981</v>
      </c>
      <c r="H106" s="527">
        <f t="shared" si="9"/>
        <v>36637855.810000002</v>
      </c>
      <c r="I106" s="527">
        <f t="shared" si="9"/>
        <v>252075359.07999992</v>
      </c>
      <c r="J106" s="527">
        <f t="shared" si="9"/>
        <v>0</v>
      </c>
      <c r="K106" s="527">
        <f t="shared" si="9"/>
        <v>11017486.739999998</v>
      </c>
      <c r="L106" s="527">
        <f t="shared" si="9"/>
        <v>-2806937.3400000036</v>
      </c>
      <c r="M106" s="527">
        <f>SUM(M94:M105)</f>
        <v>710611282.83999968</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944</v>
      </c>
      <c r="C114" s="188">
        <f t="shared" ref="C114:L125" si="10">C74-C94</f>
        <v>-1311.9800000041723</v>
      </c>
      <c r="D114" s="188">
        <f t="shared" si="10"/>
        <v>-2395.8600000143051</v>
      </c>
      <c r="E114" s="188">
        <f t="shared" si="10"/>
        <v>-515185.2199999094</v>
      </c>
      <c r="F114" s="188">
        <f t="shared" si="10"/>
        <v>279058.01000118256</v>
      </c>
      <c r="G114" s="188">
        <f t="shared" si="10"/>
        <v>3645146.8800002337</v>
      </c>
      <c r="H114" s="188">
        <f t="shared" si="10"/>
        <v>3098851.79999993</v>
      </c>
      <c r="I114" s="188">
        <f t="shared" si="10"/>
        <v>-1139788.6400000453</v>
      </c>
      <c r="J114" s="188">
        <f t="shared" si="10"/>
        <v>7502.070000000298</v>
      </c>
      <c r="K114" s="188">
        <f t="shared" si="10"/>
        <v>-10212302.459999992</v>
      </c>
      <c r="L114" s="188">
        <f t="shared" si="10"/>
        <v>-4357805.4600000083</v>
      </c>
      <c r="M114" s="527">
        <f t="shared" ref="M114:M125" si="11">SUM(C114:L114)</f>
        <v>-9198230.8599986266</v>
      </c>
    </row>
    <row r="115" spans="1:13" x14ac:dyDescent="0.2">
      <c r="A115" s="166">
        <f t="shared" ref="A115:A126" si="12">A114+1</f>
        <v>55</v>
      </c>
      <c r="B115" s="531" t="s">
        <v>945</v>
      </c>
      <c r="C115" s="188">
        <f t="shared" si="10"/>
        <v>0</v>
      </c>
      <c r="D115" s="188">
        <f t="shared" si="10"/>
        <v>21629.760000020266</v>
      </c>
      <c r="E115" s="188">
        <f t="shared" si="10"/>
        <v>1177823.0199999213</v>
      </c>
      <c r="F115" s="188">
        <f t="shared" si="10"/>
        <v>7563352.6399987936</v>
      </c>
      <c r="G115" s="188">
        <f t="shared" si="10"/>
        <v>2978375.099999547</v>
      </c>
      <c r="H115" s="188">
        <f t="shared" si="10"/>
        <v>4030299.8399999663</v>
      </c>
      <c r="I115" s="188">
        <f t="shared" si="10"/>
        <v>3650348.8100000024</v>
      </c>
      <c r="J115" s="188">
        <f t="shared" si="10"/>
        <v>8372.429999999702</v>
      </c>
      <c r="K115" s="188">
        <f t="shared" si="10"/>
        <v>814467.06999999098</v>
      </c>
      <c r="L115" s="188">
        <f t="shared" si="10"/>
        <v>1197.7100000157952</v>
      </c>
      <c r="M115" s="527">
        <f t="shared" si="11"/>
        <v>20245866.379998259</v>
      </c>
    </row>
    <row r="116" spans="1:13" x14ac:dyDescent="0.2">
      <c r="A116" s="166">
        <f t="shared" si="12"/>
        <v>56</v>
      </c>
      <c r="B116" s="531" t="s">
        <v>946</v>
      </c>
      <c r="C116" s="188">
        <f t="shared" si="10"/>
        <v>63.640000000596046</v>
      </c>
      <c r="D116" s="188">
        <f t="shared" si="10"/>
        <v>7184.47999997437</v>
      </c>
      <c r="E116" s="188">
        <f t="shared" si="10"/>
        <v>-9733261.9600000083</v>
      </c>
      <c r="F116" s="188">
        <f t="shared" si="10"/>
        <v>15547335.600000739</v>
      </c>
      <c r="G116" s="188">
        <f t="shared" si="10"/>
        <v>543678.04000031948</v>
      </c>
      <c r="H116" s="188">
        <f t="shared" si="10"/>
        <v>1749537.5299999714</v>
      </c>
      <c r="I116" s="188">
        <f t="shared" si="10"/>
        <v>143151.90000015497</v>
      </c>
      <c r="J116" s="188">
        <f t="shared" si="10"/>
        <v>14146.54999999702</v>
      </c>
      <c r="K116" s="188">
        <f t="shared" si="10"/>
        <v>-491803.83000001125</v>
      </c>
      <c r="L116" s="188">
        <f t="shared" si="10"/>
        <v>161.65999998897314</v>
      </c>
      <c r="M116" s="527">
        <f t="shared" si="11"/>
        <v>7780193.6100011263</v>
      </c>
    </row>
    <row r="117" spans="1:13" x14ac:dyDescent="0.2">
      <c r="A117" s="166">
        <f t="shared" si="12"/>
        <v>57</v>
      </c>
      <c r="B117" s="528" t="s">
        <v>947</v>
      </c>
      <c r="C117" s="188">
        <f t="shared" si="10"/>
        <v>-6762.8699999898672</v>
      </c>
      <c r="D117" s="188">
        <f t="shared" si="10"/>
        <v>-9456.9899999797344</v>
      </c>
      <c r="E117" s="188">
        <f t="shared" si="10"/>
        <v>4576939.7400001287</v>
      </c>
      <c r="F117" s="188">
        <f t="shared" si="10"/>
        <v>48142334.160000682</v>
      </c>
      <c r="G117" s="188">
        <f t="shared" si="10"/>
        <v>-379351.13000023365</v>
      </c>
      <c r="H117" s="188">
        <f t="shared" si="10"/>
        <v>4961797.4499999806</v>
      </c>
      <c r="I117" s="188">
        <f t="shared" si="10"/>
        <v>-224177.28999990225</v>
      </c>
      <c r="J117" s="188">
        <f t="shared" si="10"/>
        <v>1197453.9200000018</v>
      </c>
      <c r="K117" s="188">
        <f t="shared" si="10"/>
        <v>12571426.230000041</v>
      </c>
      <c r="L117" s="188">
        <f t="shared" si="10"/>
        <v>7.4505805969238281E-9</v>
      </c>
      <c r="M117" s="527">
        <f t="shared" si="11"/>
        <v>70830203.220000744</v>
      </c>
    </row>
    <row r="118" spans="1:13" x14ac:dyDescent="0.2">
      <c r="A118" s="166">
        <f t="shared" si="12"/>
        <v>58</v>
      </c>
      <c r="B118" s="531" t="s">
        <v>948</v>
      </c>
      <c r="C118" s="188">
        <f t="shared" si="10"/>
        <v>-1754.3299999982119</v>
      </c>
      <c r="D118" s="188">
        <f t="shared" si="10"/>
        <v>0</v>
      </c>
      <c r="E118" s="188">
        <f t="shared" si="10"/>
        <v>1930808.1699999571</v>
      </c>
      <c r="F118" s="188">
        <f t="shared" si="10"/>
        <v>26517789.769998908</v>
      </c>
      <c r="G118" s="188">
        <f t="shared" si="10"/>
        <v>5352103.0100002289</v>
      </c>
      <c r="H118" s="188">
        <f t="shared" si="10"/>
        <v>3855154.9399999008</v>
      </c>
      <c r="I118" s="188">
        <f t="shared" si="10"/>
        <v>435575.36999970675</v>
      </c>
      <c r="J118" s="188">
        <f t="shared" si="10"/>
        <v>5508.9900000020862</v>
      </c>
      <c r="K118" s="188">
        <f t="shared" si="10"/>
        <v>-53428.150000017136</v>
      </c>
      <c r="L118" s="188">
        <f t="shared" si="10"/>
        <v>-7.4505805969238281E-9</v>
      </c>
      <c r="M118" s="527">
        <f t="shared" si="11"/>
        <v>38041757.769998677</v>
      </c>
    </row>
    <row r="119" spans="1:13" x14ac:dyDescent="0.2">
      <c r="A119" s="166">
        <f t="shared" si="12"/>
        <v>59</v>
      </c>
      <c r="B119" s="531" t="s">
        <v>949</v>
      </c>
      <c r="C119" s="188">
        <f t="shared" si="10"/>
        <v>-4791.6000000089407</v>
      </c>
      <c r="D119" s="188">
        <f t="shared" si="10"/>
        <v>-22430.25</v>
      </c>
      <c r="E119" s="188">
        <f t="shared" si="10"/>
        <v>1353580.1599999666</v>
      </c>
      <c r="F119" s="188">
        <f t="shared" si="10"/>
        <v>48561887.830001354</v>
      </c>
      <c r="G119" s="188">
        <f t="shared" si="10"/>
        <v>639249.74000024796</v>
      </c>
      <c r="H119" s="188">
        <f t="shared" si="10"/>
        <v>2935088.1000000462</v>
      </c>
      <c r="I119" s="188">
        <f t="shared" si="10"/>
        <v>2122383.6700001359</v>
      </c>
      <c r="J119" s="188">
        <f t="shared" si="10"/>
        <v>401122.89999999851</v>
      </c>
      <c r="K119" s="188">
        <f t="shared" si="10"/>
        <v>-603687.34999999031</v>
      </c>
      <c r="L119" s="188">
        <f t="shared" si="10"/>
        <v>1.4901161193847656E-8</v>
      </c>
      <c r="M119" s="527">
        <f t="shared" si="11"/>
        <v>55382403.200001761</v>
      </c>
    </row>
    <row r="120" spans="1:13" x14ac:dyDescent="0.2">
      <c r="A120" s="166">
        <f t="shared" si="12"/>
        <v>60</v>
      </c>
      <c r="B120" s="528" t="s">
        <v>950</v>
      </c>
      <c r="C120" s="188">
        <f t="shared" si="10"/>
        <v>0</v>
      </c>
      <c r="D120" s="188">
        <f t="shared" si="10"/>
        <v>-846.84999999403954</v>
      </c>
      <c r="E120" s="188">
        <f t="shared" si="10"/>
        <v>1541248.160000056</v>
      </c>
      <c r="F120" s="188">
        <f t="shared" si="10"/>
        <v>30294232.25999999</v>
      </c>
      <c r="G120" s="188">
        <f t="shared" si="10"/>
        <v>102556.7999997139</v>
      </c>
      <c r="H120" s="188">
        <f t="shared" si="10"/>
        <v>2885622.7099999115</v>
      </c>
      <c r="I120" s="188">
        <f t="shared" si="10"/>
        <v>1915326.1299999356</v>
      </c>
      <c r="J120" s="188">
        <f t="shared" si="10"/>
        <v>-24469.479999996722</v>
      </c>
      <c r="K120" s="188">
        <f t="shared" si="10"/>
        <v>240737.45999998786</v>
      </c>
      <c r="L120" s="188">
        <f t="shared" si="10"/>
        <v>0</v>
      </c>
      <c r="M120" s="527">
        <f t="shared" si="11"/>
        <v>36954407.189999603</v>
      </c>
    </row>
    <row r="121" spans="1:13" x14ac:dyDescent="0.2">
      <c r="A121" s="166">
        <f t="shared" si="12"/>
        <v>61</v>
      </c>
      <c r="B121" s="531" t="s">
        <v>951</v>
      </c>
      <c r="C121" s="188">
        <f t="shared" si="10"/>
        <v>-25.640000000596046</v>
      </c>
      <c r="D121" s="188">
        <f t="shared" si="10"/>
        <v>-879.3299999833107</v>
      </c>
      <c r="E121" s="188">
        <f t="shared" si="10"/>
        <v>2185701.7599999607</v>
      </c>
      <c r="F121" s="188">
        <f t="shared" si="10"/>
        <v>2006828.0499982834</v>
      </c>
      <c r="G121" s="188">
        <f t="shared" si="10"/>
        <v>1289988.9800000191</v>
      </c>
      <c r="H121" s="188">
        <f t="shared" si="10"/>
        <v>9075280.1400001794</v>
      </c>
      <c r="I121" s="188">
        <f t="shared" si="10"/>
        <v>356944.74000018835</v>
      </c>
      <c r="J121" s="188">
        <f t="shared" si="10"/>
        <v>-4808.9800000041723</v>
      </c>
      <c r="K121" s="188">
        <f t="shared" si="10"/>
        <v>-108816.19999998808</v>
      </c>
      <c r="L121" s="188">
        <f t="shared" si="10"/>
        <v>-7.4505805969238281E-9</v>
      </c>
      <c r="M121" s="527">
        <f t="shared" si="11"/>
        <v>14800213.519998647</v>
      </c>
    </row>
    <row r="122" spans="1:13" x14ac:dyDescent="0.2">
      <c r="A122" s="166">
        <f t="shared" si="12"/>
        <v>62</v>
      </c>
      <c r="B122" s="531" t="s">
        <v>952</v>
      </c>
      <c r="C122" s="188">
        <f t="shared" si="10"/>
        <v>-1086.3799999952316</v>
      </c>
      <c r="D122" s="188">
        <f t="shared" si="10"/>
        <v>-108.60000002384186</v>
      </c>
      <c r="E122" s="188">
        <f t="shared" si="10"/>
        <v>1946736.3000001013</v>
      </c>
      <c r="F122" s="188">
        <f t="shared" si="10"/>
        <v>13525988.320001125</v>
      </c>
      <c r="G122" s="188">
        <f t="shared" si="10"/>
        <v>4634139.9600001574</v>
      </c>
      <c r="H122" s="188">
        <f t="shared" si="10"/>
        <v>7577359.6499999166</v>
      </c>
      <c r="I122" s="188">
        <f t="shared" si="10"/>
        <v>-597232.83000016212</v>
      </c>
      <c r="J122" s="188">
        <f t="shared" si="10"/>
        <v>83.490000002086163</v>
      </c>
      <c r="K122" s="188">
        <f t="shared" si="10"/>
        <v>5350531.9699999988</v>
      </c>
      <c r="L122" s="188">
        <f t="shared" si="10"/>
        <v>68636.270000003278</v>
      </c>
      <c r="M122" s="527">
        <f t="shared" si="11"/>
        <v>32505048.150001124</v>
      </c>
    </row>
    <row r="123" spans="1:13" x14ac:dyDescent="0.2">
      <c r="A123" s="166">
        <f t="shared" si="12"/>
        <v>63</v>
      </c>
      <c r="B123" s="528" t="s">
        <v>953</v>
      </c>
      <c r="C123" s="188">
        <f t="shared" si="10"/>
        <v>-452.79999999701977</v>
      </c>
      <c r="D123" s="188">
        <f t="shared" si="10"/>
        <v>4038.9699999690056</v>
      </c>
      <c r="E123" s="188">
        <f t="shared" si="10"/>
        <v>-2843517.3000002503</v>
      </c>
      <c r="F123" s="188">
        <f t="shared" si="10"/>
        <v>22573991.74000001</v>
      </c>
      <c r="G123" s="188">
        <f t="shared" si="10"/>
        <v>-1159148.2300002575</v>
      </c>
      <c r="H123" s="188">
        <f t="shared" si="10"/>
        <v>6911389.1700000465</v>
      </c>
      <c r="I123" s="188">
        <f t="shared" si="10"/>
        <v>2212819.030000031</v>
      </c>
      <c r="J123" s="188">
        <f t="shared" si="10"/>
        <v>101311.1099999994</v>
      </c>
      <c r="K123" s="188">
        <f t="shared" si="10"/>
        <v>112634.05000001192</v>
      </c>
      <c r="L123" s="188">
        <f t="shared" si="10"/>
        <v>-35937.619999997318</v>
      </c>
      <c r="M123" s="527">
        <f t="shared" si="11"/>
        <v>27877128.119999565</v>
      </c>
    </row>
    <row r="124" spans="1:13" x14ac:dyDescent="0.2">
      <c r="A124" s="166">
        <f t="shared" si="12"/>
        <v>64</v>
      </c>
      <c r="B124" s="528" t="s">
        <v>954</v>
      </c>
      <c r="C124" s="188">
        <f t="shared" si="10"/>
        <v>0</v>
      </c>
      <c r="D124" s="188">
        <f t="shared" si="10"/>
        <v>15804.700000017881</v>
      </c>
      <c r="E124" s="188">
        <f t="shared" si="10"/>
        <v>4089094.0000001192</v>
      </c>
      <c r="F124" s="188">
        <f t="shared" si="10"/>
        <v>53623816.069998622</v>
      </c>
      <c r="G124" s="188">
        <f t="shared" si="10"/>
        <v>-98862.619999527931</v>
      </c>
      <c r="H124" s="188">
        <f t="shared" si="10"/>
        <v>2428246.6899998635</v>
      </c>
      <c r="I124" s="188">
        <f t="shared" si="10"/>
        <v>1949954.2800003886</v>
      </c>
      <c r="J124" s="188">
        <f t="shared" si="10"/>
        <v>-241385.67000000179</v>
      </c>
      <c r="K124" s="188">
        <f t="shared" si="10"/>
        <v>82640.859999984503</v>
      </c>
      <c r="L124" s="188">
        <f t="shared" si="10"/>
        <v>-7.4505805969238281E-9</v>
      </c>
      <c r="M124" s="527">
        <f t="shared" si="11"/>
        <v>61849308.309999458</v>
      </c>
    </row>
    <row r="125" spans="1:13" x14ac:dyDescent="0.2">
      <c r="A125" s="166">
        <f t="shared" si="12"/>
        <v>65</v>
      </c>
      <c r="B125" s="531" t="s">
        <v>955</v>
      </c>
      <c r="C125" s="181">
        <f t="shared" si="10"/>
        <v>-109.40000000596046</v>
      </c>
      <c r="D125" s="181">
        <f t="shared" si="10"/>
        <v>8476.2699999809265</v>
      </c>
      <c r="E125" s="181">
        <f t="shared" si="10"/>
        <v>12975210.150000125</v>
      </c>
      <c r="F125" s="181">
        <f t="shared" si="10"/>
        <v>52604958.670000911</v>
      </c>
      <c r="G125" s="181">
        <f t="shared" si="10"/>
        <v>33627686.190000057</v>
      </c>
      <c r="H125" s="181">
        <f t="shared" si="10"/>
        <v>53425171.110000104</v>
      </c>
      <c r="I125" s="181">
        <f t="shared" si="10"/>
        <v>25792688.809999585</v>
      </c>
      <c r="J125" s="181">
        <f t="shared" si="10"/>
        <v>2200.6600000038743</v>
      </c>
      <c r="K125" s="181">
        <f t="shared" si="10"/>
        <v>2802779.9699999988</v>
      </c>
      <c r="L125" s="181">
        <f t="shared" si="10"/>
        <v>17349876.400000021</v>
      </c>
      <c r="M125" s="539">
        <f t="shared" si="11"/>
        <v>198588938.83000076</v>
      </c>
    </row>
    <row r="126" spans="1:13" x14ac:dyDescent="0.2">
      <c r="A126" s="166">
        <f t="shared" si="12"/>
        <v>66</v>
      </c>
      <c r="B126" s="535" t="s">
        <v>166</v>
      </c>
      <c r="C126" s="527">
        <f>SUM(C114:C125)</f>
        <v>-16231.359999999404</v>
      </c>
      <c r="D126" s="527">
        <f t="shared" ref="D126:L126" si="13">SUM(D114:D125)</f>
        <v>21016.299999967217</v>
      </c>
      <c r="E126" s="527">
        <f t="shared" si="13"/>
        <v>18685176.980000168</v>
      </c>
      <c r="F126" s="527">
        <f t="shared" si="13"/>
        <v>321241573.1200006</v>
      </c>
      <c r="G126" s="527">
        <f t="shared" si="13"/>
        <v>51175562.720000505</v>
      </c>
      <c r="H126" s="527">
        <f t="shared" si="13"/>
        <v>102933799.12999982</v>
      </c>
      <c r="I126" s="527">
        <f t="shared" si="13"/>
        <v>36617993.980000019</v>
      </c>
      <c r="J126" s="527">
        <f t="shared" si="13"/>
        <v>1467037.9900000021</v>
      </c>
      <c r="K126" s="527">
        <f t="shared" si="13"/>
        <v>10505179.620000016</v>
      </c>
      <c r="L126" s="527">
        <f t="shared" si="13"/>
        <v>13026128.960000023</v>
      </c>
      <c r="M126" s="527">
        <f>SUM(M114:M125)</f>
        <v>555657237.44000113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-5561.0460563451052</v>
      </c>
      <c r="D131" s="221">
        <f t="shared" si="14"/>
        <v>21248183.574350059</v>
      </c>
      <c r="E131" s="221">
        <f t="shared" si="14"/>
        <v>51830770.595990837</v>
      </c>
      <c r="F131" s="221">
        <f t="shared" si="14"/>
        <v>211228515.43332148</v>
      </c>
      <c r="G131" s="179">
        <f t="shared" si="14"/>
        <v>342211781.95690012</v>
      </c>
      <c r="H131" s="179">
        <f t="shared" si="14"/>
        <v>86383856.207278609</v>
      </c>
      <c r="I131" s="179">
        <f t="shared" si="14"/>
        <v>279192076.71943367</v>
      </c>
      <c r="J131" s="221">
        <f t="shared" si="14"/>
        <v>9415.6136768656725</v>
      </c>
      <c r="K131" s="221">
        <f t="shared" si="14"/>
        <v>655179.88965358399</v>
      </c>
      <c r="L131" s="179">
        <f t="shared" si="14"/>
        <v>10927716.884307653</v>
      </c>
      <c r="M131" s="179">
        <f t="shared" si="14"/>
        <v>1003681935.8288565</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0</v>
      </c>
      <c r="D135" s="221">
        <f t="shared" si="15"/>
        <v>21231556.019999996</v>
      </c>
      <c r="E135" s="221">
        <f t="shared" si="15"/>
        <v>45935147.590000004</v>
      </c>
      <c r="F135" s="221">
        <f t="shared" si="15"/>
        <v>35366566.74000001</v>
      </c>
      <c r="G135" s="221">
        <f t="shared" si="15"/>
        <v>311154248.19999981</v>
      </c>
      <c r="H135" s="221">
        <f t="shared" si="15"/>
        <v>36637855.810000002</v>
      </c>
      <c r="I135" s="221">
        <f t="shared" si="15"/>
        <v>252075359.07999992</v>
      </c>
      <c r="J135" s="221">
        <f t="shared" si="15"/>
        <v>0</v>
      </c>
      <c r="K135" s="221">
        <f t="shared" si="15"/>
        <v>11017486.739999998</v>
      </c>
      <c r="L135" s="221">
        <f t="shared" si="15"/>
        <v>-2806937.3400000036</v>
      </c>
      <c r="M135" s="221">
        <f t="shared" si="15"/>
        <v>710611282.83999968</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-5561.0460563451052</v>
      </c>
      <c r="D139" s="221">
        <f t="shared" si="16"/>
        <v>16627.554350063205</v>
      </c>
      <c r="E139" s="221">
        <f t="shared" si="16"/>
        <v>5895623.005990833</v>
      </c>
      <c r="F139" s="221">
        <f t="shared" si="16"/>
        <v>175861948.69332147</v>
      </c>
      <c r="G139" s="179">
        <f t="shared" si="16"/>
        <v>31057533.756900311</v>
      </c>
      <c r="H139" s="179">
        <f t="shared" si="16"/>
        <v>49746000.397278607</v>
      </c>
      <c r="I139" s="179">
        <f t="shared" si="16"/>
        <v>27116717.639433742</v>
      </c>
      <c r="J139" s="221">
        <f t="shared" si="16"/>
        <v>9415.6136768656725</v>
      </c>
      <c r="K139" s="221">
        <f t="shared" si="16"/>
        <v>-10362306.850346414</v>
      </c>
      <c r="L139" s="179">
        <f t="shared" si="16"/>
        <v>13734654.224307656</v>
      </c>
      <c r="M139" s="179">
        <f t="shared" si="16"/>
        <v>293070652.98885679</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944</v>
      </c>
      <c r="C146" s="188">
        <f t="shared" ref="C146:C157" si="17">C114*($C$139/$C$126)</f>
        <v>-449.49906877964145</v>
      </c>
      <c r="D146" s="188">
        <f t="shared" ref="D146:D157" si="18">D114*($D$139/$D$126)</f>
        <v>-1895.542620035041</v>
      </c>
      <c r="E146" s="188">
        <f t="shared" ref="E146:E157" si="19">E114*($E$139/$E$126)</f>
        <v>-162553.33511847138</v>
      </c>
      <c r="F146" s="188">
        <f t="shared" ref="F146:F157" si="20">F114*($F$139/$F$126)</f>
        <v>152768.78693081238</v>
      </c>
      <c r="G146" s="186">
        <f t="shared" ref="G146:G157" si="21">G114*($G$139/$G$126)</f>
        <v>2212174.4492361485</v>
      </c>
      <c r="H146" s="186">
        <f t="shared" ref="H146:H157" si="22">H114*($H$139/$H$126)</f>
        <v>1497617.7327256133</v>
      </c>
      <c r="I146" s="186">
        <f t="shared" ref="I146:I157" si="23">I114*($I$139/$I$126)</f>
        <v>-844047.51217110257</v>
      </c>
      <c r="J146" s="188">
        <f t="shared" ref="J146:J157" si="24">J114*($J$139/$J$126)</f>
        <v>48.149123184469381</v>
      </c>
      <c r="K146" s="188">
        <f t="shared" ref="K146:K157" si="25">K114*($K$139/$K$126)</f>
        <v>10073412.884592572</v>
      </c>
      <c r="L146" s="186">
        <f t="shared" ref="L146:L157" si="26">L114*($L$139/$L$126)</f>
        <v>-4594837.910302707</v>
      </c>
      <c r="M146" s="573">
        <f t="shared" ref="M146:M157" si="27">SUM(C146:L146)</f>
        <v>8332238.2033272339</v>
      </c>
    </row>
    <row r="147" spans="1:13" x14ac:dyDescent="0.2">
      <c r="A147" s="166">
        <f t="shared" ref="A147:A158" si="28">A146+1</f>
        <v>71</v>
      </c>
      <c r="B147" s="531" t="s">
        <v>945</v>
      </c>
      <c r="C147" s="188">
        <f t="shared" si="17"/>
        <v>0</v>
      </c>
      <c r="D147" s="188">
        <f t="shared" si="18"/>
        <v>17112.908075147436</v>
      </c>
      <c r="E147" s="188">
        <f t="shared" si="19"/>
        <v>371631.50775235926</v>
      </c>
      <c r="F147" s="188">
        <f t="shared" si="20"/>
        <v>4140516.1885074596</v>
      </c>
      <c r="G147" s="186">
        <f t="shared" si="21"/>
        <v>1807522.580944594</v>
      </c>
      <c r="H147" s="186">
        <f t="shared" si="22"/>
        <v>1947769.3346242916</v>
      </c>
      <c r="I147" s="186">
        <f t="shared" si="23"/>
        <v>2703192.2617136491</v>
      </c>
      <c r="J147" s="188">
        <f t="shared" si="24"/>
        <v>53.735190877093473</v>
      </c>
      <c r="K147" s="188">
        <f t="shared" si="25"/>
        <v>-803390.13744940294</v>
      </c>
      <c r="L147" s="188">
        <f t="shared" si="26"/>
        <v>1262.856583235641</v>
      </c>
      <c r="M147" s="573">
        <f t="shared" si="27"/>
        <v>10185671.235942211</v>
      </c>
    </row>
    <row r="148" spans="1:13" x14ac:dyDescent="0.2">
      <c r="A148" s="166">
        <f t="shared" si="28"/>
        <v>72</v>
      </c>
      <c r="B148" s="531" t="s">
        <v>946</v>
      </c>
      <c r="C148" s="188">
        <f t="shared" si="17"/>
        <v>21.803778058593373</v>
      </c>
      <c r="D148" s="188">
        <f t="shared" si="18"/>
        <v>5684.175220029324</v>
      </c>
      <c r="E148" s="188">
        <f t="shared" si="19"/>
        <v>-3071078.3845468806</v>
      </c>
      <c r="F148" s="188">
        <f t="shared" si="20"/>
        <v>8511304.153599754</v>
      </c>
      <c r="G148" s="186">
        <f t="shared" si="21"/>
        <v>329948.4789758097</v>
      </c>
      <c r="H148" s="186">
        <f t="shared" si="22"/>
        <v>845519.11420771596</v>
      </c>
      <c r="I148" s="186">
        <f t="shared" si="23"/>
        <v>106008.25523027888</v>
      </c>
      <c r="J148" s="188">
        <f t="shared" si="24"/>
        <v>90.794137962600303</v>
      </c>
      <c r="K148" s="188">
        <f t="shared" si="25"/>
        <v>485115.18898100598</v>
      </c>
      <c r="L148" s="188">
        <f t="shared" si="26"/>
        <v>170.45311071065285</v>
      </c>
      <c r="M148" s="573">
        <f t="shared" si="27"/>
        <v>7212784.032694445</v>
      </c>
    </row>
    <row r="149" spans="1:13" x14ac:dyDescent="0.2">
      <c r="A149" s="166">
        <f t="shared" si="28"/>
        <v>73</v>
      </c>
      <c r="B149" s="528" t="s">
        <v>947</v>
      </c>
      <c r="C149" s="188">
        <f t="shared" si="17"/>
        <v>-2317.0351432670864</v>
      </c>
      <c r="D149" s="188">
        <f t="shared" si="18"/>
        <v>-7482.126502424906</v>
      </c>
      <c r="E149" s="188">
        <f t="shared" si="19"/>
        <v>1444134.6344784913</v>
      </c>
      <c r="F149" s="188">
        <f t="shared" si="20"/>
        <v>26355258.498438898</v>
      </c>
      <c r="G149" s="186">
        <f t="shared" si="21"/>
        <v>-230221.41622872648</v>
      </c>
      <c r="H149" s="186">
        <f t="shared" si="22"/>
        <v>2397944.8927866989</v>
      </c>
      <c r="I149" s="186">
        <f t="shared" si="23"/>
        <v>-166009.97524389238</v>
      </c>
      <c r="J149" s="188">
        <f t="shared" si="24"/>
        <v>7685.3930051043972</v>
      </c>
      <c r="K149" s="188">
        <f t="shared" si="25"/>
        <v>-12400452.048791701</v>
      </c>
      <c r="L149" s="188">
        <f t="shared" si="26"/>
        <v>7.8558371856533749E-9</v>
      </c>
      <c r="M149" s="573">
        <f t="shared" si="27"/>
        <v>17398540.816799186</v>
      </c>
    </row>
    <row r="150" spans="1:13" x14ac:dyDescent="0.2">
      <c r="A150" s="166">
        <f t="shared" si="28"/>
        <v>74</v>
      </c>
      <c r="B150" s="531" t="s">
        <v>948</v>
      </c>
      <c r="C150" s="188">
        <f t="shared" si="17"/>
        <v>-601.05314206685841</v>
      </c>
      <c r="D150" s="188">
        <f t="shared" si="18"/>
        <v>0</v>
      </c>
      <c r="E150" s="188">
        <f t="shared" si="19"/>
        <v>609216.44356866588</v>
      </c>
      <c r="F150" s="188">
        <f t="shared" si="20"/>
        <v>14517019.508710293</v>
      </c>
      <c r="G150" s="186">
        <f t="shared" si="21"/>
        <v>3248095.5961921704</v>
      </c>
      <c r="H150" s="186">
        <f t="shared" si="22"/>
        <v>1863125.0453954365</v>
      </c>
      <c r="I150" s="186">
        <f t="shared" si="23"/>
        <v>322556.5640058014</v>
      </c>
      <c r="J150" s="188">
        <f t="shared" si="24"/>
        <v>35.35731313252208</v>
      </c>
      <c r="K150" s="188">
        <f t="shared" si="25"/>
        <v>52701.515326066605</v>
      </c>
      <c r="L150" s="188">
        <f t="shared" si="26"/>
        <v>-7.8558371856533749E-9</v>
      </c>
      <c r="M150" s="573">
        <f t="shared" si="27"/>
        <v>20612148.977369495</v>
      </c>
    </row>
    <row r="151" spans="1:13" x14ac:dyDescent="0.2">
      <c r="A151" s="166">
        <f t="shared" si="28"/>
        <v>75</v>
      </c>
      <c r="B151" s="531" t="s">
        <v>949</v>
      </c>
      <c r="C151" s="188">
        <f t="shared" si="17"/>
        <v>-1641.655923079391</v>
      </c>
      <c r="D151" s="188">
        <f t="shared" si="18"/>
        <v>-17746.235110894257</v>
      </c>
      <c r="E151" s="188">
        <f t="shared" si="19"/>
        <v>427087.11511216761</v>
      </c>
      <c r="F151" s="188">
        <f t="shared" si="20"/>
        <v>26584940.868846763</v>
      </c>
      <c r="G151" s="186">
        <f t="shared" si="21"/>
        <v>387949.23443779279</v>
      </c>
      <c r="H151" s="186">
        <f t="shared" si="22"/>
        <v>1418473.7668552259</v>
      </c>
      <c r="I151" s="186">
        <f t="shared" si="23"/>
        <v>1571688.4636928104</v>
      </c>
      <c r="J151" s="188">
        <f t="shared" si="24"/>
        <v>2574.4515745935128</v>
      </c>
      <c r="K151" s="188">
        <f t="shared" si="25"/>
        <v>595477.06832759164</v>
      </c>
      <c r="L151" s="188">
        <f t="shared" si="26"/>
        <v>1.571167437130675E-8</v>
      </c>
      <c r="M151" s="573">
        <f t="shared" si="27"/>
        <v>30968803.077812985</v>
      </c>
    </row>
    <row r="152" spans="1:13" x14ac:dyDescent="0.2">
      <c r="A152" s="166">
        <f t="shared" si="28"/>
        <v>76</v>
      </c>
      <c r="B152" s="528" t="s">
        <v>950</v>
      </c>
      <c r="C152" s="188">
        <f t="shared" si="17"/>
        <v>0</v>
      </c>
      <c r="D152" s="188">
        <f t="shared" si="18"/>
        <v>-670.0058716935846</v>
      </c>
      <c r="E152" s="188">
        <f t="shared" si="19"/>
        <v>486300.88544322096</v>
      </c>
      <c r="F152" s="188">
        <f t="shared" si="20"/>
        <v>16584412.371251658</v>
      </c>
      <c r="G152" s="186">
        <f t="shared" si="21"/>
        <v>62239.887725669476</v>
      </c>
      <c r="H152" s="186">
        <f t="shared" si="22"/>
        <v>1394568.0591926677</v>
      </c>
      <c r="I152" s="186">
        <f t="shared" si="23"/>
        <v>1418356.1743716686</v>
      </c>
      <c r="J152" s="188">
        <f t="shared" si="24"/>
        <v>-157.04785569578866</v>
      </c>
      <c r="K152" s="188">
        <f t="shared" si="25"/>
        <v>-237463.37722237501</v>
      </c>
      <c r="L152" s="188">
        <f t="shared" si="26"/>
        <v>0</v>
      </c>
      <c r="M152" s="573">
        <f t="shared" si="27"/>
        <v>19707586.947035119</v>
      </c>
    </row>
    <row r="153" spans="1:13" x14ac:dyDescent="0.2">
      <c r="A153" s="166">
        <f t="shared" si="28"/>
        <v>77</v>
      </c>
      <c r="B153" s="531" t="s">
        <v>951</v>
      </c>
      <c r="C153" s="188">
        <f t="shared" si="17"/>
        <v>-8.7845516880907315</v>
      </c>
      <c r="D153" s="188">
        <f t="shared" si="18"/>
        <v>-695.70320971752324</v>
      </c>
      <c r="E153" s="188">
        <f t="shared" si="19"/>
        <v>689641.50536455377</v>
      </c>
      <c r="F153" s="188">
        <f t="shared" si="20"/>
        <v>1098627.0803538885</v>
      </c>
      <c r="G153" s="186">
        <f t="shared" si="21"/>
        <v>782871.24093942146</v>
      </c>
      <c r="H153" s="186">
        <f t="shared" si="22"/>
        <v>4385914.9595721755</v>
      </c>
      <c r="I153" s="186">
        <f t="shared" si="23"/>
        <v>264328.2352592214</v>
      </c>
      <c r="J153" s="188">
        <f t="shared" si="24"/>
        <v>-30.864570766713889</v>
      </c>
      <c r="K153" s="188">
        <f t="shared" si="25"/>
        <v>107336.27557798391</v>
      </c>
      <c r="L153" s="188">
        <f t="shared" si="26"/>
        <v>-7.8558371856533749E-9</v>
      </c>
      <c r="M153" s="573">
        <f t="shared" si="27"/>
        <v>7327983.9447350642</v>
      </c>
    </row>
    <row r="154" spans="1:13" x14ac:dyDescent="0.2">
      <c r="A154" s="166">
        <f t="shared" si="28"/>
        <v>78</v>
      </c>
      <c r="B154" s="531" t="s">
        <v>952</v>
      </c>
      <c r="C154" s="188">
        <f t="shared" si="17"/>
        <v>-372.20597748222576</v>
      </c>
      <c r="D154" s="188">
        <f t="shared" si="18"/>
        <v>-85.921518193788273</v>
      </c>
      <c r="E154" s="188">
        <f t="shared" si="19"/>
        <v>614242.15190269856</v>
      </c>
      <c r="F154" s="188">
        <f t="shared" si="20"/>
        <v>7404728.5998998992</v>
      </c>
      <c r="G154" s="186">
        <f t="shared" si="21"/>
        <v>2812376.6616767766</v>
      </c>
      <c r="H154" s="186">
        <f t="shared" si="22"/>
        <v>3661997.7047884893</v>
      </c>
      <c r="I154" s="186">
        <f t="shared" si="23"/>
        <v>-442268.73883259954</v>
      </c>
      <c r="J154" s="188">
        <f t="shared" si="24"/>
        <v>0.5358481452148055</v>
      </c>
      <c r="K154" s="188">
        <f t="shared" si="25"/>
        <v>-5277763.5501037156</v>
      </c>
      <c r="L154" s="186">
        <f t="shared" si="26"/>
        <v>72369.576455986826</v>
      </c>
      <c r="M154" s="573">
        <f t="shared" si="27"/>
        <v>8845224.8141400013</v>
      </c>
    </row>
    <row r="155" spans="1:13" x14ac:dyDescent="0.2">
      <c r="A155" s="166">
        <f t="shared" si="28"/>
        <v>79</v>
      </c>
      <c r="B155" s="528" t="s">
        <v>953</v>
      </c>
      <c r="C155" s="188">
        <f t="shared" si="17"/>
        <v>-155.13436054012621</v>
      </c>
      <c r="D155" s="188">
        <f t="shared" si="18"/>
        <v>3195.5288605922156</v>
      </c>
      <c r="E155" s="188">
        <f t="shared" si="19"/>
        <v>-897198.13891825732</v>
      </c>
      <c r="F155" s="188">
        <f t="shared" si="20"/>
        <v>12358008.767751787</v>
      </c>
      <c r="G155" s="186">
        <f t="shared" si="21"/>
        <v>-703466.32980773377</v>
      </c>
      <c r="H155" s="186">
        <f t="shared" si="22"/>
        <v>3340146.495150256</v>
      </c>
      <c r="I155" s="186">
        <f t="shared" si="23"/>
        <v>1638658.5473920184</v>
      </c>
      <c r="J155" s="188">
        <f t="shared" si="24"/>
        <v>650.2260196645866</v>
      </c>
      <c r="K155" s="188">
        <f t="shared" si="25"/>
        <v>-111102.20197238115</v>
      </c>
      <c r="L155" s="186">
        <f t="shared" si="26"/>
        <v>-37892.361257916302</v>
      </c>
      <c r="M155" s="573">
        <f t="shared" si="27"/>
        <v>15590845.398857489</v>
      </c>
    </row>
    <row r="156" spans="1:13" x14ac:dyDescent="0.2">
      <c r="A156" s="166">
        <f t="shared" si="28"/>
        <v>80</v>
      </c>
      <c r="B156" s="528" t="s">
        <v>954</v>
      </c>
      <c r="C156" s="188">
        <f t="shared" si="17"/>
        <v>0</v>
      </c>
      <c r="D156" s="188">
        <f t="shared" si="18"/>
        <v>12504.270886747485</v>
      </c>
      <c r="E156" s="188">
        <f t="shared" si="19"/>
        <v>1290207.5632392305</v>
      </c>
      <c r="F156" s="188">
        <f t="shared" si="20"/>
        <v>29356065.900348019</v>
      </c>
      <c r="G156" s="186">
        <f t="shared" si="21"/>
        <v>-59997.955952733602</v>
      </c>
      <c r="H156" s="186">
        <f t="shared" si="22"/>
        <v>1173526.6921690651</v>
      </c>
      <c r="I156" s="186">
        <f t="shared" si="23"/>
        <v>1443999.3531446813</v>
      </c>
      <c r="J156" s="188">
        <f t="shared" si="24"/>
        <v>-1549.2401910133203</v>
      </c>
      <c r="K156" s="188">
        <f t="shared" si="25"/>
        <v>-81516.925999629617</v>
      </c>
      <c r="L156" s="188">
        <f t="shared" si="26"/>
        <v>-7.8558371856533749E-9</v>
      </c>
      <c r="M156" s="573">
        <f t="shared" si="27"/>
        <v>33133239.657644361</v>
      </c>
    </row>
    <row r="157" spans="1:13" x14ac:dyDescent="0.2">
      <c r="A157" s="166">
        <f t="shared" si="28"/>
        <v>81</v>
      </c>
      <c r="B157" s="531" t="s">
        <v>955</v>
      </c>
      <c r="C157" s="181">
        <f t="shared" si="17"/>
        <v>-37.481667500278675</v>
      </c>
      <c r="D157" s="181">
        <f t="shared" si="18"/>
        <v>6706.206140505843</v>
      </c>
      <c r="E157" s="181">
        <f t="shared" si="19"/>
        <v>4093991.0577130546</v>
      </c>
      <c r="F157" s="181">
        <f t="shared" si="20"/>
        <v>28798297.968682226</v>
      </c>
      <c r="G157" s="178">
        <f t="shared" si="21"/>
        <v>20408041.328761119</v>
      </c>
      <c r="H157" s="178">
        <f t="shared" si="22"/>
        <v>25819396.599810969</v>
      </c>
      <c r="I157" s="178">
        <f t="shared" si="23"/>
        <v>19100256.010871209</v>
      </c>
      <c r="J157" s="181">
        <f t="shared" si="24"/>
        <v>14.124081677099351</v>
      </c>
      <c r="K157" s="181">
        <f t="shared" si="25"/>
        <v>-2764661.5416124281</v>
      </c>
      <c r="L157" s="178">
        <f t="shared" si="26"/>
        <v>18293581.609718345</v>
      </c>
      <c r="M157" s="575">
        <f t="shared" si="27"/>
        <v>113755585.88249916</v>
      </c>
    </row>
    <row r="158" spans="1:13" x14ac:dyDescent="0.2">
      <c r="A158" s="166">
        <f t="shared" si="28"/>
        <v>82</v>
      </c>
      <c r="B158" s="535" t="s">
        <v>166</v>
      </c>
      <c r="C158" s="527">
        <f>SUM(C146:C157)</f>
        <v>-5561.0460563451043</v>
      </c>
      <c r="D158" s="527">
        <f t="shared" ref="D158:L158" si="29">SUM(D146:D157)</f>
        <v>16627.554350063205</v>
      </c>
      <c r="E158" s="527">
        <f t="shared" si="29"/>
        <v>5895623.005990833</v>
      </c>
      <c r="F158" s="527">
        <f t="shared" si="29"/>
        <v>175861948.69332147</v>
      </c>
      <c r="G158" s="573">
        <f t="shared" si="29"/>
        <v>31057533.756900311</v>
      </c>
      <c r="H158" s="573">
        <f t="shared" si="29"/>
        <v>49746000.397278607</v>
      </c>
      <c r="I158" s="573">
        <f t="shared" si="29"/>
        <v>27116717.639433745</v>
      </c>
      <c r="J158" s="527">
        <f t="shared" si="29"/>
        <v>9415.6136768656725</v>
      </c>
      <c r="K158" s="527">
        <f t="shared" si="29"/>
        <v>-10362306.850346413</v>
      </c>
      <c r="L158" s="573">
        <f t="shared" si="29"/>
        <v>13734654.224307656</v>
      </c>
      <c r="M158" s="573">
        <f>SUM(M146:M157)</f>
        <v>293070652.98885679</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2014 True Up TRR)
&amp;RTO12 Draft Annual Update
Attachment 4
WP-Schedule 3-One Time Adj True Up Adj
Page &amp;P of &amp;N</oddHeader>
    <oddFooter>&amp;R&amp;A</oddFooter>
  </headerFooter>
  <rowBreaks count="3" manualBreakCount="3">
    <brk id="37" max="16383" man="1"/>
    <brk id="87" max="16383" man="1"/>
    <brk id="127" max="16383" man="1"/>
  </rowBreaks>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zoomScaleNormal="100" workbookViewId="0">
      <selection activeCell="H8" sqref="H8"/>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2014</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628958105</v>
      </c>
      <c r="D10" s="565" t="s">
        <v>334</v>
      </c>
      <c r="E10" s="566">
        <v>428326101.10242754</v>
      </c>
      <c r="F10" s="323">
        <f>E10/C10</f>
        <v>0.68100895385142945</v>
      </c>
      <c r="G10" s="223"/>
      <c r="H10" s="268"/>
    </row>
    <row r="11" spans="1:8" x14ac:dyDescent="0.2">
      <c r="A11" s="166">
        <f t="shared" si="0"/>
        <v>4</v>
      </c>
      <c r="B11" s="320">
        <v>353</v>
      </c>
      <c r="C11" s="555">
        <v>4996027821</v>
      </c>
      <c r="D11" s="565" t="s">
        <v>335</v>
      </c>
      <c r="E11" s="555">
        <v>2920111449.7090721</v>
      </c>
      <c r="F11" s="327">
        <f>E11/C11</f>
        <v>0.58448662704295862</v>
      </c>
      <c r="G11" s="223"/>
      <c r="H11" s="223"/>
    </row>
    <row r="12" spans="1:8" x14ac:dyDescent="0.2">
      <c r="A12" s="166">
        <f t="shared" si="0"/>
        <v>5</v>
      </c>
      <c r="B12" s="328" t="s">
        <v>336</v>
      </c>
      <c r="C12" s="329">
        <f>SUM(C10:C11)</f>
        <v>5624985926</v>
      </c>
      <c r="D12" s="247" t="str">
        <f>"L "&amp;A10&amp;" + L "&amp;A11&amp;""</f>
        <v>L 3 + L 4</v>
      </c>
      <c r="E12" s="329">
        <f>SUM(E10:E11)</f>
        <v>3348437550.8114996</v>
      </c>
      <c r="F12" s="323">
        <f>E12/C12</f>
        <v>0.59527927622613919</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320113711</v>
      </c>
      <c r="D15" s="565" t="s">
        <v>338</v>
      </c>
      <c r="E15" s="336">
        <v>234173936.83999035</v>
      </c>
      <c r="F15" s="337">
        <f>E15/C15</f>
        <v>0.73153360444467297</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5945099637</v>
      </c>
      <c r="D17" s="247" t="str">
        <f>"L "&amp;A12&amp;" + L "&amp;A15&amp;""</f>
        <v>L 5 + L 8</v>
      </c>
      <c r="E17" s="338">
        <f>E12+E15</f>
        <v>3582611487.6514897</v>
      </c>
      <c r="F17" s="323">
        <f>E17/C17</f>
        <v>0.60261588642765584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320">
        <v>354</v>
      </c>
      <c r="C20" s="339">
        <v>1883502324</v>
      </c>
      <c r="D20" s="565" t="s">
        <v>341</v>
      </c>
      <c r="E20" s="340">
        <v>1785692481.2182062</v>
      </c>
      <c r="F20" s="337">
        <f>E20/C20</f>
        <v>0.94807022983965594</v>
      </c>
      <c r="G20" s="223"/>
      <c r="H20" s="223"/>
    </row>
    <row r="21" spans="1:8" ht="13.5" thickBot="1" x14ac:dyDescent="0.25">
      <c r="A21" s="166">
        <f t="shared" si="0"/>
        <v>14</v>
      </c>
      <c r="B21" s="320">
        <v>355</v>
      </c>
      <c r="C21" s="339">
        <v>838670098</v>
      </c>
      <c r="D21" s="565" t="s">
        <v>342</v>
      </c>
      <c r="E21" s="340">
        <v>230375815.62843621</v>
      </c>
      <c r="F21" s="337">
        <f t="shared" ref="F21:F26" si="1">E21/C21</f>
        <v>0.27469182003486214</v>
      </c>
      <c r="G21" s="223"/>
      <c r="H21" s="223"/>
    </row>
    <row r="22" spans="1:8" ht="13.5" thickBot="1" x14ac:dyDescent="0.25">
      <c r="A22" s="166">
        <f t="shared" si="0"/>
        <v>15</v>
      </c>
      <c r="B22" s="320">
        <v>356</v>
      </c>
      <c r="C22" s="339">
        <v>1275427830</v>
      </c>
      <c r="D22" s="565" t="s">
        <v>343</v>
      </c>
      <c r="E22" s="340">
        <v>1044185330.6920563</v>
      </c>
      <c r="F22" s="337">
        <f t="shared" si="1"/>
        <v>0.81869417158010127</v>
      </c>
      <c r="G22" s="223"/>
      <c r="H22" s="223"/>
    </row>
    <row r="23" spans="1:8" x14ac:dyDescent="0.2">
      <c r="A23" s="166">
        <f t="shared" si="0"/>
        <v>16</v>
      </c>
      <c r="B23" s="320">
        <v>357</v>
      </c>
      <c r="C23" s="339">
        <v>56304666</v>
      </c>
      <c r="D23" s="565" t="s">
        <v>344</v>
      </c>
      <c r="E23" s="339">
        <v>217200.87680843673</v>
      </c>
      <c r="F23" s="341">
        <f t="shared" si="1"/>
        <v>3.8575999511023958E-3</v>
      </c>
      <c r="G23" s="223"/>
      <c r="H23" s="223"/>
    </row>
    <row r="24" spans="1:8" ht="13.5" thickBot="1" x14ac:dyDescent="0.25">
      <c r="A24" s="166">
        <f t="shared" si="0"/>
        <v>17</v>
      </c>
      <c r="B24" s="320">
        <v>358</v>
      </c>
      <c r="C24" s="339">
        <v>248470086</v>
      </c>
      <c r="D24" s="565" t="s">
        <v>345</v>
      </c>
      <c r="E24" s="339">
        <v>12994313.507308003</v>
      </c>
      <c r="F24" s="341">
        <f t="shared" si="1"/>
        <v>5.2297295487344915E-2</v>
      </c>
      <c r="G24" s="223"/>
      <c r="H24" s="223"/>
    </row>
    <row r="25" spans="1:8" ht="13.5" thickBot="1" x14ac:dyDescent="0.25">
      <c r="A25" s="166">
        <f t="shared" si="0"/>
        <v>18</v>
      </c>
      <c r="B25" s="320">
        <v>359</v>
      </c>
      <c r="C25" s="342">
        <v>86695550</v>
      </c>
      <c r="D25" s="565" t="s">
        <v>346</v>
      </c>
      <c r="E25" s="343">
        <v>79698349.11889191</v>
      </c>
      <c r="F25" s="681">
        <f t="shared" si="1"/>
        <v>0.91928996492774895</v>
      </c>
      <c r="G25" s="223"/>
      <c r="H25" s="223"/>
    </row>
    <row r="26" spans="1:8" x14ac:dyDescent="0.2">
      <c r="A26" s="166">
        <f t="shared" si="0"/>
        <v>19</v>
      </c>
      <c r="B26" s="328" t="s">
        <v>347</v>
      </c>
      <c r="C26" s="329">
        <f>SUM(C20:C25)</f>
        <v>4389070554</v>
      </c>
      <c r="D26" s="345" t="str">
        <f>"Sum L"&amp;A20&amp;" to L"&amp;A25&amp;""</f>
        <v>Sum L13 to L18</v>
      </c>
      <c r="E26" s="338">
        <f>SUM(E20:E25)</f>
        <v>3153163491.041707</v>
      </c>
      <c r="F26" s="337">
        <f t="shared" si="1"/>
        <v>0.71841257784476864</v>
      </c>
      <c r="G26" s="223"/>
    </row>
    <row r="27" spans="1:8" x14ac:dyDescent="0.2">
      <c r="A27" s="166">
        <f t="shared" si="0"/>
        <v>20</v>
      </c>
      <c r="B27" s="346"/>
      <c r="C27" s="329"/>
      <c r="D27" s="329"/>
      <c r="E27" s="329"/>
      <c r="F27" s="323"/>
      <c r="G27" s="223"/>
    </row>
    <row r="28" spans="1:8" x14ac:dyDescent="0.2">
      <c r="A28" s="166">
        <f t="shared" si="0"/>
        <v>21</v>
      </c>
      <c r="B28" s="347" t="s">
        <v>348</v>
      </c>
      <c r="C28" s="348">
        <f>C17+C26</f>
        <v>10334170191</v>
      </c>
      <c r="D28" s="247" t="str">
        <f>"L "&amp;A17&amp;" + L "&amp;A26&amp;""</f>
        <v>L 10 + L 19</v>
      </c>
      <c r="E28" s="349">
        <f>E17+E26</f>
        <v>6735774978.6931973</v>
      </c>
      <c r="F28" s="682">
        <f>E28/C28</f>
        <v>0.65179640495560687</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320">
        <v>360</v>
      </c>
      <c r="C36" s="335">
        <v>107597922</v>
      </c>
      <c r="D36" s="565"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320">
        <v>361</v>
      </c>
      <c r="C38" s="335">
        <v>523812732</v>
      </c>
      <c r="D38" s="565" t="s">
        <v>355</v>
      </c>
      <c r="E38" s="335">
        <v>0</v>
      </c>
      <c r="F38" s="323">
        <f>E38/C38</f>
        <v>0</v>
      </c>
      <c r="H38" s="223"/>
    </row>
    <row r="39" spans="1:9" x14ac:dyDescent="0.2">
      <c r="A39" s="166">
        <f t="shared" si="2"/>
        <v>27</v>
      </c>
      <c r="B39" s="320">
        <v>362</v>
      </c>
      <c r="C39" s="359">
        <v>2063610308</v>
      </c>
      <c r="D39" s="565" t="s">
        <v>356</v>
      </c>
      <c r="E39" s="359">
        <v>0</v>
      </c>
      <c r="F39" s="327">
        <f>E39/C39</f>
        <v>0</v>
      </c>
      <c r="H39" s="223"/>
    </row>
    <row r="40" spans="1:9" x14ac:dyDescent="0.2">
      <c r="A40" s="166">
        <f t="shared" si="2"/>
        <v>28</v>
      </c>
      <c r="B40" s="328" t="s">
        <v>357</v>
      </c>
      <c r="C40" s="329">
        <f>SUM(C38:C39)</f>
        <v>2587423040</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2695020962</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69" orientation="portrait" cellComments="asDisplayed" r:id="rId1"/>
  <headerFooter>
    <oddHeader>&amp;CSchedule 7
Transmission Plant Study Summary
(Revised 2014 True Up TRR)&amp;RTO12 Draft Annual Update
Attachment 4
WP-Schedule 3-One Time Adj True Up Adj
Page &amp;P of &amp;N</oddHeader>
    <oddFooter>&amp;R7-PlantStudy</oddFooter>
  </headerFooter>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zoomScaleNormal="100" workbookViewId="0">
      <selection activeCell="L33" sqref="L33"/>
    </sheetView>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2014</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41">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728</v>
      </c>
      <c r="D12" s="243">
        <v>0</v>
      </c>
      <c r="E12" s="243">
        <v>10232181.18436276</v>
      </c>
      <c r="F12" s="246">
        <v>47073316.985078461</v>
      </c>
      <c r="G12" s="246">
        <v>298312979.38345039</v>
      </c>
      <c r="H12" s="243">
        <v>339298041.40666431</v>
      </c>
      <c r="I12" s="243">
        <v>30570487.939980671</v>
      </c>
      <c r="J12" s="243">
        <v>328550027.61558199</v>
      </c>
      <c r="K12" s="243">
        <v>126173.83034882502</v>
      </c>
      <c r="L12" s="243">
        <v>4575381.3621812938</v>
      </c>
      <c r="M12" s="243">
        <v>2419397.1271384661</v>
      </c>
      <c r="N12" s="573">
        <f>SUM(D12:M12)</f>
        <v>1061157986.8347871</v>
      </c>
      <c r="O12" s="536"/>
      <c r="P12" s="536"/>
      <c r="Q12" s="536"/>
      <c r="R12" s="536"/>
    </row>
    <row r="13" spans="1:18" ht="12.75" customHeight="1" x14ac:dyDescent="0.2">
      <c r="A13" s="166">
        <f>A12+1</f>
        <v>2</v>
      </c>
      <c r="B13" s="166"/>
      <c r="C13" s="528" t="s">
        <v>944</v>
      </c>
      <c r="D13" s="529">
        <v>0</v>
      </c>
      <c r="E13" s="529">
        <f t="shared" ref="E13:M23" si="0">E144+E91+E12</f>
        <v>10411956.774480354</v>
      </c>
      <c r="F13" s="573">
        <f t="shared" si="0"/>
        <v>47771037.528724007</v>
      </c>
      <c r="G13" s="573">
        <f t="shared" si="0"/>
        <v>303756277.49573749</v>
      </c>
      <c r="H13" s="573">
        <f t="shared" si="0"/>
        <v>335933720.29037797</v>
      </c>
      <c r="I13" s="573">
        <f t="shared" si="0"/>
        <v>30852498.003028631</v>
      </c>
      <c r="J13" s="573">
        <f t="shared" si="0"/>
        <v>329970034.00460869</v>
      </c>
      <c r="K13" s="529">
        <f t="shared" si="0"/>
        <v>126801.86298763542</v>
      </c>
      <c r="L13" s="529">
        <f t="shared" si="0"/>
        <v>4161122.9939135183</v>
      </c>
      <c r="M13" s="573">
        <f t="shared" si="0"/>
        <v>7320456.4400147479</v>
      </c>
      <c r="N13" s="573">
        <f t="shared" ref="N13:N24" si="1">SUM(D13:M13)</f>
        <v>1070303905.3938731</v>
      </c>
      <c r="O13" s="536"/>
      <c r="P13" s="536"/>
      <c r="Q13" s="536"/>
      <c r="R13" s="536"/>
    </row>
    <row r="14" spans="1:18" ht="12.75" customHeight="1" x14ac:dyDescent="0.2">
      <c r="A14" s="166">
        <f t="shared" ref="A14:A25" si="2">A13+1</f>
        <v>3</v>
      </c>
      <c r="B14" s="166"/>
      <c r="C14" s="531" t="s">
        <v>945</v>
      </c>
      <c r="D14" s="529">
        <v>0</v>
      </c>
      <c r="E14" s="529">
        <f t="shared" si="0"/>
        <v>10598740.391840803</v>
      </c>
      <c r="F14" s="573">
        <f t="shared" si="0"/>
        <v>48566795.779341109</v>
      </c>
      <c r="G14" s="573">
        <f t="shared" si="0"/>
        <v>309028673.3350448</v>
      </c>
      <c r="H14" s="573">
        <f t="shared" si="0"/>
        <v>333373113.90912235</v>
      </c>
      <c r="I14" s="573">
        <f t="shared" si="0"/>
        <v>31075973.47513571</v>
      </c>
      <c r="J14" s="573">
        <f t="shared" si="0"/>
        <v>332101084.88229567</v>
      </c>
      <c r="K14" s="529">
        <f t="shared" si="0"/>
        <v>127163.55987337881</v>
      </c>
      <c r="L14" s="529">
        <f t="shared" si="0"/>
        <v>4172233.7575402427</v>
      </c>
      <c r="M14" s="573">
        <f t="shared" si="0"/>
        <v>7392072.8282582033</v>
      </c>
      <c r="N14" s="573">
        <f t="shared" si="1"/>
        <v>1076435851.9184523</v>
      </c>
      <c r="O14" s="536"/>
      <c r="P14" s="536"/>
      <c r="Q14" s="536"/>
      <c r="R14" s="536"/>
    </row>
    <row r="15" spans="1:18" ht="12.75" customHeight="1" x14ac:dyDescent="0.2">
      <c r="A15" s="166">
        <f t="shared" si="2"/>
        <v>4</v>
      </c>
      <c r="B15" s="166"/>
      <c r="C15" s="531" t="s">
        <v>946</v>
      </c>
      <c r="D15" s="529">
        <v>0</v>
      </c>
      <c r="E15" s="529">
        <f t="shared" si="0"/>
        <v>10780513.118996523</v>
      </c>
      <c r="F15" s="573">
        <f t="shared" si="0"/>
        <v>49388899.603851452</v>
      </c>
      <c r="G15" s="573">
        <f t="shared" si="0"/>
        <v>314295194.11618412</v>
      </c>
      <c r="H15" s="573">
        <f t="shared" si="0"/>
        <v>336338682.34900087</v>
      </c>
      <c r="I15" s="573">
        <f t="shared" si="0"/>
        <v>31476463.215652488</v>
      </c>
      <c r="J15" s="573">
        <f t="shared" si="0"/>
        <v>334153053.86373734</v>
      </c>
      <c r="K15" s="529">
        <f t="shared" si="0"/>
        <v>127526.81798764429</v>
      </c>
      <c r="L15" s="529">
        <f t="shared" si="0"/>
        <v>4094841.2994358935</v>
      </c>
      <c r="M15" s="573">
        <f t="shared" si="0"/>
        <v>7499679.0110080466</v>
      </c>
      <c r="N15" s="573">
        <f t="shared" si="1"/>
        <v>1088154853.3958542</v>
      </c>
      <c r="O15" s="536"/>
      <c r="P15" s="536"/>
      <c r="Q15" s="536"/>
      <c r="R15" s="536"/>
    </row>
    <row r="16" spans="1:18" ht="12.75" customHeight="1" x14ac:dyDescent="0.2">
      <c r="A16" s="166">
        <f t="shared" si="2"/>
        <v>5</v>
      </c>
      <c r="B16" s="166"/>
      <c r="C16" s="528" t="s">
        <v>947</v>
      </c>
      <c r="D16" s="529">
        <v>0</v>
      </c>
      <c r="E16" s="529">
        <f t="shared" si="0"/>
        <v>10963950.276520552</v>
      </c>
      <c r="F16" s="573">
        <f t="shared" si="0"/>
        <v>50082822.758604147</v>
      </c>
      <c r="G16" s="573">
        <f t="shared" si="0"/>
        <v>319940360.68149543</v>
      </c>
      <c r="H16" s="573">
        <f t="shared" si="0"/>
        <v>330611651.7652691</v>
      </c>
      <c r="I16" s="573">
        <f t="shared" si="0"/>
        <v>31920046.235274401</v>
      </c>
      <c r="J16" s="573">
        <f t="shared" si="0"/>
        <v>337057700.76866657</v>
      </c>
      <c r="K16" s="529">
        <f t="shared" si="0"/>
        <v>127890.11285775142</v>
      </c>
      <c r="L16" s="529">
        <f t="shared" si="0"/>
        <v>3707706.9898319859</v>
      </c>
      <c r="M16" s="573">
        <f t="shared" si="0"/>
        <v>7500715.7635309156</v>
      </c>
      <c r="N16" s="573">
        <f t="shared" si="1"/>
        <v>1091912845.352051</v>
      </c>
      <c r="O16" s="536"/>
      <c r="P16" s="536"/>
      <c r="Q16" s="536"/>
      <c r="R16" s="536"/>
    </row>
    <row r="17" spans="1:18" ht="12.75" customHeight="1" x14ac:dyDescent="0.2">
      <c r="A17" s="166">
        <f t="shared" si="2"/>
        <v>6</v>
      </c>
      <c r="B17" s="166"/>
      <c r="C17" s="531" t="s">
        <v>948</v>
      </c>
      <c r="D17" s="529">
        <v>0</v>
      </c>
      <c r="E17" s="529">
        <f t="shared" si="0"/>
        <v>11147338.890958533</v>
      </c>
      <c r="F17" s="573">
        <f t="shared" si="0"/>
        <v>50691481.542893201</v>
      </c>
      <c r="G17" s="573">
        <f t="shared" si="0"/>
        <v>325328979.62193775</v>
      </c>
      <c r="H17" s="573">
        <f t="shared" si="0"/>
        <v>337969722.35206157</v>
      </c>
      <c r="I17" s="573">
        <f t="shared" si="0"/>
        <v>32484682.824193064</v>
      </c>
      <c r="J17" s="573">
        <f t="shared" si="0"/>
        <v>339081589.00365764</v>
      </c>
      <c r="K17" s="529">
        <f t="shared" si="0"/>
        <v>128265.55827553837</v>
      </c>
      <c r="L17" s="529">
        <f t="shared" si="0"/>
        <v>3267536.3763908399</v>
      </c>
      <c r="M17" s="573">
        <f t="shared" si="0"/>
        <v>7641374.964702623</v>
      </c>
      <c r="N17" s="573">
        <f t="shared" si="1"/>
        <v>1107740971.1350708</v>
      </c>
      <c r="O17" s="536"/>
      <c r="P17" s="536"/>
      <c r="Q17" s="536"/>
      <c r="R17" s="536"/>
    </row>
    <row r="18" spans="1:18" ht="12.75" customHeight="1" x14ac:dyDescent="0.2">
      <c r="A18" s="166">
        <f t="shared" si="2"/>
        <v>7</v>
      </c>
      <c r="B18" s="166"/>
      <c r="C18" s="531" t="s">
        <v>949</v>
      </c>
      <c r="D18" s="529">
        <v>0</v>
      </c>
      <c r="E18" s="529">
        <f t="shared" si="0"/>
        <v>11325590.722392548</v>
      </c>
      <c r="F18" s="573">
        <f t="shared" si="0"/>
        <v>50812767.32298477</v>
      </c>
      <c r="G18" s="573">
        <f t="shared" si="0"/>
        <v>328910383.04273766</v>
      </c>
      <c r="H18" s="573">
        <f t="shared" si="0"/>
        <v>339721858.12328011</v>
      </c>
      <c r="I18" s="573">
        <f t="shared" si="0"/>
        <v>33472431.134240564</v>
      </c>
      <c r="J18" s="573">
        <f t="shared" si="0"/>
        <v>340815276.19111705</v>
      </c>
      <c r="K18" s="529">
        <f t="shared" si="0"/>
        <v>128637.39633128533</v>
      </c>
      <c r="L18" s="529">
        <f t="shared" si="0"/>
        <v>2793082.7081871848</v>
      </c>
      <c r="M18" s="573">
        <f t="shared" si="0"/>
        <v>7701501.5916600982</v>
      </c>
      <c r="N18" s="573">
        <f t="shared" si="1"/>
        <v>1115681528.2329311</v>
      </c>
      <c r="O18" s="536"/>
      <c r="P18" s="536"/>
      <c r="Q18" s="536"/>
      <c r="R18" s="536"/>
    </row>
    <row r="19" spans="1:18" ht="12.75" customHeight="1" x14ac:dyDescent="0.2">
      <c r="A19" s="166">
        <f t="shared" si="2"/>
        <v>8</v>
      </c>
      <c r="B19" s="166"/>
      <c r="C19" s="528" t="s">
        <v>950</v>
      </c>
      <c r="D19" s="529">
        <v>0</v>
      </c>
      <c r="E19" s="529">
        <f t="shared" si="0"/>
        <v>11508331.625966223</v>
      </c>
      <c r="F19" s="573">
        <f t="shared" si="0"/>
        <v>51122731.265298367</v>
      </c>
      <c r="G19" s="573">
        <f t="shared" si="0"/>
        <v>334136442.01355207</v>
      </c>
      <c r="H19" s="573">
        <f t="shared" si="0"/>
        <v>343660803.3789382</v>
      </c>
      <c r="I19" s="573">
        <f t="shared" si="0"/>
        <v>34083834.55944173</v>
      </c>
      <c r="J19" s="573">
        <f t="shared" si="0"/>
        <v>343124187.42539841</v>
      </c>
      <c r="K19" s="529">
        <f t="shared" si="0"/>
        <v>128999.1335794567</v>
      </c>
      <c r="L19" s="529">
        <f t="shared" si="0"/>
        <v>2094722.7324507823</v>
      </c>
      <c r="M19" s="573">
        <f t="shared" si="0"/>
        <v>7810566.4566572951</v>
      </c>
      <c r="N19" s="573">
        <f t="shared" si="1"/>
        <v>1127670618.5912826</v>
      </c>
      <c r="O19" s="536"/>
      <c r="P19" s="536"/>
      <c r="Q19" s="536"/>
      <c r="R19" s="536"/>
    </row>
    <row r="20" spans="1:18" ht="12.75" customHeight="1" x14ac:dyDescent="0.2">
      <c r="A20" s="166">
        <f t="shared" si="2"/>
        <v>9</v>
      </c>
      <c r="B20" s="166"/>
      <c r="C20" s="531" t="s">
        <v>951</v>
      </c>
      <c r="D20" s="529">
        <v>0</v>
      </c>
      <c r="E20" s="529">
        <f t="shared" si="0"/>
        <v>11691678.015949959</v>
      </c>
      <c r="F20" s="573">
        <f t="shared" si="0"/>
        <v>51906686.916427866</v>
      </c>
      <c r="G20" s="573">
        <f t="shared" si="0"/>
        <v>339635109.01912063</v>
      </c>
      <c r="H20" s="573">
        <f t="shared" si="0"/>
        <v>344268948.71387249</v>
      </c>
      <c r="I20" s="573">
        <f t="shared" si="0"/>
        <v>34295253.286140822</v>
      </c>
      <c r="J20" s="573">
        <f t="shared" si="0"/>
        <v>345229404.58070511</v>
      </c>
      <c r="K20" s="529">
        <f t="shared" si="0"/>
        <v>129375.48399784876</v>
      </c>
      <c r="L20" s="529">
        <f t="shared" si="0"/>
        <v>1952941.3529148065</v>
      </c>
      <c r="M20" s="573">
        <f t="shared" si="0"/>
        <v>7873687.4221415939</v>
      </c>
      <c r="N20" s="573">
        <f t="shared" si="1"/>
        <v>1136983084.791271</v>
      </c>
      <c r="O20" s="536"/>
      <c r="P20" s="536"/>
      <c r="Q20" s="536"/>
      <c r="R20" s="536"/>
    </row>
    <row r="21" spans="1:18" ht="12.75" customHeight="1" x14ac:dyDescent="0.2">
      <c r="A21" s="166">
        <f t="shared" si="2"/>
        <v>10</v>
      </c>
      <c r="B21" s="166"/>
      <c r="C21" s="531" t="s">
        <v>952</v>
      </c>
      <c r="D21" s="529">
        <v>0</v>
      </c>
      <c r="E21" s="529">
        <f t="shared" si="0"/>
        <v>11915148.713518972</v>
      </c>
      <c r="F21" s="573">
        <f t="shared" si="0"/>
        <v>52696864.819233268</v>
      </c>
      <c r="G21" s="573">
        <f t="shared" si="0"/>
        <v>345648031.36228639</v>
      </c>
      <c r="H21" s="573">
        <f t="shared" si="0"/>
        <v>345875676.2206108</v>
      </c>
      <c r="I21" s="573">
        <f t="shared" si="0"/>
        <v>34602242.702483907</v>
      </c>
      <c r="J21" s="573">
        <f t="shared" si="0"/>
        <v>347478573.46929616</v>
      </c>
      <c r="K21" s="529">
        <f t="shared" si="0"/>
        <v>129747.69191412129</v>
      </c>
      <c r="L21" s="529">
        <f t="shared" si="0"/>
        <v>2045718.1677907074</v>
      </c>
      <c r="M21" s="573">
        <f t="shared" si="0"/>
        <v>7970722.2929782784</v>
      </c>
      <c r="N21" s="573">
        <f t="shared" si="1"/>
        <v>1148362725.4401126</v>
      </c>
      <c r="O21" s="536"/>
      <c r="P21" s="536"/>
      <c r="Q21" s="536"/>
      <c r="R21" s="536"/>
    </row>
    <row r="22" spans="1:18" ht="12.75" customHeight="1" x14ac:dyDescent="0.2">
      <c r="A22" s="166">
        <f t="shared" si="2"/>
        <v>11</v>
      </c>
      <c r="B22" s="166"/>
      <c r="C22" s="528" t="s">
        <v>953</v>
      </c>
      <c r="D22" s="529">
        <v>0</v>
      </c>
      <c r="E22" s="529">
        <f t="shared" si="0"/>
        <v>12126128.508123498</v>
      </c>
      <c r="F22" s="573">
        <f t="shared" si="0"/>
        <v>53411002.768433169</v>
      </c>
      <c r="G22" s="573">
        <f t="shared" si="0"/>
        <v>351639555.00475186</v>
      </c>
      <c r="H22" s="573">
        <f t="shared" si="0"/>
        <v>350250436.51323426</v>
      </c>
      <c r="I22" s="573">
        <f t="shared" si="0"/>
        <v>35349167.020743303</v>
      </c>
      <c r="J22" s="573">
        <f t="shared" si="0"/>
        <v>350725756.24026859</v>
      </c>
      <c r="K22" s="529">
        <f t="shared" si="0"/>
        <v>130036.43880307171</v>
      </c>
      <c r="L22" s="529">
        <f t="shared" si="0"/>
        <v>1773300.145801988</v>
      </c>
      <c r="M22" s="529">
        <f t="shared" si="0"/>
        <v>7526855.9972877717</v>
      </c>
      <c r="N22" s="573">
        <f t="shared" si="1"/>
        <v>1162932238.6374474</v>
      </c>
      <c r="O22" s="536"/>
      <c r="P22" s="536"/>
      <c r="Q22" s="536"/>
      <c r="R22" s="536"/>
    </row>
    <row r="23" spans="1:18" ht="12.75" customHeight="1" thickBot="1" x14ac:dyDescent="0.25">
      <c r="A23" s="166">
        <f t="shared" si="2"/>
        <v>12</v>
      </c>
      <c r="B23" s="166"/>
      <c r="C23" s="528" t="s">
        <v>954</v>
      </c>
      <c r="D23" s="529">
        <v>0</v>
      </c>
      <c r="E23" s="529">
        <f t="shared" si="0"/>
        <v>12336998.047674831</v>
      </c>
      <c r="F23" s="573">
        <f t="shared" si="0"/>
        <v>54346012.268921778</v>
      </c>
      <c r="G23" s="573">
        <f t="shared" si="0"/>
        <v>357305853.24665886</v>
      </c>
      <c r="H23" s="573">
        <f t="shared" si="0"/>
        <v>347988673.9097417</v>
      </c>
      <c r="I23" s="573">
        <f t="shared" si="0"/>
        <v>36840754.44562377</v>
      </c>
      <c r="J23" s="573">
        <f t="shared" si="0"/>
        <v>351825426.69373798</v>
      </c>
      <c r="K23" s="529">
        <f t="shared" si="0"/>
        <v>130349.48814979527</v>
      </c>
      <c r="L23" s="529">
        <f t="shared" si="0"/>
        <v>1697346.5714614913</v>
      </c>
      <c r="M23" s="529">
        <f t="shared" si="0"/>
        <v>7238073.7878676997</v>
      </c>
      <c r="N23" s="573">
        <f t="shared" si="1"/>
        <v>1169709488.4598382</v>
      </c>
      <c r="O23" s="536"/>
      <c r="P23" s="536"/>
      <c r="Q23" s="536"/>
      <c r="R23" s="536"/>
    </row>
    <row r="24" spans="1:18" ht="13.5" thickBot="1" x14ac:dyDescent="0.25">
      <c r="A24" s="166">
        <f t="shared" si="2"/>
        <v>13</v>
      </c>
      <c r="B24" s="166"/>
      <c r="C24" s="531" t="s">
        <v>955</v>
      </c>
      <c r="D24" s="555">
        <v>0</v>
      </c>
      <c r="E24" s="555">
        <v>12547940.443765754</v>
      </c>
      <c r="F24" s="683">
        <v>55322011.428051919</v>
      </c>
      <c r="G24" s="574">
        <v>363190742.22012889</v>
      </c>
      <c r="H24" s="555">
        <v>350017330.05771935</v>
      </c>
      <c r="I24" s="555">
        <v>38130422.145566955</v>
      </c>
      <c r="J24" s="555">
        <v>353805006.00699574</v>
      </c>
      <c r="K24" s="555">
        <v>130565.66322043103</v>
      </c>
      <c r="L24" s="555">
        <v>1208818.3606113279</v>
      </c>
      <c r="M24" s="555">
        <v>7412761.9158815509</v>
      </c>
      <c r="N24" s="575">
        <f t="shared" si="1"/>
        <v>1181765598.2419422</v>
      </c>
      <c r="O24" s="536"/>
      <c r="P24" s="536"/>
      <c r="Q24" s="536"/>
      <c r="R24" s="536"/>
    </row>
    <row r="25" spans="1:18" x14ac:dyDescent="0.2">
      <c r="A25" s="166">
        <f t="shared" si="2"/>
        <v>14</v>
      </c>
      <c r="B25" s="518"/>
      <c r="C25" s="535" t="s">
        <v>729</v>
      </c>
      <c r="D25" s="527">
        <f t="shared" ref="D25:M25" si="3">AVERAGE(D12:D24)</f>
        <v>0</v>
      </c>
      <c r="E25" s="529">
        <f>AVERAGE(E12:E24)</f>
        <v>11352807.439580871</v>
      </c>
      <c r="F25" s="573">
        <f t="shared" si="3"/>
        <v>51014802.383680269</v>
      </c>
      <c r="G25" s="573">
        <f t="shared" si="3"/>
        <v>330086813.88792974</v>
      </c>
      <c r="H25" s="573">
        <f t="shared" si="3"/>
        <v>341177589.15306866</v>
      </c>
      <c r="I25" s="573">
        <f t="shared" si="3"/>
        <v>33473404.383654304</v>
      </c>
      <c r="J25" s="573">
        <f t="shared" si="3"/>
        <v>341070547.74969745</v>
      </c>
      <c r="K25" s="529">
        <f t="shared" si="3"/>
        <v>128579.46448667564</v>
      </c>
      <c r="L25" s="529">
        <f t="shared" si="3"/>
        <v>2888057.9091163124</v>
      </c>
      <c r="M25" s="573">
        <f t="shared" si="3"/>
        <v>7177528.1230097907</v>
      </c>
      <c r="N25" s="573">
        <f>AVERAGE(N12:N24)</f>
        <v>1118370130.4942241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728</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955</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728</v>
      </c>
      <c r="D44" s="56" t="s">
        <v>790</v>
      </c>
      <c r="E44" s="529">
        <f>SUM(F44:G44)</f>
        <v>1737446477</v>
      </c>
      <c r="F44" s="526">
        <v>855592937</v>
      </c>
      <c r="G44" s="584">
        <v>881853540</v>
      </c>
      <c r="H44" s="577" t="s">
        <v>791</v>
      </c>
      <c r="I44" s="163"/>
      <c r="J44" s="536"/>
      <c r="K44" s="660"/>
      <c r="L44" s="684"/>
      <c r="O44" s="536"/>
      <c r="P44" s="536"/>
      <c r="Q44" s="536"/>
      <c r="R44" s="536"/>
    </row>
    <row r="45" spans="1:18" x14ac:dyDescent="0.2">
      <c r="A45" s="166">
        <f>A44+1</f>
        <v>19</v>
      </c>
      <c r="B45" s="518"/>
      <c r="C45" s="531" t="s">
        <v>955</v>
      </c>
      <c r="D45" s="579" t="s">
        <v>792</v>
      </c>
      <c r="E45" s="534">
        <f>SUM(F45:G45)</f>
        <v>1950354116</v>
      </c>
      <c r="F45" s="526">
        <v>897908161</v>
      </c>
      <c r="G45" s="584">
        <v>1052445955</v>
      </c>
      <c r="H45" s="577" t="s">
        <v>793</v>
      </c>
      <c r="I45" s="163"/>
      <c r="J45" s="685"/>
      <c r="K45" s="585"/>
      <c r="L45" s="518"/>
      <c r="O45" s="536"/>
      <c r="P45" s="536"/>
      <c r="Q45" s="536"/>
      <c r="R45" s="536"/>
    </row>
    <row r="46" spans="1:18" x14ac:dyDescent="0.2">
      <c r="A46" s="166">
        <f>A45+1</f>
        <v>20</v>
      </c>
      <c r="B46" s="518"/>
      <c r="D46" s="579" t="s">
        <v>784</v>
      </c>
      <c r="E46" s="527">
        <f>AVERAGE(E44:E45)</f>
        <v>1843900296.5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1843900296.5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5.4507080159516719E-2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100505621.26748215</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1950354116</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5.4507080159516719E-2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106308108.14025536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944</v>
      </c>
      <c r="D71" s="243">
        <v>0</v>
      </c>
      <c r="E71" s="590">
        <v>243624.67000000179</v>
      </c>
      <c r="F71" s="590">
        <v>985737.52094304562</v>
      </c>
      <c r="G71" s="590">
        <v>6659998.6073405743</v>
      </c>
      <c r="H71" s="590">
        <v>-1833264.2312287092</v>
      </c>
      <c r="I71" s="590">
        <v>1131618.5410888493</v>
      </c>
      <c r="J71" s="590">
        <v>778268.32647025585</v>
      </c>
      <c r="K71" s="590">
        <v>342801.37317148037</v>
      </c>
      <c r="L71" s="590">
        <v>460914.87654405832</v>
      </c>
      <c r="M71" s="590">
        <v>5978577.5112095783</v>
      </c>
      <c r="N71" s="527">
        <f t="shared" ref="N71:N82" si="4">SUM(D71:M71)</f>
        <v>14748277.195539135</v>
      </c>
      <c r="O71" s="536"/>
      <c r="P71" s="536"/>
      <c r="Q71" s="536"/>
      <c r="R71" s="536"/>
    </row>
    <row r="72" spans="1:18" x14ac:dyDescent="0.2">
      <c r="A72" s="166">
        <f t="shared" ref="A72:A83" si="5">A71+1</f>
        <v>28</v>
      </c>
      <c r="C72" s="531" t="s">
        <v>945</v>
      </c>
      <c r="D72" s="243">
        <v>0</v>
      </c>
      <c r="E72" s="590">
        <v>203294.24000000209</v>
      </c>
      <c r="F72" s="590">
        <v>824577.6576975733</v>
      </c>
      <c r="G72" s="590">
        <v>7867654.1483398676</v>
      </c>
      <c r="H72" s="590">
        <v>-1222566.0576388836</v>
      </c>
      <c r="I72" s="590">
        <v>1411690.5280216336</v>
      </c>
      <c r="J72" s="590">
        <v>2357847.8114973903</v>
      </c>
      <c r="K72" s="590">
        <v>76253.360121110454</v>
      </c>
      <c r="L72" s="590">
        <v>193618.3100708127</v>
      </c>
      <c r="M72" s="590">
        <v>68908.076595119201</v>
      </c>
      <c r="N72" s="527">
        <f t="shared" si="4"/>
        <v>11781278.074704625</v>
      </c>
      <c r="P72" s="536"/>
      <c r="Q72" s="536"/>
      <c r="R72" s="536"/>
    </row>
    <row r="73" spans="1:18" x14ac:dyDescent="0.2">
      <c r="A73" s="166">
        <f t="shared" si="5"/>
        <v>29</v>
      </c>
      <c r="C73" s="531" t="s">
        <v>946</v>
      </c>
      <c r="D73" s="243">
        <v>0</v>
      </c>
      <c r="E73" s="590">
        <v>245308.61999999918</v>
      </c>
      <c r="F73" s="590">
        <v>785290.50192333758</v>
      </c>
      <c r="G73" s="590">
        <v>8231260.703591466</v>
      </c>
      <c r="H73" s="590">
        <v>2967495.0894238949</v>
      </c>
      <c r="I73" s="590">
        <v>671033.49258035421</v>
      </c>
      <c r="J73" s="590">
        <v>2160005.0812230706</v>
      </c>
      <c r="K73" s="590">
        <v>77741.592447239906</v>
      </c>
      <c r="L73" s="590">
        <v>270752.38033908606</v>
      </c>
      <c r="M73" s="590">
        <v>112736.79102540016</v>
      </c>
      <c r="N73" s="527">
        <f t="shared" si="4"/>
        <v>15521624.252553849</v>
      </c>
      <c r="P73" s="536"/>
      <c r="Q73" s="536"/>
      <c r="R73" s="536"/>
    </row>
    <row r="74" spans="1:18" x14ac:dyDescent="0.2">
      <c r="A74" s="166">
        <f t="shared" si="5"/>
        <v>30</v>
      </c>
      <c r="C74" s="528" t="s">
        <v>947</v>
      </c>
      <c r="D74" s="243">
        <v>0</v>
      </c>
      <c r="E74" s="590">
        <v>245742.97999999672</v>
      </c>
      <c r="F74" s="590">
        <v>984072.91186352074</v>
      </c>
      <c r="G74" s="590">
        <v>5550079.6040856838</v>
      </c>
      <c r="H74" s="590">
        <v>-3612264.579105258</v>
      </c>
      <c r="I74" s="590">
        <v>496810.09770792723</v>
      </c>
      <c r="J74" s="590">
        <v>4055784.4764924645</v>
      </c>
      <c r="K74" s="590">
        <v>77653.582876004279</v>
      </c>
      <c r="L74" s="590">
        <v>564254.3348300755</v>
      </c>
      <c r="M74" s="590">
        <v>-17688.663474202156</v>
      </c>
      <c r="N74" s="527">
        <f t="shared" si="4"/>
        <v>8344444.7452762127</v>
      </c>
      <c r="P74" s="536"/>
      <c r="Q74" s="536"/>
      <c r="R74" s="536"/>
    </row>
    <row r="75" spans="1:18" x14ac:dyDescent="0.2">
      <c r="A75" s="166">
        <f t="shared" si="5"/>
        <v>31</v>
      </c>
      <c r="C75" s="531" t="s">
        <v>948</v>
      </c>
      <c r="D75" s="243">
        <v>0</v>
      </c>
      <c r="E75" s="590">
        <v>246084.97000000253</v>
      </c>
      <c r="F75" s="590">
        <v>1133168.0792246908</v>
      </c>
      <c r="G75" s="590">
        <v>8123588.0640493631</v>
      </c>
      <c r="H75" s="590">
        <v>6293542.4284164906</v>
      </c>
      <c r="I75" s="590">
        <v>7772.1829515695572</v>
      </c>
      <c r="J75" s="590">
        <v>2094531.6439786553</v>
      </c>
      <c r="K75" s="590">
        <v>79248.150935294107</v>
      </c>
      <c r="L75" s="590">
        <v>536392.14759270847</v>
      </c>
      <c r="M75" s="590">
        <v>153155.81584828161</v>
      </c>
      <c r="N75" s="527">
        <f t="shared" si="4"/>
        <v>18667483.48299706</v>
      </c>
    </row>
    <row r="76" spans="1:18" x14ac:dyDescent="0.2">
      <c r="A76" s="166">
        <f t="shared" si="5"/>
        <v>32</v>
      </c>
      <c r="C76" s="531" t="s">
        <v>949</v>
      </c>
      <c r="D76" s="243">
        <v>0</v>
      </c>
      <c r="E76" s="590">
        <v>273925.8599999994</v>
      </c>
      <c r="F76" s="590">
        <v>1943816.555782944</v>
      </c>
      <c r="G76" s="590">
        <v>23581041.583873272</v>
      </c>
      <c r="H76" s="590">
        <v>2055743.6948346496</v>
      </c>
      <c r="I76" s="590">
        <v>-1795452.4856698215</v>
      </c>
      <c r="J76" s="590">
        <v>1433961.5498306751</v>
      </c>
      <c r="K76" s="590">
        <v>75590.215906465426</v>
      </c>
      <c r="L76" s="590">
        <v>568543.9205186516</v>
      </c>
      <c r="M76" s="590">
        <v>54521.455864896998</v>
      </c>
      <c r="N76" s="527">
        <f t="shared" si="4"/>
        <v>28191692.350941733</v>
      </c>
    </row>
    <row r="77" spans="1:18" x14ac:dyDescent="0.2">
      <c r="A77" s="166">
        <f t="shared" si="5"/>
        <v>33</v>
      </c>
      <c r="C77" s="528" t="s">
        <v>950</v>
      </c>
      <c r="D77" s="243">
        <v>0</v>
      </c>
      <c r="E77" s="590">
        <v>249439.09999999776</v>
      </c>
      <c r="F77" s="590">
        <v>1639206.9155270904</v>
      </c>
      <c r="G77" s="590">
        <v>10669960.601335049</v>
      </c>
      <c r="H77" s="590">
        <v>3712624.216991365</v>
      </c>
      <c r="I77" s="590">
        <v>-129484.72571316361</v>
      </c>
      <c r="J77" s="590">
        <v>2704225.9771498442</v>
      </c>
      <c r="K77" s="590">
        <v>61945.595391461626</v>
      </c>
      <c r="L77" s="590">
        <v>779917.00912483037</v>
      </c>
      <c r="M77" s="590">
        <v>114362.47367942333</v>
      </c>
      <c r="N77" s="527">
        <f t="shared" si="4"/>
        <v>19802197.1634859</v>
      </c>
    </row>
    <row r="78" spans="1:18" x14ac:dyDescent="0.2">
      <c r="A78" s="166">
        <f t="shared" si="5"/>
        <v>34</v>
      </c>
      <c r="C78" s="531" t="s">
        <v>951</v>
      </c>
      <c r="D78" s="243">
        <v>0</v>
      </c>
      <c r="E78" s="590">
        <v>246150.67000000179</v>
      </c>
      <c r="F78" s="590">
        <v>859693.94218713045</v>
      </c>
      <c r="G78" s="590">
        <v>8761785.208781004</v>
      </c>
      <c r="H78" s="590">
        <v>1192877.7291321754</v>
      </c>
      <c r="I78" s="590">
        <v>1639379.1832000613</v>
      </c>
      <c r="J78" s="590">
        <v>2242044.4615546465</v>
      </c>
      <c r="K78" s="590">
        <v>76782.624221961945</v>
      </c>
      <c r="L78" s="590">
        <v>262795.06860712171</v>
      </c>
      <c r="M78" s="590">
        <v>58090.971642972901</v>
      </c>
      <c r="N78" s="527">
        <f t="shared" si="4"/>
        <v>15339599.859327076</v>
      </c>
    </row>
    <row r="79" spans="1:18" x14ac:dyDescent="0.2">
      <c r="A79" s="166">
        <f t="shared" si="5"/>
        <v>35</v>
      </c>
      <c r="C79" s="531" t="s">
        <v>952</v>
      </c>
      <c r="D79" s="243">
        <v>0</v>
      </c>
      <c r="E79" s="590">
        <v>195295.9299999997</v>
      </c>
      <c r="F79" s="590">
        <v>892761.79162588716</v>
      </c>
      <c r="G79" s="590">
        <v>4453156.9742621183</v>
      </c>
      <c r="H79" s="590">
        <v>1950779.5556340218</v>
      </c>
      <c r="I79" s="590">
        <v>1294230.6323697865</v>
      </c>
      <c r="J79" s="590">
        <v>2555660.2302956581</v>
      </c>
      <c r="K79" s="590">
        <v>72680.269568786025</v>
      </c>
      <c r="L79" s="590">
        <v>45915.821739345789</v>
      </c>
      <c r="M79" s="590">
        <v>99546.260756451637</v>
      </c>
      <c r="N79" s="527">
        <f t="shared" si="4"/>
        <v>11560027.466252055</v>
      </c>
    </row>
    <row r="80" spans="1:18" x14ac:dyDescent="0.2">
      <c r="A80" s="166">
        <f t="shared" si="5"/>
        <v>36</v>
      </c>
      <c r="C80" s="528" t="s">
        <v>953</v>
      </c>
      <c r="D80" s="243">
        <v>0</v>
      </c>
      <c r="E80" s="590">
        <v>263008.02999999747</v>
      </c>
      <c r="F80" s="590">
        <v>1022262.7734125108</v>
      </c>
      <c r="G80" s="590">
        <v>4774167.9974471331</v>
      </c>
      <c r="H80" s="590">
        <v>4047371.1217873096</v>
      </c>
      <c r="I80" s="590">
        <v>-453379.31621915102</v>
      </c>
      <c r="J80" s="590">
        <v>4784933.255531311</v>
      </c>
      <c r="K80" s="590">
        <v>-10827.272481946275</v>
      </c>
      <c r="L80" s="590">
        <v>351817.1650505513</v>
      </c>
      <c r="M80" s="590">
        <v>-560375.6894052485</v>
      </c>
      <c r="N80" s="527">
        <f t="shared" si="4"/>
        <v>14218978.065122467</v>
      </c>
    </row>
    <row r="81" spans="1:15" x14ac:dyDescent="0.2">
      <c r="A81" s="166">
        <f t="shared" si="5"/>
        <v>37</v>
      </c>
      <c r="C81" s="528" t="s">
        <v>954</v>
      </c>
      <c r="D81" s="243">
        <v>0</v>
      </c>
      <c r="E81" s="590">
        <v>263620.11000000313</v>
      </c>
      <c r="F81" s="590">
        <v>852592.01447670162</v>
      </c>
      <c r="G81" s="590">
        <v>6920074.28543818</v>
      </c>
      <c r="H81" s="590">
        <v>-974667.91035544872</v>
      </c>
      <c r="I81" s="590">
        <v>-3648911.2369788289</v>
      </c>
      <c r="J81" s="590">
        <v>-11721.293157219887</v>
      </c>
      <c r="K81" s="590">
        <v>12594.858051680028</v>
      </c>
      <c r="L81" s="590">
        <v>168911.01506774127</v>
      </c>
      <c r="M81" s="590">
        <v>-369233.21528962068</v>
      </c>
      <c r="N81" s="527">
        <f t="shared" si="4"/>
        <v>3213258.6272531878</v>
      </c>
    </row>
    <row r="82" spans="1:15" x14ac:dyDescent="0.2">
      <c r="A82" s="166">
        <f t="shared" si="5"/>
        <v>38</v>
      </c>
      <c r="C82" s="531" t="s">
        <v>955</v>
      </c>
      <c r="D82" s="555">
        <v>0</v>
      </c>
      <c r="E82" s="590">
        <v>263327.42000000179</v>
      </c>
      <c r="F82" s="590">
        <v>792251.6546138674</v>
      </c>
      <c r="G82" s="590">
        <v>5692644.6203979254</v>
      </c>
      <c r="H82" s="590">
        <v>2336092.6113674045</v>
      </c>
      <c r="I82" s="590">
        <v>-2318176.6861589551</v>
      </c>
      <c r="J82" s="590">
        <v>1366110.0701476336</v>
      </c>
      <c r="K82" s="590">
        <v>-82203.309984207153</v>
      </c>
      <c r="L82" s="590">
        <v>551056.25268024206</v>
      </c>
      <c r="M82" s="590">
        <v>199143.66862867773</v>
      </c>
      <c r="N82" s="539">
        <f t="shared" si="4"/>
        <v>8800246.3016925901</v>
      </c>
      <c r="O82" s="536"/>
    </row>
    <row r="83" spans="1:15" x14ac:dyDescent="0.2">
      <c r="A83" s="166">
        <f t="shared" si="5"/>
        <v>39</v>
      </c>
      <c r="C83" s="535" t="s">
        <v>166</v>
      </c>
      <c r="D83" s="527">
        <f>SUM(D71:D82)</f>
        <v>0</v>
      </c>
      <c r="E83" s="527">
        <f t="shared" ref="E83:M83" si="6">SUM(E71:E82)</f>
        <v>2938822.6000000034</v>
      </c>
      <c r="F83" s="527">
        <f t="shared" si="6"/>
        <v>12715432.3192783</v>
      </c>
      <c r="G83" s="527">
        <f t="shared" si="6"/>
        <v>101285412.39894164</v>
      </c>
      <c r="H83" s="527">
        <f t="shared" si="6"/>
        <v>16913763.669259012</v>
      </c>
      <c r="I83" s="527">
        <f t="shared" si="6"/>
        <v>-1692869.7928197384</v>
      </c>
      <c r="J83" s="527">
        <f t="shared" si="6"/>
        <v>26521651.591014385</v>
      </c>
      <c r="K83" s="527">
        <f t="shared" si="6"/>
        <v>860261.04022533074</v>
      </c>
      <c r="L83" s="527">
        <f t="shared" si="6"/>
        <v>4754888.3021652251</v>
      </c>
      <c r="M83" s="527">
        <f t="shared" si="6"/>
        <v>5891745.4570817305</v>
      </c>
      <c r="N83" s="527">
        <f>SUM(N71:N82)</f>
        <v>170189107.58514589</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944</v>
      </c>
      <c r="D91" s="188">
        <v>0</v>
      </c>
      <c r="E91" s="188">
        <v>189721.07257535864</v>
      </c>
      <c r="F91" s="188">
        <v>806327.49950128526</v>
      </c>
      <c r="G91" s="188">
        <v>5575784.0397175867</v>
      </c>
      <c r="H91" s="188">
        <v>2935077.4218313224</v>
      </c>
      <c r="I91" s="188">
        <v>440375.40922970703</v>
      </c>
      <c r="J91" s="188">
        <v>1944357.8538470825</v>
      </c>
      <c r="K91" s="188">
        <v>285.70473680591022</v>
      </c>
      <c r="L91" s="188">
        <v>39793.705916935498</v>
      </c>
      <c r="M91" s="188">
        <v>89401.821904959521</v>
      </c>
      <c r="N91" s="527">
        <f t="shared" ref="N91:N102" si="7">SUM(D91:M91)</f>
        <v>12021124.529261043</v>
      </c>
    </row>
    <row r="92" spans="1:15" x14ac:dyDescent="0.2">
      <c r="A92" s="166">
        <f t="shared" ref="A92:A103" si="8">A91+1</f>
        <v>41</v>
      </c>
      <c r="C92" s="531" t="s">
        <v>945</v>
      </c>
      <c r="D92" s="188">
        <v>0</v>
      </c>
      <c r="E92" s="188">
        <v>189355.40239056759</v>
      </c>
      <c r="F92" s="188">
        <v>806625.62413774</v>
      </c>
      <c r="G92" s="188">
        <v>5554992.2592082694</v>
      </c>
      <c r="H92" s="186">
        <v>2944642.5358781018</v>
      </c>
      <c r="I92" s="186">
        <v>444956.41719154292</v>
      </c>
      <c r="J92" s="186">
        <v>1945739.5935369811</v>
      </c>
      <c r="K92" s="188">
        <v>285.77094185028886</v>
      </c>
      <c r="L92" s="188">
        <v>105798.22180549655</v>
      </c>
      <c r="M92" s="188">
        <v>83710.353849566018</v>
      </c>
      <c r="N92" s="573">
        <f t="shared" si="7"/>
        <v>12076106.178940114</v>
      </c>
    </row>
    <row r="93" spans="1:15" x14ac:dyDescent="0.2">
      <c r="A93" s="166">
        <f t="shared" si="8"/>
        <v>42</v>
      </c>
      <c r="C93" s="531" t="s">
        <v>946</v>
      </c>
      <c r="D93" s="188">
        <v>0</v>
      </c>
      <c r="E93" s="188">
        <v>191669.42588473822</v>
      </c>
      <c r="F93" s="188">
        <v>808222.06330784282</v>
      </c>
      <c r="G93" s="188">
        <v>5589349.8749164483</v>
      </c>
      <c r="H93" s="186">
        <v>2973495.4695323561</v>
      </c>
      <c r="I93" s="186">
        <v>450918.56280401885</v>
      </c>
      <c r="J93" s="186">
        <v>1963694.8233713366</v>
      </c>
      <c r="K93" s="188">
        <v>285.84482773774488</v>
      </c>
      <c r="L93" s="188">
        <v>103229.93517497221</v>
      </c>
      <c r="M93" s="188">
        <v>84695.451608124218</v>
      </c>
      <c r="N93" s="573">
        <f t="shared" si="7"/>
        <v>12165561.451427575</v>
      </c>
    </row>
    <row r="94" spans="1:15" x14ac:dyDescent="0.2">
      <c r="A94" s="166">
        <f t="shared" si="8"/>
        <v>43</v>
      </c>
      <c r="C94" s="528" t="s">
        <v>947</v>
      </c>
      <c r="D94" s="188">
        <v>0</v>
      </c>
      <c r="E94" s="188">
        <v>193142.25375395929</v>
      </c>
      <c r="F94" s="188">
        <v>803334.3504321049</v>
      </c>
      <c r="G94" s="188">
        <v>5634812.5921718562</v>
      </c>
      <c r="H94" s="186">
        <v>2973987.6527679409</v>
      </c>
      <c r="I94" s="186">
        <v>453504.44209497073</v>
      </c>
      <c r="J94" s="186">
        <v>1964075.1871562966</v>
      </c>
      <c r="K94" s="188">
        <v>285.96966967744339</v>
      </c>
      <c r="L94" s="188">
        <v>106459.37589993596</v>
      </c>
      <c r="M94" s="186">
        <v>84655.097246168138</v>
      </c>
      <c r="N94" s="573">
        <f t="shared" si="7"/>
        <v>12214256.921192911</v>
      </c>
    </row>
    <row r="95" spans="1:15" x14ac:dyDescent="0.2">
      <c r="A95" s="166">
        <f t="shared" si="8"/>
        <v>44</v>
      </c>
      <c r="C95" s="531" t="s">
        <v>948</v>
      </c>
      <c r="D95" s="188">
        <v>0</v>
      </c>
      <c r="E95" s="188">
        <v>193154.54224079757</v>
      </c>
      <c r="F95" s="188">
        <v>806443.50647977972</v>
      </c>
      <c r="G95" s="188">
        <v>5686428.4032542268</v>
      </c>
      <c r="H95" s="186">
        <v>2978163.3540142756</v>
      </c>
      <c r="I95" s="186">
        <v>460838.16092907678</v>
      </c>
      <c r="J95" s="186">
        <v>1966166.9042117186</v>
      </c>
      <c r="K95" s="188">
        <v>296.53708505946196</v>
      </c>
      <c r="L95" s="188">
        <v>66483.75453408272</v>
      </c>
      <c r="M95" s="186">
        <v>84855.568608168149</v>
      </c>
      <c r="N95" s="573">
        <f t="shared" si="7"/>
        <v>12242830.731357185</v>
      </c>
    </row>
    <row r="96" spans="1:15" x14ac:dyDescent="0.2">
      <c r="A96" s="166">
        <f t="shared" si="8"/>
        <v>45</v>
      </c>
      <c r="C96" s="531" t="s">
        <v>949</v>
      </c>
      <c r="D96" s="188">
        <v>0</v>
      </c>
      <c r="E96" s="188">
        <v>193154.54224079757</v>
      </c>
      <c r="F96" s="188">
        <v>808535.26572442276</v>
      </c>
      <c r="G96" s="188">
        <v>5759154.3308072388</v>
      </c>
      <c r="H96" s="186">
        <v>3001303.7994308663</v>
      </c>
      <c r="I96" s="186">
        <v>468965.16592982778</v>
      </c>
      <c r="J96" s="186">
        <v>1978587.0715473166</v>
      </c>
      <c r="K96" s="188">
        <v>296.58570136501919</v>
      </c>
      <c r="L96" s="188">
        <v>66668.014087759293</v>
      </c>
      <c r="M96" s="186">
        <v>85156.518348168145</v>
      </c>
      <c r="N96" s="573">
        <f t="shared" si="7"/>
        <v>12361821.293817762</v>
      </c>
    </row>
    <row r="97" spans="1:14" x14ac:dyDescent="0.2">
      <c r="A97" s="166">
        <f t="shared" si="8"/>
        <v>46</v>
      </c>
      <c r="C97" s="528" t="s">
        <v>950</v>
      </c>
      <c r="D97" s="188">
        <v>0</v>
      </c>
      <c r="E97" s="188">
        <v>193130.18003222751</v>
      </c>
      <c r="F97" s="188">
        <v>811201.87025778787</v>
      </c>
      <c r="G97" s="188">
        <v>5818842.7818608647</v>
      </c>
      <c r="H97" s="186">
        <v>3007767.3000665563</v>
      </c>
      <c r="I97" s="186">
        <v>473303.33376604336</v>
      </c>
      <c r="J97" s="186">
        <v>1985907.3849187859</v>
      </c>
      <c r="K97" s="188">
        <v>300.12557228008524</v>
      </c>
      <c r="L97" s="188">
        <v>68590.722510865759</v>
      </c>
      <c r="M97" s="188">
        <v>85408.39354316816</v>
      </c>
      <c r="N97" s="573">
        <f t="shared" si="7"/>
        <v>12444452.092528582</v>
      </c>
    </row>
    <row r="98" spans="1:14" x14ac:dyDescent="0.2">
      <c r="A98" s="166">
        <f t="shared" si="8"/>
        <v>47</v>
      </c>
      <c r="C98" s="531" t="s">
        <v>951</v>
      </c>
      <c r="D98" s="188">
        <v>0</v>
      </c>
      <c r="E98" s="188">
        <v>193129.12869077167</v>
      </c>
      <c r="F98" s="188">
        <v>812515.44406486221</v>
      </c>
      <c r="G98" s="188">
        <v>5853986.3657771917</v>
      </c>
      <c r="H98" s="186">
        <v>3013975.2065405981</v>
      </c>
      <c r="I98" s="186">
        <v>477587.74204257433</v>
      </c>
      <c r="J98" s="186">
        <v>1993418.2724840641</v>
      </c>
      <c r="K98" s="188">
        <v>299.90963147850351</v>
      </c>
      <c r="L98" s="188">
        <v>68118.519180823598</v>
      </c>
      <c r="M98" s="188">
        <v>85582.402872168153</v>
      </c>
      <c r="N98" s="573">
        <f t="shared" si="7"/>
        <v>12498612.991284531</v>
      </c>
    </row>
    <row r="99" spans="1:14" x14ac:dyDescent="0.2">
      <c r="A99" s="166">
        <f t="shared" si="8"/>
        <v>48</v>
      </c>
      <c r="C99" s="531" t="s">
        <v>952</v>
      </c>
      <c r="D99" s="188">
        <v>0</v>
      </c>
      <c r="E99" s="188">
        <v>219082.04142666489</v>
      </c>
      <c r="F99" s="188">
        <v>828860.77486793464</v>
      </c>
      <c r="G99" s="188">
        <v>5843080.2478322536</v>
      </c>
      <c r="H99" s="186">
        <v>3022299.3218695088</v>
      </c>
      <c r="I99" s="186">
        <v>491009.23368468252</v>
      </c>
      <c r="J99" s="186">
        <v>1998740.8816603478</v>
      </c>
      <c r="K99" s="188">
        <v>299.86719269369934</v>
      </c>
      <c r="L99" s="188">
        <v>68464.678669562607</v>
      </c>
      <c r="M99" s="186">
        <v>85820.259205168157</v>
      </c>
      <c r="N99" s="573">
        <f t="shared" si="7"/>
        <v>12557657.306408817</v>
      </c>
    </row>
    <row r="100" spans="1:14" x14ac:dyDescent="0.2">
      <c r="A100" s="166">
        <f t="shared" si="8"/>
        <v>49</v>
      </c>
      <c r="C100" s="528" t="s">
        <v>953</v>
      </c>
      <c r="D100" s="188">
        <v>0</v>
      </c>
      <c r="E100" s="188">
        <v>219083.99756856469</v>
      </c>
      <c r="F100" s="188">
        <v>830327.2776739262</v>
      </c>
      <c r="G100" s="188">
        <v>5858966.3760727132</v>
      </c>
      <c r="H100" s="186">
        <v>3027746.419861251</v>
      </c>
      <c r="I100" s="186">
        <v>523190.08595074405</v>
      </c>
      <c r="J100" s="186">
        <v>1990717.2967341484</v>
      </c>
      <c r="K100" s="188">
        <v>299.86792948489898</v>
      </c>
      <c r="L100" s="188">
        <v>51443.891220478115</v>
      </c>
      <c r="M100" s="188">
        <v>76406.399381560928</v>
      </c>
      <c r="N100" s="573">
        <f t="shared" si="7"/>
        <v>12578181.612392871</v>
      </c>
    </row>
    <row r="101" spans="1:14" x14ac:dyDescent="0.2">
      <c r="A101" s="166">
        <f t="shared" si="8"/>
        <v>50</v>
      </c>
      <c r="C101" s="528" t="s">
        <v>954</v>
      </c>
      <c r="D101" s="188">
        <v>0</v>
      </c>
      <c r="E101" s="188">
        <v>219086.25738032185</v>
      </c>
      <c r="F101" s="188">
        <v>903931.08160849288</v>
      </c>
      <c r="G101" s="188">
        <v>5802821.3078485867</v>
      </c>
      <c r="H101" s="186">
        <v>3033875.0096466425</v>
      </c>
      <c r="I101" s="186">
        <v>533408.60349049524</v>
      </c>
      <c r="J101" s="186">
        <v>2007766.6446341865</v>
      </c>
      <c r="K101" s="188">
        <v>300.7619902619378</v>
      </c>
      <c r="L101" s="188">
        <v>51085.586619117188</v>
      </c>
      <c r="M101" s="186">
        <v>70471.755521925632</v>
      </c>
      <c r="N101" s="573">
        <f t="shared" si="7"/>
        <v>12622747.00874003</v>
      </c>
    </row>
    <row r="102" spans="1:14" x14ac:dyDescent="0.2">
      <c r="A102" s="166">
        <f t="shared" si="8"/>
        <v>51</v>
      </c>
      <c r="C102" s="531" t="s">
        <v>955</v>
      </c>
      <c r="D102" s="181">
        <v>0</v>
      </c>
      <c r="E102" s="181">
        <v>219102.17438838186</v>
      </c>
      <c r="F102" s="181">
        <v>906710.68419768021</v>
      </c>
      <c r="G102" s="181">
        <v>5863955.5790039701</v>
      </c>
      <c r="H102" s="178">
        <v>3293576.3654705379</v>
      </c>
      <c r="I102" s="178">
        <v>617172.61551037896</v>
      </c>
      <c r="J102" s="178">
        <v>2480832.8854171792</v>
      </c>
      <c r="K102" s="181">
        <v>298.6317849992945</v>
      </c>
      <c r="L102" s="181">
        <v>50822.694532768386</v>
      </c>
      <c r="M102" s="178">
        <v>65481.911935925629</v>
      </c>
      <c r="N102" s="575">
        <f t="shared" si="7"/>
        <v>13497953.542241819</v>
      </c>
    </row>
    <row r="103" spans="1:14" x14ac:dyDescent="0.2">
      <c r="A103" s="166">
        <f t="shared" si="8"/>
        <v>52</v>
      </c>
      <c r="C103" s="535" t="s">
        <v>166</v>
      </c>
      <c r="D103" s="527">
        <f>SUM(D91:D102)</f>
        <v>0</v>
      </c>
      <c r="E103" s="527">
        <f t="shared" ref="E103:M103" si="9">SUM(E91:E102)</f>
        <v>2412811.018573151</v>
      </c>
      <c r="F103" s="527">
        <f t="shared" si="9"/>
        <v>9933035.4422538597</v>
      </c>
      <c r="G103" s="527">
        <f t="shared" si="9"/>
        <v>68842174.158471212</v>
      </c>
      <c r="H103" s="573">
        <f t="shared" si="9"/>
        <v>36205909.856909961</v>
      </c>
      <c r="I103" s="573">
        <f t="shared" si="9"/>
        <v>5835229.7726240624</v>
      </c>
      <c r="J103" s="573">
        <f t="shared" si="9"/>
        <v>24220004.799519442</v>
      </c>
      <c r="K103" s="527">
        <f t="shared" si="9"/>
        <v>3535.577063694288</v>
      </c>
      <c r="L103" s="527">
        <f t="shared" si="9"/>
        <v>846959.10015279776</v>
      </c>
      <c r="M103" s="573">
        <f t="shared" si="9"/>
        <v>981645.93402507086</v>
      </c>
      <c r="N103" s="573">
        <f>SUM(N91:N102)</f>
        <v>149281305.65959325</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944</v>
      </c>
      <c r="D111" s="188">
        <f t="shared" ref="D111:M122" si="10">D71-D91</f>
        <v>0</v>
      </c>
      <c r="E111" s="188">
        <f t="shared" si="10"/>
        <v>53903.597424643143</v>
      </c>
      <c r="F111" s="188">
        <f t="shared" si="10"/>
        <v>179410.02144176036</v>
      </c>
      <c r="G111" s="188">
        <f t="shared" si="10"/>
        <v>1084214.5676229876</v>
      </c>
      <c r="H111" s="188">
        <f t="shared" si="10"/>
        <v>-4768341.6530600321</v>
      </c>
      <c r="I111" s="188">
        <f t="shared" si="10"/>
        <v>691243.13185914233</v>
      </c>
      <c r="J111" s="188">
        <f t="shared" si="10"/>
        <v>-1166089.5273768266</v>
      </c>
      <c r="K111" s="188">
        <f t="shared" si="10"/>
        <v>342515.66843467444</v>
      </c>
      <c r="L111" s="188">
        <f t="shared" si="10"/>
        <v>421121.1706271228</v>
      </c>
      <c r="M111" s="188">
        <f t="shared" si="10"/>
        <v>5889175.6893046191</v>
      </c>
      <c r="N111" s="527">
        <f t="shared" ref="N111:N122" si="11">SUM(D111:M111)</f>
        <v>2727152.6662780908</v>
      </c>
    </row>
    <row r="112" spans="1:14" x14ac:dyDescent="0.2">
      <c r="A112" s="166">
        <f t="shared" ref="A112:A123" si="12">A111+1</f>
        <v>54</v>
      </c>
      <c r="C112" s="531" t="s">
        <v>945</v>
      </c>
      <c r="D112" s="188">
        <f t="shared" si="10"/>
        <v>0</v>
      </c>
      <c r="E112" s="188">
        <f t="shared" si="10"/>
        <v>13938.8376094345</v>
      </c>
      <c r="F112" s="188">
        <f t="shared" si="10"/>
        <v>17952.033559833304</v>
      </c>
      <c r="G112" s="188">
        <f t="shared" si="10"/>
        <v>2312661.8891315982</v>
      </c>
      <c r="H112" s="186">
        <f t="shared" si="10"/>
        <v>-4167208.5935169854</v>
      </c>
      <c r="I112" s="186">
        <f t="shared" si="10"/>
        <v>966734.11083009071</v>
      </c>
      <c r="J112" s="186">
        <f t="shared" si="10"/>
        <v>412108.21796040912</v>
      </c>
      <c r="K112" s="188">
        <f t="shared" si="10"/>
        <v>75967.589179260161</v>
      </c>
      <c r="L112" s="188">
        <f t="shared" si="10"/>
        <v>87820.088265316153</v>
      </c>
      <c r="M112" s="186">
        <f t="shared" si="10"/>
        <v>-14802.277254446817</v>
      </c>
      <c r="N112" s="573">
        <f t="shared" si="11"/>
        <v>-294828.1042354902</v>
      </c>
    </row>
    <row r="113" spans="1:14" x14ac:dyDescent="0.2">
      <c r="A113" s="166">
        <f t="shared" si="12"/>
        <v>55</v>
      </c>
      <c r="C113" s="531" t="s">
        <v>946</v>
      </c>
      <c r="D113" s="188">
        <f t="shared" si="10"/>
        <v>0</v>
      </c>
      <c r="E113" s="188">
        <f t="shared" si="10"/>
        <v>53639.194115260965</v>
      </c>
      <c r="F113" s="188">
        <f t="shared" si="10"/>
        <v>-22931.561384505243</v>
      </c>
      <c r="G113" s="188">
        <f t="shared" si="10"/>
        <v>2641910.8286750177</v>
      </c>
      <c r="H113" s="186">
        <f t="shared" si="10"/>
        <v>-6000.3801084612496</v>
      </c>
      <c r="I113" s="186">
        <f t="shared" si="10"/>
        <v>220114.92977633537</v>
      </c>
      <c r="J113" s="186">
        <f t="shared" si="10"/>
        <v>196310.25785173406</v>
      </c>
      <c r="K113" s="188">
        <f t="shared" si="10"/>
        <v>77455.747619502159</v>
      </c>
      <c r="L113" s="188">
        <f t="shared" si="10"/>
        <v>167522.44516411383</v>
      </c>
      <c r="M113" s="186">
        <f t="shared" si="10"/>
        <v>28041.339417275944</v>
      </c>
      <c r="N113" s="573">
        <f t="shared" si="11"/>
        <v>3356062.8011262738</v>
      </c>
    </row>
    <row r="114" spans="1:14" x14ac:dyDescent="0.2">
      <c r="A114" s="166">
        <f t="shared" si="12"/>
        <v>56</v>
      </c>
      <c r="C114" s="528" t="s">
        <v>947</v>
      </c>
      <c r="D114" s="188">
        <f t="shared" si="10"/>
        <v>0</v>
      </c>
      <c r="E114" s="188">
        <f t="shared" si="10"/>
        <v>52600.726246037433</v>
      </c>
      <c r="F114" s="188">
        <f t="shared" si="10"/>
        <v>180738.56143141584</v>
      </c>
      <c r="G114" s="188">
        <f t="shared" si="10"/>
        <v>-84732.98808617238</v>
      </c>
      <c r="H114" s="186">
        <f t="shared" si="10"/>
        <v>-6586252.2318731993</v>
      </c>
      <c r="I114" s="186">
        <f t="shared" si="10"/>
        <v>43305.6556129565</v>
      </c>
      <c r="J114" s="186">
        <f t="shared" si="10"/>
        <v>2091709.289336168</v>
      </c>
      <c r="K114" s="188">
        <f t="shared" si="10"/>
        <v>77367.613206326831</v>
      </c>
      <c r="L114" s="188">
        <f t="shared" si="10"/>
        <v>457794.95893013955</v>
      </c>
      <c r="M114" s="186">
        <f t="shared" si="10"/>
        <v>-102343.76072037029</v>
      </c>
      <c r="N114" s="573">
        <f t="shared" si="11"/>
        <v>-3869812.1759166978</v>
      </c>
    </row>
    <row r="115" spans="1:14" x14ac:dyDescent="0.2">
      <c r="A115" s="166">
        <f t="shared" si="12"/>
        <v>57</v>
      </c>
      <c r="C115" s="531" t="s">
        <v>948</v>
      </c>
      <c r="D115" s="188">
        <f t="shared" si="10"/>
        <v>0</v>
      </c>
      <c r="E115" s="188">
        <f t="shared" si="10"/>
        <v>52930.427759204962</v>
      </c>
      <c r="F115" s="188">
        <f t="shared" si="10"/>
        <v>326724.57274491107</v>
      </c>
      <c r="G115" s="188">
        <f t="shared" si="10"/>
        <v>2437159.6607951364</v>
      </c>
      <c r="H115" s="186">
        <f t="shared" si="10"/>
        <v>3315379.074402215</v>
      </c>
      <c r="I115" s="186">
        <f t="shared" si="10"/>
        <v>-453065.97797750722</v>
      </c>
      <c r="J115" s="186">
        <f t="shared" si="10"/>
        <v>128364.73976693675</v>
      </c>
      <c r="K115" s="188">
        <f t="shared" si="10"/>
        <v>78951.613850234644</v>
      </c>
      <c r="L115" s="188">
        <f t="shared" si="10"/>
        <v>469908.39305862575</v>
      </c>
      <c r="M115" s="186">
        <f t="shared" si="10"/>
        <v>68300.247240113458</v>
      </c>
      <c r="N115" s="573">
        <f t="shared" si="11"/>
        <v>6424652.7516398719</v>
      </c>
    </row>
    <row r="116" spans="1:14" x14ac:dyDescent="0.2">
      <c r="A116" s="166">
        <f t="shared" si="12"/>
        <v>58</v>
      </c>
      <c r="C116" s="531" t="s">
        <v>949</v>
      </c>
      <c r="D116" s="188">
        <f t="shared" si="10"/>
        <v>0</v>
      </c>
      <c r="E116" s="188">
        <f t="shared" si="10"/>
        <v>80771.317759201833</v>
      </c>
      <c r="F116" s="188">
        <f t="shared" si="10"/>
        <v>1135281.2900585211</v>
      </c>
      <c r="G116" s="188">
        <f t="shared" si="10"/>
        <v>17821887.253066033</v>
      </c>
      <c r="H116" s="186">
        <f t="shared" si="10"/>
        <v>-945560.1045962167</v>
      </c>
      <c r="I116" s="186">
        <f t="shared" si="10"/>
        <v>-2264417.6515996493</v>
      </c>
      <c r="J116" s="186">
        <f t="shared" si="10"/>
        <v>-544625.5217166415</v>
      </c>
      <c r="K116" s="188">
        <f t="shared" si="10"/>
        <v>75293.630205100402</v>
      </c>
      <c r="L116" s="188">
        <f t="shared" si="10"/>
        <v>501875.9064308923</v>
      </c>
      <c r="M116" s="186">
        <f t="shared" si="10"/>
        <v>-30635.062483271147</v>
      </c>
      <c r="N116" s="573">
        <f t="shared" si="11"/>
        <v>15829871.057123972</v>
      </c>
    </row>
    <row r="117" spans="1:14" x14ac:dyDescent="0.2">
      <c r="A117" s="166">
        <f t="shared" si="12"/>
        <v>59</v>
      </c>
      <c r="C117" s="528" t="s">
        <v>950</v>
      </c>
      <c r="D117" s="188">
        <f t="shared" si="10"/>
        <v>0</v>
      </c>
      <c r="E117" s="188">
        <f t="shared" si="10"/>
        <v>56308.919967770256</v>
      </c>
      <c r="F117" s="188">
        <f t="shared" si="10"/>
        <v>828005.04526930256</v>
      </c>
      <c r="G117" s="188">
        <f t="shared" si="10"/>
        <v>4851117.819474184</v>
      </c>
      <c r="H117" s="186">
        <f t="shared" si="10"/>
        <v>704856.91692480864</v>
      </c>
      <c r="I117" s="186">
        <f t="shared" si="10"/>
        <v>-602788.05947920703</v>
      </c>
      <c r="J117" s="186">
        <f t="shared" si="10"/>
        <v>718318.59223105828</v>
      </c>
      <c r="K117" s="188">
        <f t="shared" si="10"/>
        <v>61645.469819181541</v>
      </c>
      <c r="L117" s="188">
        <f t="shared" si="10"/>
        <v>711326.28661396459</v>
      </c>
      <c r="M117" s="186">
        <f t="shared" si="10"/>
        <v>28954.080136255172</v>
      </c>
      <c r="N117" s="573">
        <f t="shared" si="11"/>
        <v>7357745.0709573179</v>
      </c>
    </row>
    <row r="118" spans="1:14" x14ac:dyDescent="0.2">
      <c r="A118" s="166">
        <f t="shared" si="12"/>
        <v>60</v>
      </c>
      <c r="C118" s="531" t="s">
        <v>951</v>
      </c>
      <c r="D118" s="188">
        <f t="shared" si="10"/>
        <v>0</v>
      </c>
      <c r="E118" s="188">
        <f t="shared" si="10"/>
        <v>53021.541309230117</v>
      </c>
      <c r="F118" s="188">
        <f t="shared" si="10"/>
        <v>47178.49812226824</v>
      </c>
      <c r="G118" s="188">
        <f t="shared" si="10"/>
        <v>2907798.8430038122</v>
      </c>
      <c r="H118" s="186">
        <f t="shared" si="10"/>
        <v>-1821097.4774084226</v>
      </c>
      <c r="I118" s="186">
        <f t="shared" si="10"/>
        <v>1161791.441157487</v>
      </c>
      <c r="J118" s="186">
        <f t="shared" si="10"/>
        <v>248626.18907058239</v>
      </c>
      <c r="K118" s="188">
        <f t="shared" si="10"/>
        <v>76482.714590483447</v>
      </c>
      <c r="L118" s="188">
        <f t="shared" si="10"/>
        <v>194676.54942629812</v>
      </c>
      <c r="M118" s="188">
        <f t="shared" si="10"/>
        <v>-27491.431229195252</v>
      </c>
      <c r="N118" s="573">
        <f t="shared" si="11"/>
        <v>2840986.8680425435</v>
      </c>
    </row>
    <row r="119" spans="1:14" x14ac:dyDescent="0.2">
      <c r="A119" s="166">
        <f t="shared" si="12"/>
        <v>61</v>
      </c>
      <c r="C119" s="531" t="s">
        <v>952</v>
      </c>
      <c r="D119" s="188">
        <f t="shared" si="10"/>
        <v>0</v>
      </c>
      <c r="E119" s="188">
        <f t="shared" si="10"/>
        <v>-23786.111426665186</v>
      </c>
      <c r="F119" s="188">
        <f t="shared" si="10"/>
        <v>63901.016757952515</v>
      </c>
      <c r="G119" s="188">
        <f t="shared" si="10"/>
        <v>-1389923.2735701352</v>
      </c>
      <c r="H119" s="186">
        <f t="shared" si="10"/>
        <v>-1071519.7662354871</v>
      </c>
      <c r="I119" s="186">
        <f t="shared" si="10"/>
        <v>803221.39868510398</v>
      </c>
      <c r="J119" s="186">
        <f t="shared" si="10"/>
        <v>556919.34863531031</v>
      </c>
      <c r="K119" s="188">
        <f t="shared" si="10"/>
        <v>72380.40237609233</v>
      </c>
      <c r="L119" s="188">
        <f t="shared" si="10"/>
        <v>-22548.856930216818</v>
      </c>
      <c r="M119" s="186">
        <f t="shared" si="10"/>
        <v>13726.00155128348</v>
      </c>
      <c r="N119" s="573">
        <f t="shared" si="11"/>
        <v>-997629.84015676193</v>
      </c>
    </row>
    <row r="120" spans="1:14" x14ac:dyDescent="0.2">
      <c r="A120" s="166">
        <f t="shared" si="12"/>
        <v>62</v>
      </c>
      <c r="C120" s="528" t="s">
        <v>953</v>
      </c>
      <c r="D120" s="188">
        <f t="shared" si="10"/>
        <v>0</v>
      </c>
      <c r="E120" s="188">
        <f t="shared" si="10"/>
        <v>43924.032431432774</v>
      </c>
      <c r="F120" s="188">
        <f t="shared" si="10"/>
        <v>191935.49573858455</v>
      </c>
      <c r="G120" s="188">
        <f t="shared" si="10"/>
        <v>-1084798.3786255801</v>
      </c>
      <c r="H120" s="186">
        <f t="shared" si="10"/>
        <v>1019624.7019260586</v>
      </c>
      <c r="I120" s="186">
        <f t="shared" si="10"/>
        <v>-976569.40216989513</v>
      </c>
      <c r="J120" s="186">
        <f t="shared" si="10"/>
        <v>2794215.9587971624</v>
      </c>
      <c r="K120" s="188">
        <f t="shared" si="10"/>
        <v>-11127.140411431174</v>
      </c>
      <c r="L120" s="188">
        <f t="shared" si="10"/>
        <v>300373.27383007319</v>
      </c>
      <c r="M120" s="186">
        <f t="shared" si="10"/>
        <v>-636782.08878680947</v>
      </c>
      <c r="N120" s="573">
        <f t="shared" si="11"/>
        <v>1640796.4527295956</v>
      </c>
    </row>
    <row r="121" spans="1:14" x14ac:dyDescent="0.2">
      <c r="A121" s="166">
        <f t="shared" si="12"/>
        <v>63</v>
      </c>
      <c r="C121" s="528" t="s">
        <v>954</v>
      </c>
      <c r="D121" s="188">
        <f t="shared" si="10"/>
        <v>0</v>
      </c>
      <c r="E121" s="188">
        <f t="shared" si="10"/>
        <v>44533.852619681275</v>
      </c>
      <c r="F121" s="188">
        <f t="shared" si="10"/>
        <v>-51339.067131791264</v>
      </c>
      <c r="G121" s="188">
        <f t="shared" si="10"/>
        <v>1117252.9775895933</v>
      </c>
      <c r="H121" s="186">
        <f t="shared" si="10"/>
        <v>-4008542.9200020912</v>
      </c>
      <c r="I121" s="186">
        <f t="shared" si="10"/>
        <v>-4182319.840469324</v>
      </c>
      <c r="J121" s="186">
        <f t="shared" si="10"/>
        <v>-2019487.9377914064</v>
      </c>
      <c r="K121" s="188">
        <f t="shared" si="10"/>
        <v>12294.096061418091</v>
      </c>
      <c r="L121" s="188">
        <f t="shared" si="10"/>
        <v>117825.42844862409</v>
      </c>
      <c r="M121" s="186">
        <f t="shared" si="10"/>
        <v>-439704.97081154631</v>
      </c>
      <c r="N121" s="573">
        <f t="shared" si="11"/>
        <v>-9409488.3814868424</v>
      </c>
    </row>
    <row r="122" spans="1:14" x14ac:dyDescent="0.2">
      <c r="A122" s="166">
        <f t="shared" si="12"/>
        <v>64</v>
      </c>
      <c r="C122" s="531" t="s">
        <v>955</v>
      </c>
      <c r="D122" s="181">
        <f t="shared" si="10"/>
        <v>0</v>
      </c>
      <c r="E122" s="181">
        <f t="shared" si="10"/>
        <v>44225.245611619932</v>
      </c>
      <c r="F122" s="181">
        <f t="shared" si="10"/>
        <v>-114459.02958381281</v>
      </c>
      <c r="G122" s="181">
        <f t="shared" si="10"/>
        <v>-171310.95860604476</v>
      </c>
      <c r="H122" s="178">
        <f t="shared" si="10"/>
        <v>-957483.75410313345</v>
      </c>
      <c r="I122" s="178">
        <f t="shared" si="10"/>
        <v>-2935349.3016693341</v>
      </c>
      <c r="J122" s="178">
        <f t="shared" si="10"/>
        <v>-1114722.8152695457</v>
      </c>
      <c r="K122" s="181">
        <f t="shared" si="10"/>
        <v>-82501.941769206445</v>
      </c>
      <c r="L122" s="181">
        <f t="shared" si="10"/>
        <v>500233.55814747367</v>
      </c>
      <c r="M122" s="178">
        <f t="shared" si="10"/>
        <v>133661.7566927521</v>
      </c>
      <c r="N122" s="575">
        <f t="shared" si="11"/>
        <v>-4697707.2405492319</v>
      </c>
    </row>
    <row r="123" spans="1:14" x14ac:dyDescent="0.2">
      <c r="A123" s="166">
        <f t="shared" si="12"/>
        <v>65</v>
      </c>
      <c r="C123" s="535" t="s">
        <v>166</v>
      </c>
      <c r="D123" s="527">
        <f>SUM(D111:D122)</f>
        <v>0</v>
      </c>
      <c r="E123" s="527">
        <f t="shared" ref="E123:M123" si="13">SUM(E111:E122)</f>
        <v>526011.58142685192</v>
      </c>
      <c r="F123" s="527">
        <f t="shared" si="13"/>
        <v>2782396.8770244406</v>
      </c>
      <c r="G123" s="527">
        <f t="shared" si="13"/>
        <v>32443238.240470428</v>
      </c>
      <c r="H123" s="573">
        <f t="shared" si="13"/>
        <v>-19292146.187650949</v>
      </c>
      <c r="I123" s="573">
        <f t="shared" si="13"/>
        <v>-7528099.5654438008</v>
      </c>
      <c r="J123" s="573">
        <f t="shared" si="13"/>
        <v>2301646.7914949413</v>
      </c>
      <c r="K123" s="527">
        <f t="shared" si="13"/>
        <v>856725.46316163638</v>
      </c>
      <c r="L123" s="527">
        <f t="shared" si="13"/>
        <v>3907929.2020124276</v>
      </c>
      <c r="M123" s="573">
        <f t="shared" si="13"/>
        <v>4910099.5230566598</v>
      </c>
      <c r="N123" s="573">
        <f>SUM(N111:N122)</f>
        <v>20907801.925552648</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173">
        <f t="shared" ref="D129:M129" si="14">D24-D12</f>
        <v>0</v>
      </c>
      <c r="E129" s="221">
        <f t="shared" si="14"/>
        <v>2315759.2594029941</v>
      </c>
      <c r="F129" s="179">
        <f t="shared" si="14"/>
        <v>8248694.4429734573</v>
      </c>
      <c r="G129" s="179">
        <f t="shared" si="14"/>
        <v>64877762.836678505</v>
      </c>
      <c r="H129" s="221">
        <f t="shared" si="14"/>
        <v>10719288.651055038</v>
      </c>
      <c r="I129" s="221">
        <f t="shared" si="14"/>
        <v>7559934.2055862844</v>
      </c>
      <c r="J129" s="221">
        <f t="shared" si="14"/>
        <v>25254978.391413748</v>
      </c>
      <c r="K129" s="221">
        <f t="shared" si="14"/>
        <v>4391.8328716060059</v>
      </c>
      <c r="L129" s="221">
        <f t="shared" si="14"/>
        <v>-3366563.0015699659</v>
      </c>
      <c r="M129" s="221">
        <f t="shared" si="14"/>
        <v>4993364.7887430843</v>
      </c>
      <c r="N129" s="179">
        <f>SUM(D129:M129)</f>
        <v>120607611.40715474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2412811.018573151</v>
      </c>
      <c r="F133" s="221">
        <f t="shared" si="15"/>
        <v>9933035.4422538597</v>
      </c>
      <c r="G133" s="221">
        <f t="shared" si="15"/>
        <v>68842174.158471212</v>
      </c>
      <c r="H133" s="179">
        <f t="shared" si="15"/>
        <v>36205909.856909961</v>
      </c>
      <c r="I133" s="179">
        <f t="shared" si="15"/>
        <v>5835229.7726240624</v>
      </c>
      <c r="J133" s="179">
        <f t="shared" si="15"/>
        <v>24220004.799519442</v>
      </c>
      <c r="K133" s="221">
        <f t="shared" si="15"/>
        <v>3535.577063694288</v>
      </c>
      <c r="L133" s="221">
        <f t="shared" si="15"/>
        <v>846959.10015279776</v>
      </c>
      <c r="M133" s="179">
        <f t="shared" si="15"/>
        <v>981645.93402507086</v>
      </c>
      <c r="N133" s="179">
        <f>SUM(D133:M133)</f>
        <v>149281305.65959322</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-97051.759170156904</v>
      </c>
      <c r="F136" s="179">
        <f t="shared" si="16"/>
        <v>-1684340.9992804024</v>
      </c>
      <c r="G136" s="179">
        <f t="shared" si="16"/>
        <v>-3964411.3217927068</v>
      </c>
      <c r="H136" s="179">
        <f t="shared" si="16"/>
        <v>-25486621.205854923</v>
      </c>
      <c r="I136" s="179">
        <f t="shared" si="16"/>
        <v>1724704.432962222</v>
      </c>
      <c r="J136" s="179">
        <f t="shared" si="16"/>
        <v>1034973.5918943062</v>
      </c>
      <c r="K136" s="221">
        <f t="shared" si="16"/>
        <v>856.25580791171797</v>
      </c>
      <c r="L136" s="221">
        <f t="shared" si="16"/>
        <v>-4213522.1017227639</v>
      </c>
      <c r="M136" s="179">
        <f t="shared" si="16"/>
        <v>4011718.8547180137</v>
      </c>
      <c r="N136" s="179">
        <f>SUM(D136:M136)</f>
        <v>-28673694.252438501</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944</v>
      </c>
      <c r="D144" s="529">
        <v>0</v>
      </c>
      <c r="E144" s="529">
        <f t="shared" ref="E144:M155" si="17">E111*(E$136/E$123)</f>
        <v>-9945.4824577641903</v>
      </c>
      <c r="F144" s="573">
        <f t="shared" si="17"/>
        <v>-108606.9558557367</v>
      </c>
      <c r="G144" s="573">
        <f t="shared" si="17"/>
        <v>-132485.92743049285</v>
      </c>
      <c r="H144" s="573">
        <f t="shared" si="17"/>
        <v>-6299398.5381176881</v>
      </c>
      <c r="I144" s="573">
        <f t="shared" si="17"/>
        <v>-158365.34618174512</v>
      </c>
      <c r="J144" s="573">
        <f t="shared" si="17"/>
        <v>-524351.46482039208</v>
      </c>
      <c r="K144" s="529">
        <f t="shared" si="17"/>
        <v>342.32790200449739</v>
      </c>
      <c r="L144" s="529">
        <f t="shared" si="17"/>
        <v>-454052.07418471092</v>
      </c>
      <c r="M144" s="573">
        <f t="shared" si="17"/>
        <v>4811657.4909713222</v>
      </c>
      <c r="N144" s="573">
        <f t="shared" ref="N144:N155" si="18">SUM(D144:M144)</f>
        <v>-2875205.9701752039</v>
      </c>
    </row>
    <row r="145" spans="1:14" x14ac:dyDescent="0.2">
      <c r="A145" s="166">
        <f t="shared" ref="A145:A156" si="19">A144+1</f>
        <v>70</v>
      </c>
      <c r="C145" s="531" t="s">
        <v>945</v>
      </c>
      <c r="D145" s="529">
        <v>0</v>
      </c>
      <c r="E145" s="529">
        <f t="shared" si="17"/>
        <v>-2571.7850301189305</v>
      </c>
      <c r="F145" s="573">
        <f t="shared" si="17"/>
        <v>-10867.373520639321</v>
      </c>
      <c r="G145" s="573">
        <f t="shared" si="17"/>
        <v>-282596.41990098939</v>
      </c>
      <c r="H145" s="573">
        <f t="shared" si="17"/>
        <v>-5505248.9171337225</v>
      </c>
      <c r="I145" s="573">
        <f t="shared" si="17"/>
        <v>-221480.94508446581</v>
      </c>
      <c r="J145" s="573">
        <f t="shared" si="17"/>
        <v>185311.28414999624</v>
      </c>
      <c r="K145" s="529">
        <f t="shared" si="17"/>
        <v>75.925943893091116</v>
      </c>
      <c r="L145" s="529">
        <f t="shared" si="17"/>
        <v>-94687.45817877198</v>
      </c>
      <c r="M145" s="573">
        <f t="shared" si="17"/>
        <v>-12093.965606110718</v>
      </c>
      <c r="N145" s="573">
        <f t="shared" si="18"/>
        <v>-5944159.6543609295</v>
      </c>
    </row>
    <row r="146" spans="1:14" x14ac:dyDescent="0.2">
      <c r="A146" s="166">
        <f t="shared" si="19"/>
        <v>71</v>
      </c>
      <c r="C146" s="531" t="s">
        <v>946</v>
      </c>
      <c r="D146" s="529">
        <v>0</v>
      </c>
      <c r="E146" s="529">
        <f t="shared" si="17"/>
        <v>-9896.6987290174893</v>
      </c>
      <c r="F146" s="573">
        <f t="shared" si="17"/>
        <v>13881.761202500866</v>
      </c>
      <c r="G146" s="573">
        <f t="shared" si="17"/>
        <v>-322829.09377711132</v>
      </c>
      <c r="H146" s="573">
        <f t="shared" si="17"/>
        <v>-7927.0296538282419</v>
      </c>
      <c r="I146" s="573">
        <f t="shared" si="17"/>
        <v>-50428.822287239964</v>
      </c>
      <c r="J146" s="573">
        <f t="shared" si="17"/>
        <v>88274.158070336212</v>
      </c>
      <c r="K146" s="529">
        <f t="shared" si="17"/>
        <v>77.41328652774051</v>
      </c>
      <c r="L146" s="529">
        <f t="shared" si="17"/>
        <v>-180622.39327932138</v>
      </c>
      <c r="M146" s="529">
        <f t="shared" si="17"/>
        <v>22910.731141718901</v>
      </c>
      <c r="N146" s="573">
        <f t="shared" si="18"/>
        <v>-446559.97402543464</v>
      </c>
    </row>
    <row r="147" spans="1:14" x14ac:dyDescent="0.2">
      <c r="A147" s="166">
        <f t="shared" si="19"/>
        <v>72</v>
      </c>
      <c r="C147" s="528" t="s">
        <v>947</v>
      </c>
      <c r="D147" s="529">
        <v>0</v>
      </c>
      <c r="E147" s="529">
        <f t="shared" si="17"/>
        <v>-9705.0962299309849</v>
      </c>
      <c r="F147" s="573">
        <f t="shared" si="17"/>
        <v>-109411.19567940749</v>
      </c>
      <c r="G147" s="573">
        <f t="shared" si="17"/>
        <v>10353.973139435835</v>
      </c>
      <c r="H147" s="573">
        <f t="shared" si="17"/>
        <v>-8701018.2364996858</v>
      </c>
      <c r="I147" s="573">
        <f t="shared" si="17"/>
        <v>-9921.4224730565547</v>
      </c>
      <c r="J147" s="573">
        <f t="shared" si="17"/>
        <v>940571.71777292585</v>
      </c>
      <c r="K147" s="529">
        <f t="shared" si="17"/>
        <v>77.325200429680848</v>
      </c>
      <c r="L147" s="529">
        <f t="shared" si="17"/>
        <v>-493593.68550384336</v>
      </c>
      <c r="M147" s="529">
        <f t="shared" si="17"/>
        <v>-83618.344723299117</v>
      </c>
      <c r="N147" s="573">
        <f t="shared" si="18"/>
        <v>-8456264.9649964292</v>
      </c>
    </row>
    <row r="148" spans="1:14" x14ac:dyDescent="0.2">
      <c r="A148" s="166">
        <f t="shared" si="19"/>
        <v>73</v>
      </c>
      <c r="C148" s="531" t="s">
        <v>948</v>
      </c>
      <c r="D148" s="529">
        <v>0</v>
      </c>
      <c r="E148" s="529">
        <f t="shared" si="17"/>
        <v>-9765.9278028160807</v>
      </c>
      <c r="F148" s="573">
        <f t="shared" si="17"/>
        <v>-197784.72219072725</v>
      </c>
      <c r="G148" s="573">
        <f t="shared" si="17"/>
        <v>-297809.4628118914</v>
      </c>
      <c r="H148" s="573">
        <f t="shared" si="17"/>
        <v>4379907.2327782204</v>
      </c>
      <c r="I148" s="573">
        <f t="shared" si="17"/>
        <v>103798.42798958854</v>
      </c>
      <c r="J148" s="573">
        <f t="shared" si="17"/>
        <v>57721.330779374017</v>
      </c>
      <c r="K148" s="529">
        <f t="shared" si="17"/>
        <v>78.908332727484478</v>
      </c>
      <c r="L148" s="529">
        <f t="shared" si="17"/>
        <v>-506654.36797522893</v>
      </c>
      <c r="M148" s="529">
        <f t="shared" si="17"/>
        <v>55803.63256353965</v>
      </c>
      <c r="N148" s="573">
        <f t="shared" si="18"/>
        <v>3585295.0516627869</v>
      </c>
    </row>
    <row r="149" spans="1:14" x14ac:dyDescent="0.2">
      <c r="A149" s="166">
        <f t="shared" si="19"/>
        <v>74</v>
      </c>
      <c r="C149" s="531" t="s">
        <v>949</v>
      </c>
      <c r="D149" s="529">
        <v>0</v>
      </c>
      <c r="E149" s="529">
        <f t="shared" si="17"/>
        <v>-14902.710806781692</v>
      </c>
      <c r="F149" s="573">
        <f t="shared" si="17"/>
        <v>-687249.48563285673</v>
      </c>
      <c r="G149" s="573">
        <f t="shared" si="17"/>
        <v>-2177750.9100072999</v>
      </c>
      <c r="H149" s="573">
        <f t="shared" si="17"/>
        <v>-1249168.0282123496</v>
      </c>
      <c r="I149" s="573">
        <f t="shared" si="17"/>
        <v>518783.14411767258</v>
      </c>
      <c r="J149" s="573">
        <f t="shared" si="17"/>
        <v>-244899.88408789341</v>
      </c>
      <c r="K149" s="529">
        <f t="shared" si="17"/>
        <v>75.252354381943775</v>
      </c>
      <c r="L149" s="529">
        <f t="shared" si="17"/>
        <v>-541121.68229141459</v>
      </c>
      <c r="M149" s="573">
        <f t="shared" si="17"/>
        <v>-25029.89139069333</v>
      </c>
      <c r="N149" s="573">
        <f t="shared" si="18"/>
        <v>-4421264.1959572351</v>
      </c>
    </row>
    <row r="150" spans="1:14" x14ac:dyDescent="0.2">
      <c r="A150" s="166">
        <f t="shared" si="19"/>
        <v>75</v>
      </c>
      <c r="C150" s="528" t="s">
        <v>950</v>
      </c>
      <c r="D150" s="529">
        <v>0</v>
      </c>
      <c r="E150" s="529">
        <f t="shared" si="17"/>
        <v>-10389.276458551956</v>
      </c>
      <c r="F150" s="573">
        <f t="shared" si="17"/>
        <v>-501237.92794418859</v>
      </c>
      <c r="G150" s="573">
        <f t="shared" si="17"/>
        <v>-592783.81104644446</v>
      </c>
      <c r="H150" s="573">
        <f t="shared" si="17"/>
        <v>931177.9555915097</v>
      </c>
      <c r="I150" s="573">
        <f t="shared" si="17"/>
        <v>138100.09143512105</v>
      </c>
      <c r="J150" s="573">
        <f t="shared" si="17"/>
        <v>323003.8493625549</v>
      </c>
      <c r="K150" s="529">
        <f t="shared" si="17"/>
        <v>61.611675891279106</v>
      </c>
      <c r="L150" s="529">
        <f t="shared" si="17"/>
        <v>-766950.69824726821</v>
      </c>
      <c r="M150" s="573">
        <f t="shared" si="17"/>
        <v>23656.471454028979</v>
      </c>
      <c r="N150" s="573">
        <f t="shared" si="18"/>
        <v>-455361.73417734721</v>
      </c>
    </row>
    <row r="151" spans="1:14" x14ac:dyDescent="0.2">
      <c r="A151" s="166">
        <f t="shared" si="19"/>
        <v>76</v>
      </c>
      <c r="C151" s="531" t="s">
        <v>951</v>
      </c>
      <c r="D151" s="529">
        <v>0</v>
      </c>
      <c r="E151" s="529">
        <f t="shared" si="17"/>
        <v>-9782.7387070364639</v>
      </c>
      <c r="F151" s="573">
        <f t="shared" si="17"/>
        <v>-28559.792935359834</v>
      </c>
      <c r="G151" s="573">
        <f t="shared" si="17"/>
        <v>-355319.360208628</v>
      </c>
      <c r="H151" s="573">
        <f t="shared" si="17"/>
        <v>-2405829.871606308</v>
      </c>
      <c r="I151" s="573">
        <f t="shared" si="17"/>
        <v>-266169.015343484</v>
      </c>
      <c r="J151" s="573">
        <f t="shared" si="17"/>
        <v>111798.88282260754</v>
      </c>
      <c r="K151" s="529">
        <f t="shared" si="17"/>
        <v>76.440786913555456</v>
      </c>
      <c r="L151" s="529">
        <f t="shared" si="17"/>
        <v>-209899.89871679936</v>
      </c>
      <c r="M151" s="529">
        <f t="shared" si="17"/>
        <v>-22461.437387869733</v>
      </c>
      <c r="N151" s="573">
        <f t="shared" si="18"/>
        <v>-3186146.7912959643</v>
      </c>
    </row>
    <row r="152" spans="1:14" x14ac:dyDescent="0.2">
      <c r="A152" s="166">
        <f t="shared" si="19"/>
        <v>77</v>
      </c>
      <c r="C152" s="531" t="s">
        <v>952</v>
      </c>
      <c r="D152" s="529">
        <v>0</v>
      </c>
      <c r="E152" s="529">
        <f t="shared" si="17"/>
        <v>4388.6561423481671</v>
      </c>
      <c r="F152" s="573">
        <f t="shared" si="17"/>
        <v>-38682.872062531445</v>
      </c>
      <c r="G152" s="573">
        <f t="shared" si="17"/>
        <v>169842.09533347518</v>
      </c>
      <c r="H152" s="573">
        <f t="shared" si="17"/>
        <v>-1415571.8151312291</v>
      </c>
      <c r="I152" s="573">
        <f t="shared" si="17"/>
        <v>-184019.81734159583</v>
      </c>
      <c r="J152" s="573">
        <f t="shared" si="17"/>
        <v>250428.00693070257</v>
      </c>
      <c r="K152" s="529">
        <f t="shared" si="17"/>
        <v>72.340723578824324</v>
      </c>
      <c r="L152" s="529">
        <f t="shared" si="17"/>
        <v>24312.136206338295</v>
      </c>
      <c r="M152" s="529">
        <f t="shared" si="17"/>
        <v>11214.611631516053</v>
      </c>
      <c r="N152" s="573">
        <f t="shared" si="18"/>
        <v>-1178016.6575673975</v>
      </c>
    </row>
    <row r="153" spans="1:14" x14ac:dyDescent="0.2">
      <c r="A153" s="166">
        <f t="shared" si="19"/>
        <v>78</v>
      </c>
      <c r="C153" s="528" t="s">
        <v>953</v>
      </c>
      <c r="D153" s="529">
        <v>0</v>
      </c>
      <c r="E153" s="529">
        <f t="shared" si="17"/>
        <v>-8104.2029640375549</v>
      </c>
      <c r="F153" s="573">
        <f t="shared" si="17"/>
        <v>-116189.32847402962</v>
      </c>
      <c r="G153" s="573">
        <f t="shared" si="17"/>
        <v>132557.26639275398</v>
      </c>
      <c r="H153" s="573">
        <f t="shared" si="17"/>
        <v>1347013.8727621986</v>
      </c>
      <c r="I153" s="573">
        <f t="shared" si="17"/>
        <v>223734.23230865461</v>
      </c>
      <c r="J153" s="573">
        <f t="shared" si="17"/>
        <v>1256465.4742382735</v>
      </c>
      <c r="K153" s="529">
        <f t="shared" si="17"/>
        <v>-11.121040534474648</v>
      </c>
      <c r="L153" s="529">
        <f t="shared" si="17"/>
        <v>-323861.91320919746</v>
      </c>
      <c r="M153" s="573">
        <f t="shared" si="17"/>
        <v>-520272.6950720679</v>
      </c>
      <c r="N153" s="573">
        <f t="shared" si="18"/>
        <v>1991331.584942013</v>
      </c>
    </row>
    <row r="154" spans="1:14" x14ac:dyDescent="0.2">
      <c r="A154" s="166">
        <f t="shared" si="19"/>
        <v>79</v>
      </c>
      <c r="C154" s="528" t="s">
        <v>954</v>
      </c>
      <c r="D154" s="529">
        <v>0</v>
      </c>
      <c r="E154" s="529">
        <f t="shared" si="17"/>
        <v>-8216.7178289887233</v>
      </c>
      <c r="F154" s="573">
        <f t="shared" si="17"/>
        <v>31078.418880113408</v>
      </c>
      <c r="G154" s="573">
        <f t="shared" si="17"/>
        <v>-136523.06594160042</v>
      </c>
      <c r="H154" s="573">
        <f t="shared" si="17"/>
        <v>-5295637.613139227</v>
      </c>
      <c r="I154" s="573">
        <f t="shared" si="17"/>
        <v>958178.8213899713</v>
      </c>
      <c r="J154" s="573">
        <f t="shared" si="17"/>
        <v>-908096.19116478181</v>
      </c>
      <c r="K154" s="529">
        <f t="shared" si="17"/>
        <v>12.287356461620348</v>
      </c>
      <c r="L154" s="529">
        <f t="shared" si="17"/>
        <v>-127039.16095961374</v>
      </c>
      <c r="M154" s="573">
        <f t="shared" si="17"/>
        <v>-359253.96494199714</v>
      </c>
      <c r="N154" s="573">
        <f t="shared" si="18"/>
        <v>-5845497.186349662</v>
      </c>
    </row>
    <row r="155" spans="1:14" x14ac:dyDescent="0.2">
      <c r="A155" s="166">
        <f t="shared" si="19"/>
        <v>80</v>
      </c>
      <c r="C155" s="531" t="s">
        <v>955</v>
      </c>
      <c r="D155" s="181">
        <v>0</v>
      </c>
      <c r="E155" s="534">
        <f t="shared" si="17"/>
        <v>-8159.7782974610191</v>
      </c>
      <c r="F155" s="575">
        <f t="shared" si="17"/>
        <v>69288.474932460522</v>
      </c>
      <c r="G155" s="575">
        <f t="shared" si="17"/>
        <v>20933.39446608576</v>
      </c>
      <c r="H155" s="575">
        <f t="shared" si="17"/>
        <v>-1264920.2174928088</v>
      </c>
      <c r="I155" s="575">
        <f t="shared" si="17"/>
        <v>672495.08443280123</v>
      </c>
      <c r="J155" s="575">
        <f t="shared" si="17"/>
        <v>-501253.5721593973</v>
      </c>
      <c r="K155" s="534">
        <f t="shared" si="17"/>
        <v>-82.456714363524611</v>
      </c>
      <c r="L155" s="534">
        <f t="shared" si="17"/>
        <v>-539350.90538293135</v>
      </c>
      <c r="M155" s="575">
        <f t="shared" si="17"/>
        <v>109206.21607792564</v>
      </c>
      <c r="N155" s="575">
        <f t="shared" si="18"/>
        <v>-1441843.7601376888</v>
      </c>
    </row>
    <row r="156" spans="1:14" x14ac:dyDescent="0.2">
      <c r="A156" s="166">
        <f t="shared" si="19"/>
        <v>81</v>
      </c>
      <c r="C156" s="535" t="s">
        <v>166</v>
      </c>
      <c r="D156" s="527">
        <f>SUM(D144:D155)</f>
        <v>0</v>
      </c>
      <c r="E156" s="527">
        <f t="shared" ref="E156:M156" si="20">SUM(E144:E155)</f>
        <v>-97051.759170156918</v>
      </c>
      <c r="F156" s="573">
        <f t="shared" si="20"/>
        <v>-1684340.999280402</v>
      </c>
      <c r="G156" s="573">
        <f t="shared" si="20"/>
        <v>-3964411.3217927068</v>
      </c>
      <c r="H156" s="573">
        <f t="shared" si="20"/>
        <v>-25486621.205854915</v>
      </c>
      <c r="I156" s="573">
        <f t="shared" si="20"/>
        <v>1724704.432962222</v>
      </c>
      <c r="J156" s="573">
        <f t="shared" si="20"/>
        <v>1034973.5918943059</v>
      </c>
      <c r="K156" s="527">
        <f t="shared" si="20"/>
        <v>856.25580791171797</v>
      </c>
      <c r="L156" s="527">
        <f t="shared" si="20"/>
        <v>-4213522.1017227629</v>
      </c>
      <c r="M156" s="573">
        <f t="shared" si="20"/>
        <v>4011718.8547180137</v>
      </c>
      <c r="N156" s="573">
        <f>SUM(N144:N155)</f>
        <v>-28673694.252438489</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2014 True Up TRR)&amp;RTO12 Draft Annual Update
Attachment 4
WP-Schedule 3-One Time Adj True Up Adj
Page &amp;P of &amp;N</oddHeader>
    <oddFooter>&amp;R&amp;A</oddFooter>
  </headerFooter>
  <rowBreaks count="3" manualBreakCount="3">
    <brk id="36" max="16383" man="1"/>
    <brk id="84" max="16383" man="1"/>
    <brk id="124" max="16383" man="1"/>
  </rowBreaks>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680873754.19000018</v>
      </c>
      <c r="F26" s="173">
        <v>922157277.53692317</v>
      </c>
      <c r="G26" s="173">
        <v>-444598582.20246124</v>
      </c>
      <c r="H26" s="176" t="s">
        <v>1061</v>
      </c>
      <c r="I26" s="163"/>
    </row>
    <row r="27" spans="1:10" x14ac:dyDescent="0.2">
      <c r="A27" s="166">
        <f t="shared" ref="A27:A37" si="0">A26+1</f>
        <v>2</v>
      </c>
      <c r="B27" s="162"/>
      <c r="C27" s="174" t="s">
        <v>844</v>
      </c>
      <c r="D27" s="163"/>
      <c r="E27" s="173">
        <v>89732.969999994501</v>
      </c>
      <c r="F27" s="173">
        <v>447038.94076922658</v>
      </c>
      <c r="G27" s="173">
        <v>-89732.970000001631</v>
      </c>
      <c r="H27" s="176" t="s">
        <v>1062</v>
      </c>
      <c r="I27" s="163"/>
    </row>
    <row r="28" spans="1:10" x14ac:dyDescent="0.2">
      <c r="A28" s="166">
        <f t="shared" si="0"/>
        <v>3</v>
      </c>
      <c r="B28" s="162"/>
      <c r="C28" s="174" t="s">
        <v>845</v>
      </c>
      <c r="D28" s="163"/>
      <c r="E28" s="173">
        <v>1.1641532182693481E-10</v>
      </c>
      <c r="F28" s="173">
        <v>8.9550247559180631E-11</v>
      </c>
      <c r="G28" s="173">
        <v>-1.2732925824820995E-11</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3445382.67</v>
      </c>
      <c r="F30" s="173">
        <v>2835612.6969230776</v>
      </c>
      <c r="G30" s="173">
        <v>-3445382.6699999995</v>
      </c>
      <c r="H30" s="176" t="s">
        <v>1065</v>
      </c>
      <c r="I30" s="163"/>
    </row>
    <row r="31" spans="1:10" x14ac:dyDescent="0.2">
      <c r="A31" s="166">
        <f t="shared" si="0"/>
        <v>6</v>
      </c>
      <c r="B31" s="162"/>
      <c r="C31" s="174" t="s">
        <v>848</v>
      </c>
      <c r="D31" s="163"/>
      <c r="E31" s="173">
        <v>23158.43</v>
      </c>
      <c r="F31" s="173">
        <v>30749308.23692308</v>
      </c>
      <c r="G31" s="173">
        <v>28423327.077384617</v>
      </c>
      <c r="H31" s="176" t="s">
        <v>1066</v>
      </c>
      <c r="I31" s="163"/>
    </row>
    <row r="32" spans="1:10" x14ac:dyDescent="0.2">
      <c r="A32" s="166">
        <f t="shared" si="0"/>
        <v>7</v>
      </c>
      <c r="B32" s="162"/>
      <c r="C32" s="174" t="s">
        <v>849</v>
      </c>
      <c r="D32" s="163"/>
      <c r="E32" s="173">
        <v>587963.36999999988</v>
      </c>
      <c r="F32" s="173">
        <v>146612.15692307689</v>
      </c>
      <c r="G32" s="173">
        <v>-587963.37</v>
      </c>
      <c r="H32" s="176" t="s">
        <v>1067</v>
      </c>
      <c r="I32" s="163"/>
    </row>
    <row r="33" spans="1:10" x14ac:dyDescent="0.2">
      <c r="A33" s="166">
        <f t="shared" si="0"/>
        <v>8</v>
      </c>
      <c r="B33" s="162"/>
      <c r="C33" s="174" t="s">
        <v>850</v>
      </c>
      <c r="D33" s="163"/>
      <c r="E33" s="173">
        <v>35254447.620000005</v>
      </c>
      <c r="F33" s="173">
        <v>27654574.163076933</v>
      </c>
      <c r="G33" s="173">
        <v>4243249.7180000171</v>
      </c>
      <c r="H33" s="176" t="s">
        <v>1068</v>
      </c>
      <c r="I33" s="163"/>
    </row>
    <row r="34" spans="1:10" x14ac:dyDescent="0.2">
      <c r="A34" s="166">
        <f t="shared" si="0"/>
        <v>9</v>
      </c>
      <c r="B34" s="162"/>
      <c r="C34" s="174" t="s">
        <v>851</v>
      </c>
      <c r="D34" s="163"/>
      <c r="E34" s="173">
        <v>36074030.560000017</v>
      </c>
      <c r="F34" s="173">
        <v>28929708.14618301</v>
      </c>
      <c r="G34" s="173">
        <v>86866530.226368934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756348469.81000018</v>
      </c>
      <c r="F37" s="221">
        <f>SUM(F26:F34)</f>
        <v>1012920131.8777215</v>
      </c>
      <c r="G37" s="221">
        <f>SUM(G26:G34)</f>
        <v>-329188554.1907078</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164469694.48049724</v>
      </c>
      <c r="F46" s="173">
        <v>0</v>
      </c>
      <c r="G46" s="173">
        <f>H84</f>
        <v>164469694.48049724</v>
      </c>
      <c r="H46" s="247" t="str">
        <f>"Line "&amp;A84&amp;", C4"</f>
        <v>Line 37, C4</v>
      </c>
    </row>
    <row r="47" spans="1:10" x14ac:dyDescent="0.2">
      <c r="A47" s="166">
        <f>A46+1</f>
        <v>14</v>
      </c>
      <c r="B47" s="162"/>
      <c r="C47" t="s">
        <v>860</v>
      </c>
      <c r="E47" s="250">
        <f>F47+G47</f>
        <v>2529460746.7329683</v>
      </c>
      <c r="F47" s="173">
        <f>E26</f>
        <v>680873754.19000018</v>
      </c>
      <c r="G47" s="173">
        <f>F84</f>
        <v>1848586992.542968</v>
      </c>
      <c r="H47" s="247" t="str">
        <f>"Line "&amp;A26&amp;", C1, and Line "&amp;A84&amp;", C2"</f>
        <v>Line 1, C1, and Line 37, C2</v>
      </c>
    </row>
    <row r="48" spans="1:10" x14ac:dyDescent="0.2">
      <c r="A48" s="166">
        <f>A47+1</f>
        <v>15</v>
      </c>
      <c r="B48" s="162"/>
      <c r="C48" s="223" t="s">
        <v>861</v>
      </c>
      <c r="E48" s="186">
        <f>F48+G48</f>
        <v>748977782.7807864</v>
      </c>
      <c r="F48" s="173">
        <f>E27</f>
        <v>89732.969999994501</v>
      </c>
      <c r="G48" s="179">
        <f>G84</f>
        <v>748888049.81078637</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3442908223.9942522</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188">
        <f>F60+G60</f>
        <v>166840626.68692559</v>
      </c>
      <c r="F60" s="173">
        <v>0</v>
      </c>
      <c r="G60" s="633">
        <f>H85</f>
        <v>166840626.68692559</v>
      </c>
      <c r="H60" s="247" t="str">
        <f>"Line "&amp;A85&amp;", C4"</f>
        <v>Line 38, C4</v>
      </c>
    </row>
    <row r="61" spans="1:8" x14ac:dyDescent="0.2">
      <c r="A61" s="166">
        <f>A60+1</f>
        <v>20</v>
      </c>
      <c r="B61" s="162"/>
      <c r="C61" t="s">
        <v>860</v>
      </c>
      <c r="E61" s="188">
        <f>F61+G61</f>
        <v>2282826100.8734198</v>
      </c>
      <c r="F61" s="173">
        <f>F26</f>
        <v>922157277.53692317</v>
      </c>
      <c r="G61" s="633">
        <f>F85</f>
        <v>1360668823.3364966</v>
      </c>
      <c r="H61" s="247" t="str">
        <f>"Line "&amp;A26&amp;", C2, and Line "&amp;A85&amp;", C2"</f>
        <v>Line 1, C2, and Line 38, C2</v>
      </c>
    </row>
    <row r="62" spans="1:8" x14ac:dyDescent="0.2">
      <c r="A62" s="166">
        <f>A61+1</f>
        <v>21</v>
      </c>
      <c r="B62" s="162"/>
      <c r="C62" s="223" t="s">
        <v>865</v>
      </c>
      <c r="E62" s="186">
        <f>F62+G62</f>
        <v>750893677.89609504</v>
      </c>
      <c r="F62" s="173">
        <f>F27</f>
        <v>447038.94076922658</v>
      </c>
      <c r="G62" s="634">
        <f>G85</f>
        <v>750446638.95532584</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3200560405.45644</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2013</v>
      </c>
      <c r="E72" s="598">
        <f>SUM(F72:H72)</f>
        <v>2179458147.2145991</v>
      </c>
      <c r="F72" s="641">
        <f>G117</f>
        <v>1273430194.4318445</v>
      </c>
      <c r="G72" s="642">
        <f>G157</f>
        <v>736815691.72147846</v>
      </c>
      <c r="H72" s="641">
        <f>G137</f>
        <v>169212261.06127623</v>
      </c>
      <c r="I72" s="217" t="s">
        <v>400</v>
      </c>
      <c r="J72" s="629" t="s">
        <v>873</v>
      </c>
    </row>
    <row r="73" spans="1:11" x14ac:dyDescent="0.2">
      <c r="A73" s="166">
        <f>A72+1</f>
        <v>26</v>
      </c>
      <c r="C73" s="58" t="s">
        <v>7</v>
      </c>
      <c r="D73" s="371">
        <v>2014</v>
      </c>
      <c r="E73" s="598">
        <f t="shared" ref="E73:E84" si="1">SUM(F73:H73)</f>
        <v>2177342480.3423481</v>
      </c>
      <c r="F73" s="641">
        <f t="shared" ref="F73:F84" si="2">G118</f>
        <v>1270918801.2459636</v>
      </c>
      <c r="G73" s="642">
        <f t="shared" ref="G73:G84" si="3">G158</f>
        <v>737606387.75722325</v>
      </c>
      <c r="H73" s="641">
        <f t="shared" ref="H73:H84" si="4">G138</f>
        <v>168817291.33916149</v>
      </c>
      <c r="I73" s="217" t="s">
        <v>400</v>
      </c>
      <c r="J73" s="247" t="s">
        <v>874</v>
      </c>
    </row>
    <row r="74" spans="1:11" x14ac:dyDescent="0.2">
      <c r="A74" s="166">
        <f t="shared" ref="A74:A85" si="5">A73+1</f>
        <v>27</v>
      </c>
      <c r="C74" s="53" t="s">
        <v>8</v>
      </c>
      <c r="D74" s="371">
        <v>2014</v>
      </c>
      <c r="E74" s="598">
        <f t="shared" si="1"/>
        <v>2194429966.9343953</v>
      </c>
      <c r="F74" s="641">
        <f t="shared" si="2"/>
        <v>1270703251.001148</v>
      </c>
      <c r="G74" s="642">
        <f t="shared" si="3"/>
        <v>755304394.31620073</v>
      </c>
      <c r="H74" s="641">
        <f t="shared" si="4"/>
        <v>168422321.61704671</v>
      </c>
      <c r="I74" s="217" t="s">
        <v>400</v>
      </c>
      <c r="J74" s="217" t="s">
        <v>875</v>
      </c>
      <c r="K74" s="166"/>
    </row>
    <row r="75" spans="1:11" x14ac:dyDescent="0.2">
      <c r="A75" s="166">
        <f t="shared" si="5"/>
        <v>28</v>
      </c>
      <c r="C75" s="53" t="s">
        <v>18</v>
      </c>
      <c r="D75" s="371">
        <v>2014</v>
      </c>
      <c r="E75" s="598">
        <f t="shared" si="1"/>
        <v>2191852829.0033097</v>
      </c>
      <c r="F75" s="641">
        <f t="shared" si="2"/>
        <v>1269707300.0208688</v>
      </c>
      <c r="G75" s="642">
        <f t="shared" si="3"/>
        <v>754118177.08750927</v>
      </c>
      <c r="H75" s="641">
        <f t="shared" si="4"/>
        <v>168027351.89493197</v>
      </c>
      <c r="I75" s="217" t="s">
        <v>400</v>
      </c>
      <c r="J75" s="217"/>
      <c r="K75" s="166"/>
    </row>
    <row r="76" spans="1:11" x14ac:dyDescent="0.2">
      <c r="A76" s="166">
        <f t="shared" si="5"/>
        <v>29</v>
      </c>
      <c r="C76" s="58" t="s">
        <v>9</v>
      </c>
      <c r="D76" s="371">
        <v>2014</v>
      </c>
      <c r="E76" s="598">
        <f t="shared" si="1"/>
        <v>2188942497.1714544</v>
      </c>
      <c r="F76" s="641">
        <f t="shared" si="2"/>
        <v>1267253317.3627827</v>
      </c>
      <c r="G76" s="642">
        <f t="shared" si="3"/>
        <v>754056797.63585448</v>
      </c>
      <c r="H76" s="641">
        <f t="shared" si="4"/>
        <v>167632382.17281723</v>
      </c>
      <c r="I76" s="217" t="s">
        <v>400</v>
      </c>
      <c r="J76" s="217"/>
      <c r="K76" s="166"/>
    </row>
    <row r="77" spans="1:11" x14ac:dyDescent="0.2">
      <c r="A77" s="166">
        <f t="shared" si="5"/>
        <v>30</v>
      </c>
      <c r="C77" s="53" t="s">
        <v>10</v>
      </c>
      <c r="D77" s="371">
        <v>2014</v>
      </c>
      <c r="E77" s="598">
        <f t="shared" si="1"/>
        <v>2221594089.1703486</v>
      </c>
      <c r="F77" s="641">
        <f t="shared" si="2"/>
        <v>1301086771.5764272</v>
      </c>
      <c r="G77" s="642">
        <f t="shared" si="3"/>
        <v>753272877.36321914</v>
      </c>
      <c r="H77" s="641">
        <f t="shared" si="4"/>
        <v>167234440.23070249</v>
      </c>
      <c r="I77" s="217" t="s">
        <v>400</v>
      </c>
      <c r="J77" s="217"/>
      <c r="K77" s="166"/>
    </row>
    <row r="78" spans="1:11" x14ac:dyDescent="0.2">
      <c r="A78" s="166">
        <f t="shared" si="5"/>
        <v>31</v>
      </c>
      <c r="C78" s="53" t="s">
        <v>383</v>
      </c>
      <c r="D78" s="371">
        <v>2014</v>
      </c>
      <c r="E78" s="598">
        <f t="shared" si="1"/>
        <v>2221011397.5334811</v>
      </c>
      <c r="F78" s="641">
        <f t="shared" si="2"/>
        <v>1300041597.3920431</v>
      </c>
      <c r="G78" s="642">
        <f t="shared" si="3"/>
        <v>754130323.5893364</v>
      </c>
      <c r="H78" s="641">
        <f t="shared" si="4"/>
        <v>166839476.55210173</v>
      </c>
      <c r="I78" s="217" t="s">
        <v>400</v>
      </c>
      <c r="J78" s="217"/>
      <c r="K78" s="166"/>
    </row>
    <row r="79" spans="1:11" x14ac:dyDescent="0.2">
      <c r="A79" s="166">
        <f t="shared" si="5"/>
        <v>32</v>
      </c>
      <c r="C79" s="58" t="s">
        <v>11</v>
      </c>
      <c r="D79" s="371">
        <v>2014</v>
      </c>
      <c r="E79" s="598">
        <f t="shared" si="1"/>
        <v>2220950938.2983794</v>
      </c>
      <c r="F79" s="641">
        <f t="shared" si="2"/>
        <v>1297359709.4171095</v>
      </c>
      <c r="G79" s="642">
        <f t="shared" si="3"/>
        <v>757146716.00776923</v>
      </c>
      <c r="H79" s="641">
        <f t="shared" si="4"/>
        <v>166444512.87350097</v>
      </c>
      <c r="I79" s="217" t="s">
        <v>400</v>
      </c>
      <c r="J79" s="217"/>
      <c r="K79" s="164"/>
    </row>
    <row r="80" spans="1:11" x14ac:dyDescent="0.2">
      <c r="A80" s="166">
        <f t="shared" si="5"/>
        <v>33</v>
      </c>
      <c r="C80" s="53" t="s">
        <v>12</v>
      </c>
      <c r="D80" s="371">
        <v>2014</v>
      </c>
      <c r="E80" s="598">
        <f t="shared" si="1"/>
        <v>2240100793.7928219</v>
      </c>
      <c r="F80" s="641">
        <f t="shared" si="2"/>
        <v>1316600472.9606471</v>
      </c>
      <c r="G80" s="642">
        <f t="shared" si="3"/>
        <v>757450771.63727486</v>
      </c>
      <c r="H80" s="641">
        <f t="shared" si="4"/>
        <v>166049549.19490024</v>
      </c>
      <c r="I80" s="217" t="s">
        <v>400</v>
      </c>
      <c r="J80" s="217"/>
      <c r="K80" s="166"/>
    </row>
    <row r="81" spans="1:11" x14ac:dyDescent="0.2">
      <c r="A81" s="166">
        <f t="shared" si="5"/>
        <v>34</v>
      </c>
      <c r="C81" s="53" t="s">
        <v>13</v>
      </c>
      <c r="D81" s="371">
        <v>2014</v>
      </c>
      <c r="E81" s="598">
        <f t="shared" si="1"/>
        <v>2231961229.9282751</v>
      </c>
      <c r="F81" s="641">
        <f t="shared" si="2"/>
        <v>1316043959.0228982</v>
      </c>
      <c r="G81" s="642">
        <f t="shared" si="3"/>
        <v>750262685.38907743</v>
      </c>
      <c r="H81" s="641">
        <f t="shared" si="4"/>
        <v>165654585.51629949</v>
      </c>
      <c r="I81" s="217" t="s">
        <v>400</v>
      </c>
      <c r="J81" s="217"/>
      <c r="K81" s="166"/>
    </row>
    <row r="82" spans="1:11" x14ac:dyDescent="0.2">
      <c r="A82" s="166">
        <f t="shared" si="5"/>
        <v>35</v>
      </c>
      <c r="C82" s="58" t="s">
        <v>384</v>
      </c>
      <c r="D82" s="371">
        <v>2014</v>
      </c>
      <c r="E82" s="598">
        <f t="shared" si="1"/>
        <v>2226886891.8058739</v>
      </c>
      <c r="F82" s="641">
        <f t="shared" si="2"/>
        <v>1312794727.4855027</v>
      </c>
      <c r="G82" s="642">
        <f t="shared" si="3"/>
        <v>748832542.48267221</v>
      </c>
      <c r="H82" s="641">
        <f t="shared" si="4"/>
        <v>165259621.83769873</v>
      </c>
      <c r="I82" s="217" t="s">
        <v>400</v>
      </c>
      <c r="J82" s="217"/>
      <c r="K82" s="166"/>
    </row>
    <row r="83" spans="1:11" x14ac:dyDescent="0.2">
      <c r="A83" s="166">
        <f t="shared" si="5"/>
        <v>36</v>
      </c>
      <c r="C83" s="58" t="s">
        <v>14</v>
      </c>
      <c r="D83" s="371">
        <v>2014</v>
      </c>
      <c r="E83" s="598">
        <f t="shared" si="1"/>
        <v>2556953158.6941795</v>
      </c>
      <c r="F83" s="641">
        <f t="shared" si="2"/>
        <v>1644167608.9142497</v>
      </c>
      <c r="G83" s="642">
        <f t="shared" si="3"/>
        <v>747920891.62083161</v>
      </c>
      <c r="H83" s="641">
        <f t="shared" si="4"/>
        <v>164864658.159098</v>
      </c>
      <c r="I83" s="217" t="s">
        <v>400</v>
      </c>
      <c r="J83" s="217"/>
      <c r="K83" s="166"/>
    </row>
    <row r="84" spans="1:11" x14ac:dyDescent="0.2">
      <c r="A84" s="166">
        <f t="shared" si="5"/>
        <v>37</v>
      </c>
      <c r="C84" s="58" t="s">
        <v>6</v>
      </c>
      <c r="D84" s="371">
        <v>2014</v>
      </c>
      <c r="E84" s="643">
        <f t="shared" si="1"/>
        <v>2761944736.8342519</v>
      </c>
      <c r="F84" s="644">
        <f t="shared" si="2"/>
        <v>1848586992.542968</v>
      </c>
      <c r="G84" s="643">
        <f t="shared" si="3"/>
        <v>748888049.81078637</v>
      </c>
      <c r="H84" s="644">
        <f t="shared" si="4"/>
        <v>164469694.48049724</v>
      </c>
      <c r="I84" s="217" t="s">
        <v>400</v>
      </c>
      <c r="J84" s="217"/>
      <c r="K84" s="166"/>
    </row>
    <row r="85" spans="1:11" x14ac:dyDescent="0.2">
      <c r="A85" s="166">
        <f t="shared" si="5"/>
        <v>38</v>
      </c>
      <c r="C85" s="58"/>
      <c r="D85" s="378" t="s">
        <v>385</v>
      </c>
      <c r="E85" s="598">
        <f>SUM(E72:E84)/13</f>
        <v>2277956088.9787474</v>
      </c>
      <c r="F85" s="599">
        <f>SUM(F72:F84)/13</f>
        <v>1360668823.3364966</v>
      </c>
      <c r="G85" s="598">
        <f>SUM(G72:G84)/13</f>
        <v>750446638.95532584</v>
      </c>
      <c r="H85" s="599">
        <f>SUM(H72:H84)/13</f>
        <v>166840626.68692559</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2013</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2014</v>
      </c>
      <c r="E95" s="221">
        <f t="shared" si="6"/>
        <v>4275084.0399998426</v>
      </c>
      <c r="F95" s="592">
        <v>0</v>
      </c>
      <c r="G95" s="599">
        <f t="shared" ref="G95:G106" si="7">E95-F95</f>
        <v>4275084.0399998426</v>
      </c>
      <c r="H95" s="647" t="s">
        <v>885</v>
      </c>
      <c r="I95" s="612"/>
      <c r="J95" s="221"/>
    </row>
    <row r="96" spans="1:11" x14ac:dyDescent="0.2">
      <c r="A96" s="166">
        <f t="shared" ref="A96:A107" si="8">A95+1</f>
        <v>41</v>
      </c>
      <c r="C96" s="53" t="s">
        <v>8</v>
      </c>
      <c r="D96" s="371">
        <v>2014</v>
      </c>
      <c r="E96" s="221">
        <f t="shared" si="6"/>
        <v>32089743.739999894</v>
      </c>
      <c r="F96" s="592">
        <v>0</v>
      </c>
      <c r="G96" s="599">
        <f t="shared" si="7"/>
        <v>32089743.739999894</v>
      </c>
      <c r="H96" s="647"/>
      <c r="I96" s="612"/>
      <c r="J96" s="221"/>
    </row>
    <row r="97" spans="1:10" x14ac:dyDescent="0.2">
      <c r="A97" s="166">
        <f t="shared" si="8"/>
        <v>42</v>
      </c>
      <c r="C97" s="53" t="s">
        <v>18</v>
      </c>
      <c r="D97" s="371">
        <v>2014</v>
      </c>
      <c r="E97" s="221">
        <f t="shared" si="6"/>
        <v>15864535.850000352</v>
      </c>
      <c r="F97" s="592">
        <v>0</v>
      </c>
      <c r="G97" s="599">
        <f t="shared" si="7"/>
        <v>15864535.850000352</v>
      </c>
      <c r="H97" s="599"/>
      <c r="I97" s="612"/>
      <c r="J97" s="221"/>
    </row>
    <row r="98" spans="1:10" x14ac:dyDescent="0.2">
      <c r="A98" s="166">
        <f t="shared" si="8"/>
        <v>43</v>
      </c>
      <c r="C98" s="58" t="s">
        <v>9</v>
      </c>
      <c r="D98" s="371">
        <v>2014</v>
      </c>
      <c r="E98" s="221">
        <f t="shared" si="6"/>
        <v>2177171.85999991</v>
      </c>
      <c r="F98" s="592">
        <v>0</v>
      </c>
      <c r="G98" s="599">
        <f t="shared" si="7"/>
        <v>2177171.85999991</v>
      </c>
      <c r="H98" s="599"/>
      <c r="I98" s="612"/>
      <c r="J98" s="221"/>
    </row>
    <row r="99" spans="1:10" x14ac:dyDescent="0.2">
      <c r="A99" s="166">
        <f t="shared" si="8"/>
        <v>44</v>
      </c>
      <c r="C99" s="53" t="s">
        <v>10</v>
      </c>
      <c r="D99" s="371">
        <v>2014</v>
      </c>
      <c r="E99" s="221">
        <f t="shared" si="6"/>
        <v>34909552.709999889</v>
      </c>
      <c r="F99" s="592">
        <v>0</v>
      </c>
      <c r="G99" s="599">
        <f t="shared" si="7"/>
        <v>34909552.709999889</v>
      </c>
      <c r="H99" s="599"/>
      <c r="I99" s="612"/>
      <c r="J99" s="221"/>
    </row>
    <row r="100" spans="1:10" x14ac:dyDescent="0.2">
      <c r="A100" s="166">
        <f t="shared" si="8"/>
        <v>45</v>
      </c>
      <c r="C100" s="53" t="s">
        <v>383</v>
      </c>
      <c r="D100" s="371">
        <v>2014</v>
      </c>
      <c r="E100" s="221">
        <f t="shared" si="6"/>
        <v>7525370.8199998327</v>
      </c>
      <c r="F100" s="592">
        <v>0</v>
      </c>
      <c r="G100" s="599">
        <f t="shared" si="7"/>
        <v>7525370.8199998327</v>
      </c>
      <c r="H100" s="599"/>
      <c r="I100" s="612"/>
      <c r="J100" s="221"/>
    </row>
    <row r="101" spans="1:10" x14ac:dyDescent="0.2">
      <c r="A101" s="166">
        <f t="shared" si="8"/>
        <v>46</v>
      </c>
      <c r="C101" s="58" t="s">
        <v>11</v>
      </c>
      <c r="D101" s="371">
        <v>2014</v>
      </c>
      <c r="E101" s="221">
        <f t="shared" si="6"/>
        <v>5375146.0000002217</v>
      </c>
      <c r="F101" s="592">
        <v>0</v>
      </c>
      <c r="G101" s="599">
        <f t="shared" si="7"/>
        <v>5375146.0000002217</v>
      </c>
      <c r="H101" s="599"/>
      <c r="I101" s="612"/>
      <c r="J101" s="221"/>
    </row>
    <row r="102" spans="1:10" x14ac:dyDescent="0.2">
      <c r="A102" s="166">
        <f t="shared" si="8"/>
        <v>47</v>
      </c>
      <c r="C102" s="53" t="s">
        <v>12</v>
      </c>
      <c r="D102" s="371">
        <v>2014</v>
      </c>
      <c r="E102" s="221">
        <f t="shared" si="6"/>
        <v>24633430.21999979</v>
      </c>
      <c r="F102" s="592">
        <v>0</v>
      </c>
      <c r="G102" s="599">
        <f t="shared" si="7"/>
        <v>24633430.21999979</v>
      </c>
      <c r="H102" s="599"/>
      <c r="I102" s="612"/>
      <c r="J102" s="221"/>
    </row>
    <row r="103" spans="1:10" x14ac:dyDescent="0.2">
      <c r="A103" s="166">
        <f t="shared" si="8"/>
        <v>48</v>
      </c>
      <c r="C103" s="53" t="s">
        <v>13</v>
      </c>
      <c r="D103" s="371">
        <v>2014</v>
      </c>
      <c r="E103" s="221">
        <f t="shared" si="6"/>
        <v>-2916241.2899996992</v>
      </c>
      <c r="F103" s="592">
        <v>0</v>
      </c>
      <c r="G103" s="599">
        <f t="shared" si="7"/>
        <v>-2916241.2899996992</v>
      </c>
      <c r="H103" s="599"/>
      <c r="I103" s="612"/>
      <c r="J103" s="221"/>
    </row>
    <row r="104" spans="1:10" x14ac:dyDescent="0.2">
      <c r="A104" s="166">
        <f t="shared" si="8"/>
        <v>49</v>
      </c>
      <c r="C104" s="58" t="s">
        <v>384</v>
      </c>
      <c r="D104" s="371">
        <v>2014</v>
      </c>
      <c r="E104" s="221">
        <f t="shared" si="6"/>
        <v>-111145.53000004776</v>
      </c>
      <c r="F104" s="592">
        <v>0</v>
      </c>
      <c r="G104" s="599">
        <f t="shared" si="7"/>
        <v>-111145.53000004776</v>
      </c>
      <c r="H104" s="599"/>
      <c r="I104" s="612"/>
      <c r="J104" s="221"/>
    </row>
    <row r="105" spans="1:10" x14ac:dyDescent="0.2">
      <c r="A105" s="166">
        <f t="shared" si="8"/>
        <v>50</v>
      </c>
      <c r="C105" s="58" t="s">
        <v>14</v>
      </c>
      <c r="D105" s="371">
        <v>2014</v>
      </c>
      <c r="E105" s="221">
        <f t="shared" si="6"/>
        <v>335190767.26999992</v>
      </c>
      <c r="F105" s="592">
        <v>0</v>
      </c>
      <c r="G105" s="599">
        <f t="shared" si="7"/>
        <v>335190767.26999992</v>
      </c>
      <c r="H105" s="599"/>
      <c r="I105" s="612"/>
      <c r="J105" s="221"/>
    </row>
    <row r="106" spans="1:10" x14ac:dyDescent="0.2">
      <c r="A106" s="166">
        <f t="shared" si="8"/>
        <v>51</v>
      </c>
      <c r="C106" s="58" t="s">
        <v>6</v>
      </c>
      <c r="D106" s="371">
        <v>2014</v>
      </c>
      <c r="E106" s="225">
        <f t="shared" si="6"/>
        <v>251597867.14999998</v>
      </c>
      <c r="F106" s="597">
        <v>0</v>
      </c>
      <c r="G106" s="644">
        <f t="shared" si="7"/>
        <v>251597867.14999998</v>
      </c>
      <c r="H106" s="599"/>
      <c r="I106" s="612"/>
      <c r="J106" s="221"/>
    </row>
    <row r="107" spans="1:10" x14ac:dyDescent="0.2">
      <c r="A107" s="166">
        <f t="shared" si="8"/>
        <v>52</v>
      </c>
      <c r="C107" s="58" t="s">
        <v>325</v>
      </c>
      <c r="D107" s="54"/>
      <c r="E107" s="173">
        <f>SUM(E94:E106)</f>
        <v>710611282.83999991</v>
      </c>
      <c r="F107" s="173">
        <f t="shared" ref="F107:G107" si="9">SUM(F94:F106)</f>
        <v>0</v>
      </c>
      <c r="G107" s="173">
        <f t="shared" si="9"/>
        <v>710611282.83999991</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2013</v>
      </c>
      <c r="E117" s="244">
        <v>1342796296.6172144</v>
      </c>
      <c r="F117" s="244">
        <v>69366102.185369894</v>
      </c>
      <c r="G117" s="221">
        <f t="shared" ref="G117:G129" si="10">E117-F117</f>
        <v>1273430194.4318445</v>
      </c>
      <c r="H117" s="221">
        <f>E117-E117</f>
        <v>0</v>
      </c>
      <c r="I117" s="648"/>
    </row>
    <row r="118" spans="1:9" x14ac:dyDescent="0.2">
      <c r="A118" s="166">
        <f>A117+1</f>
        <v>54</v>
      </c>
      <c r="C118" s="58" t="s">
        <v>7</v>
      </c>
      <c r="D118" s="371">
        <v>2014</v>
      </c>
      <c r="E118" s="244">
        <v>1343099097.8672144</v>
      </c>
      <c r="F118" s="244">
        <v>72180296.621250868</v>
      </c>
      <c r="G118" s="221">
        <f t="shared" si="10"/>
        <v>1270918801.2459636</v>
      </c>
      <c r="H118" s="221">
        <f>E118-E117</f>
        <v>302801.25</v>
      </c>
    </row>
    <row r="119" spans="1:9" x14ac:dyDescent="0.2">
      <c r="A119" s="166">
        <f t="shared" ref="A119:A129" si="11">A118+1</f>
        <v>55</v>
      </c>
      <c r="C119" s="53" t="s">
        <v>8</v>
      </c>
      <c r="D119" s="371">
        <v>2014</v>
      </c>
      <c r="E119" s="244">
        <v>1345710802.9572144</v>
      </c>
      <c r="F119" s="244">
        <v>75007551.956066266</v>
      </c>
      <c r="G119" s="221">
        <f t="shared" si="10"/>
        <v>1270703251.001148</v>
      </c>
      <c r="H119" s="221">
        <f t="shared" ref="H119:H129" si="12">E119-E118</f>
        <v>2611705.0899999142</v>
      </c>
    </row>
    <row r="120" spans="1:9" x14ac:dyDescent="0.2">
      <c r="A120" s="166">
        <f t="shared" si="11"/>
        <v>56</v>
      </c>
      <c r="C120" s="53" t="s">
        <v>18</v>
      </c>
      <c r="D120" s="371">
        <v>2014</v>
      </c>
      <c r="E120" s="244">
        <v>1347546387.7772148</v>
      </c>
      <c r="F120" s="244">
        <v>77839087.756346017</v>
      </c>
      <c r="G120" s="221">
        <f t="shared" si="10"/>
        <v>1269707300.0208688</v>
      </c>
      <c r="H120" s="221">
        <f t="shared" si="12"/>
        <v>1835584.8200004101</v>
      </c>
    </row>
    <row r="121" spans="1:9" x14ac:dyDescent="0.2">
      <c r="A121" s="166">
        <f t="shared" si="11"/>
        <v>57</v>
      </c>
      <c r="C121" s="58" t="s">
        <v>9</v>
      </c>
      <c r="D121" s="371">
        <v>2014</v>
      </c>
      <c r="E121" s="244">
        <v>1347927618.6772146</v>
      </c>
      <c r="F121" s="244">
        <v>80674301.314431995</v>
      </c>
      <c r="G121" s="221">
        <f t="shared" si="10"/>
        <v>1267253317.3627827</v>
      </c>
      <c r="H121" s="221">
        <f t="shared" si="12"/>
        <v>381230.89999985695</v>
      </c>
    </row>
    <row r="122" spans="1:9" x14ac:dyDescent="0.2">
      <c r="A122" s="166">
        <f t="shared" si="11"/>
        <v>58</v>
      </c>
      <c r="C122" s="53" t="s">
        <v>10</v>
      </c>
      <c r="D122" s="371">
        <v>2014</v>
      </c>
      <c r="E122" s="244">
        <v>1384597050.4472146</v>
      </c>
      <c r="F122" s="244">
        <v>83510278.870787486</v>
      </c>
      <c r="G122" s="221">
        <f t="shared" si="10"/>
        <v>1301086771.5764272</v>
      </c>
      <c r="H122" s="221">
        <f t="shared" si="12"/>
        <v>36669431.769999981</v>
      </c>
    </row>
    <row r="123" spans="1:9" x14ac:dyDescent="0.2">
      <c r="A123" s="166">
        <f t="shared" si="11"/>
        <v>59</v>
      </c>
      <c r="C123" s="53" t="s">
        <v>383</v>
      </c>
      <c r="D123" s="371">
        <v>2014</v>
      </c>
      <c r="E123" s="244">
        <v>1386466007.7672143</v>
      </c>
      <c r="F123" s="244">
        <v>86424410.375171065</v>
      </c>
      <c r="G123" s="221">
        <f t="shared" si="10"/>
        <v>1300041597.3920431</v>
      </c>
      <c r="H123" s="221">
        <f t="shared" si="12"/>
        <v>1868957.3199996948</v>
      </c>
    </row>
    <row r="124" spans="1:9" x14ac:dyDescent="0.2">
      <c r="A124" s="166">
        <f t="shared" si="11"/>
        <v>60</v>
      </c>
      <c r="C124" s="58" t="s">
        <v>11</v>
      </c>
      <c r="D124" s="371">
        <v>2014</v>
      </c>
      <c r="E124" s="244">
        <v>1386702342.0372145</v>
      </c>
      <c r="F124" s="244">
        <v>89342632.620105132</v>
      </c>
      <c r="G124" s="221">
        <f t="shared" si="10"/>
        <v>1297359709.4171095</v>
      </c>
      <c r="H124" s="221">
        <f t="shared" si="12"/>
        <v>236334.27000021935</v>
      </c>
    </row>
    <row r="125" spans="1:9" x14ac:dyDescent="0.2">
      <c r="A125" s="166">
        <f t="shared" si="11"/>
        <v>61</v>
      </c>
      <c r="C125" s="53" t="s">
        <v>12</v>
      </c>
      <c r="D125" s="371">
        <v>2014</v>
      </c>
      <c r="E125" s="244">
        <v>1408861941.9572144</v>
      </c>
      <c r="F125" s="244">
        <v>92261468.996567205</v>
      </c>
      <c r="G125" s="221">
        <f t="shared" si="10"/>
        <v>1316600472.9606471</v>
      </c>
      <c r="H125" s="221">
        <f t="shared" si="12"/>
        <v>22159599.919999838</v>
      </c>
    </row>
    <row r="126" spans="1:9" x14ac:dyDescent="0.2">
      <c r="A126" s="166">
        <f t="shared" si="11"/>
        <v>62</v>
      </c>
      <c r="C126" s="53" t="s">
        <v>13</v>
      </c>
      <c r="D126" s="371">
        <v>2014</v>
      </c>
      <c r="E126" s="244">
        <v>1411258238.0872147</v>
      </c>
      <c r="F126" s="244">
        <v>95214279.064316437</v>
      </c>
      <c r="G126" s="221">
        <f t="shared" si="10"/>
        <v>1316043959.0228982</v>
      </c>
      <c r="H126" s="221">
        <f t="shared" si="12"/>
        <v>2396296.1300003529</v>
      </c>
    </row>
    <row r="127" spans="1:9" x14ac:dyDescent="0.2">
      <c r="A127" s="166">
        <f t="shared" si="11"/>
        <v>63</v>
      </c>
      <c r="C127" s="58" t="s">
        <v>384</v>
      </c>
      <c r="D127" s="371">
        <v>2014</v>
      </c>
      <c r="E127" s="244">
        <v>1410978344.6672146</v>
      </c>
      <c r="F127" s="244">
        <v>98183617.181711927</v>
      </c>
      <c r="G127" s="221">
        <f t="shared" si="10"/>
        <v>1312794727.4855027</v>
      </c>
      <c r="H127" s="221">
        <f t="shared" si="12"/>
        <v>-279893.42000007629</v>
      </c>
    </row>
    <row r="128" spans="1:9" x14ac:dyDescent="0.2">
      <c r="A128" s="166">
        <f t="shared" si="11"/>
        <v>64</v>
      </c>
      <c r="C128" s="58" t="s">
        <v>14</v>
      </c>
      <c r="D128" s="371">
        <v>2014</v>
      </c>
      <c r="E128" s="244">
        <v>1745326068.8572147</v>
      </c>
      <c r="F128" s="244">
        <v>101158459.94296509</v>
      </c>
      <c r="G128" s="221">
        <f t="shared" si="10"/>
        <v>1644167608.9142497</v>
      </c>
      <c r="H128" s="221">
        <f t="shared" si="12"/>
        <v>334347724.19000006</v>
      </c>
    </row>
    <row r="129" spans="1:8" x14ac:dyDescent="0.2">
      <c r="A129" s="166">
        <f t="shared" si="11"/>
        <v>65</v>
      </c>
      <c r="C129" s="58" t="s">
        <v>6</v>
      </c>
      <c r="D129" s="371">
        <v>2014</v>
      </c>
      <c r="E129" s="244">
        <v>1953449287.4872146</v>
      </c>
      <c r="F129" s="244">
        <v>104862294.9442465</v>
      </c>
      <c r="G129" s="221">
        <f t="shared" si="10"/>
        <v>1848586992.542968</v>
      </c>
      <c r="H129" s="221">
        <f t="shared" si="12"/>
        <v>208123218.62999988</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2013</v>
      </c>
      <c r="E137" s="244">
        <v>191523855.31999996</v>
      </c>
      <c r="F137" s="244">
        <v>22311594.25872374</v>
      </c>
      <c r="G137" s="221">
        <f>E137-F137</f>
        <v>169212261.06127623</v>
      </c>
      <c r="H137" s="221">
        <f>E137-E137</f>
        <v>0</v>
      </c>
    </row>
    <row r="138" spans="1:8" x14ac:dyDescent="0.2">
      <c r="A138" s="166">
        <f>A137+1</f>
        <v>67</v>
      </c>
      <c r="C138" s="58" t="s">
        <v>7</v>
      </c>
      <c r="D138" s="371">
        <v>2014</v>
      </c>
      <c r="E138" s="244">
        <v>191523855.31999996</v>
      </c>
      <c r="F138" s="244">
        <v>22706563.980838489</v>
      </c>
      <c r="G138" s="221">
        <f t="shared" ref="G138:G149" si="13">E138-F138</f>
        <v>168817291.33916149</v>
      </c>
      <c r="H138" s="221">
        <f>E138-E137</f>
        <v>0</v>
      </c>
    </row>
    <row r="139" spans="1:8" x14ac:dyDescent="0.2">
      <c r="A139" s="166">
        <f t="shared" ref="A139:A149" si="14">A138+1</f>
        <v>68</v>
      </c>
      <c r="C139" s="53" t="s">
        <v>8</v>
      </c>
      <c r="D139" s="371">
        <v>2014</v>
      </c>
      <c r="E139" s="244">
        <v>191523855.31999996</v>
      </c>
      <c r="F139" s="244">
        <v>23101533.702953238</v>
      </c>
      <c r="G139" s="221">
        <f t="shared" si="13"/>
        <v>168422321.61704671</v>
      </c>
      <c r="H139" s="221">
        <f t="shared" ref="H139:H149" si="15">E139-E138</f>
        <v>0</v>
      </c>
    </row>
    <row r="140" spans="1:8" x14ac:dyDescent="0.2">
      <c r="A140" s="166">
        <f t="shared" si="14"/>
        <v>69</v>
      </c>
      <c r="C140" s="53" t="s">
        <v>18</v>
      </c>
      <c r="D140" s="371">
        <v>2014</v>
      </c>
      <c r="E140" s="244">
        <v>191523855.31999996</v>
      </c>
      <c r="F140" s="244">
        <v>23496503.425067987</v>
      </c>
      <c r="G140" s="221">
        <f t="shared" si="13"/>
        <v>168027351.89493197</v>
      </c>
      <c r="H140" s="221">
        <f t="shared" si="15"/>
        <v>0</v>
      </c>
    </row>
    <row r="141" spans="1:8" x14ac:dyDescent="0.2">
      <c r="A141" s="166">
        <f t="shared" si="14"/>
        <v>70</v>
      </c>
      <c r="C141" s="58" t="s">
        <v>9</v>
      </c>
      <c r="D141" s="371">
        <v>2014</v>
      </c>
      <c r="E141" s="244">
        <v>191523855.31999996</v>
      </c>
      <c r="F141" s="244">
        <v>23891473.147182737</v>
      </c>
      <c r="G141" s="221">
        <f t="shared" si="13"/>
        <v>167632382.17281723</v>
      </c>
      <c r="H141" s="221">
        <f t="shared" si="15"/>
        <v>0</v>
      </c>
    </row>
    <row r="142" spans="1:8" x14ac:dyDescent="0.2">
      <c r="A142" s="166">
        <f t="shared" si="14"/>
        <v>71</v>
      </c>
      <c r="C142" s="53" t="s">
        <v>10</v>
      </c>
      <c r="D142" s="371">
        <v>2014</v>
      </c>
      <c r="E142" s="244">
        <v>191520883.09999996</v>
      </c>
      <c r="F142" s="244">
        <v>24286442.869297482</v>
      </c>
      <c r="G142" s="221">
        <f t="shared" si="13"/>
        <v>167234440.23070249</v>
      </c>
      <c r="H142" s="221">
        <f t="shared" si="15"/>
        <v>-2972.2199999988079</v>
      </c>
    </row>
    <row r="143" spans="1:8" x14ac:dyDescent="0.2">
      <c r="A143" s="166">
        <f t="shared" si="14"/>
        <v>72</v>
      </c>
      <c r="C143" s="53" t="s">
        <v>383</v>
      </c>
      <c r="D143" s="371">
        <v>2014</v>
      </c>
      <c r="E143" s="244">
        <v>191520883.09999996</v>
      </c>
      <c r="F143" s="244">
        <v>24681406.547898229</v>
      </c>
      <c r="G143" s="221">
        <f t="shared" si="13"/>
        <v>166839476.55210173</v>
      </c>
      <c r="H143" s="221">
        <f t="shared" si="15"/>
        <v>0</v>
      </c>
    </row>
    <row r="144" spans="1:8" x14ac:dyDescent="0.2">
      <c r="A144" s="166">
        <f t="shared" si="14"/>
        <v>73</v>
      </c>
      <c r="C144" s="58" t="s">
        <v>11</v>
      </c>
      <c r="D144" s="371">
        <v>2014</v>
      </c>
      <c r="E144" s="244">
        <v>191520883.09999996</v>
      </c>
      <c r="F144" s="244">
        <v>25076370.22649898</v>
      </c>
      <c r="G144" s="221">
        <f t="shared" si="13"/>
        <v>166444512.87350097</v>
      </c>
      <c r="H144" s="221">
        <f t="shared" si="15"/>
        <v>0</v>
      </c>
    </row>
    <row r="145" spans="1:8" x14ac:dyDescent="0.2">
      <c r="A145" s="166">
        <f t="shared" si="14"/>
        <v>74</v>
      </c>
      <c r="C145" s="53" t="s">
        <v>12</v>
      </c>
      <c r="D145" s="371">
        <v>2014</v>
      </c>
      <c r="E145" s="244">
        <v>191520883.09999996</v>
      </c>
      <c r="F145" s="244">
        <v>25471333.905099727</v>
      </c>
      <c r="G145" s="221">
        <f t="shared" si="13"/>
        <v>166049549.19490024</v>
      </c>
      <c r="H145" s="221">
        <f t="shared" si="15"/>
        <v>0</v>
      </c>
    </row>
    <row r="146" spans="1:8" x14ac:dyDescent="0.2">
      <c r="A146" s="166">
        <f t="shared" si="14"/>
        <v>75</v>
      </c>
      <c r="C146" s="53" t="s">
        <v>13</v>
      </c>
      <c r="D146" s="371">
        <v>2014</v>
      </c>
      <c r="E146" s="244">
        <v>191520883.09999996</v>
      </c>
      <c r="F146" s="244">
        <v>25866297.583700478</v>
      </c>
      <c r="G146" s="221">
        <f t="shared" si="13"/>
        <v>165654585.51629949</v>
      </c>
      <c r="H146" s="221">
        <f t="shared" si="15"/>
        <v>0</v>
      </c>
    </row>
    <row r="147" spans="1:8" x14ac:dyDescent="0.2">
      <c r="A147" s="166">
        <f t="shared" si="14"/>
        <v>76</v>
      </c>
      <c r="C147" s="58" t="s">
        <v>384</v>
      </c>
      <c r="D147" s="371">
        <v>2014</v>
      </c>
      <c r="E147" s="244">
        <v>191520883.09999996</v>
      </c>
      <c r="F147" s="244">
        <v>26261261.262301225</v>
      </c>
      <c r="G147" s="221">
        <f t="shared" si="13"/>
        <v>165259621.83769873</v>
      </c>
      <c r="H147" s="221">
        <f t="shared" si="15"/>
        <v>0</v>
      </c>
    </row>
    <row r="148" spans="1:8" x14ac:dyDescent="0.2">
      <c r="A148" s="166">
        <f t="shared" si="14"/>
        <v>77</v>
      </c>
      <c r="C148" s="58" t="s">
        <v>14</v>
      </c>
      <c r="D148" s="371">
        <v>2014</v>
      </c>
      <c r="E148" s="244">
        <v>191520883.09999996</v>
      </c>
      <c r="F148" s="244">
        <v>26656224.940901976</v>
      </c>
      <c r="G148" s="221">
        <f t="shared" si="13"/>
        <v>164864658.159098</v>
      </c>
      <c r="H148" s="221">
        <f t="shared" si="15"/>
        <v>0</v>
      </c>
    </row>
    <row r="149" spans="1:8" x14ac:dyDescent="0.2">
      <c r="A149" s="166">
        <f t="shared" si="14"/>
        <v>78</v>
      </c>
      <c r="C149" s="58" t="s">
        <v>6</v>
      </c>
      <c r="D149" s="371">
        <v>2014</v>
      </c>
      <c r="E149" s="244">
        <v>191520883.09999996</v>
      </c>
      <c r="F149" s="244">
        <v>27051188.619502723</v>
      </c>
      <c r="G149" s="221">
        <f t="shared" si="13"/>
        <v>164469694.48049724</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2013</v>
      </c>
      <c r="E157" s="593">
        <v>743805721.21000016</v>
      </c>
      <c r="F157" s="593">
        <v>6990029.4885216663</v>
      </c>
      <c r="G157" s="179">
        <f t="shared" ref="G157:G169" si="16">E157-F157</f>
        <v>736815691.72147846</v>
      </c>
      <c r="H157" s="221">
        <f>E157-E157</f>
        <v>0</v>
      </c>
    </row>
    <row r="158" spans="1:8" x14ac:dyDescent="0.2">
      <c r="A158" s="166">
        <f>A157+1</f>
        <v>80</v>
      </c>
      <c r="C158" s="58" t="s">
        <v>7</v>
      </c>
      <c r="D158" s="371">
        <v>2014</v>
      </c>
      <c r="E158" s="595">
        <v>746165134.01999998</v>
      </c>
      <c r="F158" s="595">
        <v>8558746.2627767511</v>
      </c>
      <c r="G158" s="179">
        <f t="shared" si="16"/>
        <v>737606387.75722325</v>
      </c>
      <c r="H158" s="221">
        <f>E158-E157</f>
        <v>2359412.8099998236</v>
      </c>
    </row>
    <row r="159" spans="1:8" x14ac:dyDescent="0.2">
      <c r="A159" s="166">
        <f t="shared" ref="A159:A169" si="17">A158+1</f>
        <v>81</v>
      </c>
      <c r="C159" s="53" t="s">
        <v>8</v>
      </c>
      <c r="D159" s="371">
        <v>2014</v>
      </c>
      <c r="E159" s="595">
        <v>765436798.72000003</v>
      </c>
      <c r="F159" s="595">
        <v>10132404.403799333</v>
      </c>
      <c r="G159" s="179">
        <f t="shared" si="16"/>
        <v>755304394.31620073</v>
      </c>
      <c r="H159" s="221">
        <f t="shared" ref="H159:H169" si="18">E159-E158</f>
        <v>19271664.700000048</v>
      </c>
    </row>
    <row r="160" spans="1:8" x14ac:dyDescent="0.2">
      <c r="A160" s="166">
        <f t="shared" si="17"/>
        <v>82</v>
      </c>
      <c r="C160" s="53" t="s">
        <v>18</v>
      </c>
      <c r="D160" s="371">
        <v>2014</v>
      </c>
      <c r="E160" s="595">
        <v>765865079.06999993</v>
      </c>
      <c r="F160" s="595">
        <v>11746901.982490668</v>
      </c>
      <c r="G160" s="179">
        <f t="shared" si="16"/>
        <v>754118177.08750927</v>
      </c>
      <c r="H160" s="221">
        <f t="shared" si="18"/>
        <v>428280.34999990463</v>
      </c>
    </row>
    <row r="161" spans="1:8" x14ac:dyDescent="0.2">
      <c r="A161" s="166">
        <f t="shared" si="17"/>
        <v>83</v>
      </c>
      <c r="C161" s="58" t="s">
        <v>9</v>
      </c>
      <c r="D161" s="371">
        <v>2014</v>
      </c>
      <c r="E161" s="595">
        <v>767419037.35000002</v>
      </c>
      <c r="F161" s="595">
        <v>13362239.714145582</v>
      </c>
      <c r="G161" s="179">
        <f t="shared" si="16"/>
        <v>754056797.63585448</v>
      </c>
      <c r="H161" s="221">
        <f t="shared" si="18"/>
        <v>1553958.2800000906</v>
      </c>
    </row>
    <row r="162" spans="1:8" x14ac:dyDescent="0.2">
      <c r="A162" s="166">
        <f t="shared" si="17"/>
        <v>84</v>
      </c>
      <c r="C162" s="53" t="s">
        <v>10</v>
      </c>
      <c r="D162" s="371">
        <v>2014</v>
      </c>
      <c r="E162" s="595">
        <v>768253957.82999992</v>
      </c>
      <c r="F162" s="595">
        <v>14981080.46678075</v>
      </c>
      <c r="G162" s="179">
        <f t="shared" si="16"/>
        <v>753272877.36321914</v>
      </c>
      <c r="H162" s="221">
        <f t="shared" si="18"/>
        <v>834920.47999989986</v>
      </c>
    </row>
    <row r="163" spans="1:8" x14ac:dyDescent="0.2">
      <c r="A163" s="166">
        <f t="shared" si="17"/>
        <v>85</v>
      </c>
      <c r="C163" s="53" t="s">
        <v>383</v>
      </c>
      <c r="D163" s="371">
        <v>2014</v>
      </c>
      <c r="E163" s="595">
        <v>770731987.82000005</v>
      </c>
      <c r="F163" s="595">
        <v>16601664.230663668</v>
      </c>
      <c r="G163" s="179">
        <f t="shared" si="16"/>
        <v>754130323.5893364</v>
      </c>
      <c r="H163" s="221">
        <f t="shared" si="18"/>
        <v>2478029.9900001287</v>
      </c>
    </row>
    <row r="164" spans="1:8" x14ac:dyDescent="0.2">
      <c r="A164" s="166">
        <f t="shared" si="17"/>
        <v>86</v>
      </c>
      <c r="C164" s="58" t="s">
        <v>11</v>
      </c>
      <c r="D164" s="371">
        <v>2014</v>
      </c>
      <c r="E164" s="595">
        <v>775374224.8900001</v>
      </c>
      <c r="F164" s="595">
        <v>18227508.882230919</v>
      </c>
      <c r="G164" s="179">
        <f t="shared" si="16"/>
        <v>757146716.00776923</v>
      </c>
      <c r="H164" s="221">
        <f t="shared" si="18"/>
        <v>4642237.0700000525</v>
      </c>
    </row>
    <row r="165" spans="1:8" x14ac:dyDescent="0.2">
      <c r="A165" s="166">
        <f t="shared" si="17"/>
        <v>87</v>
      </c>
      <c r="C165" s="53" t="s">
        <v>12</v>
      </c>
      <c r="D165" s="371">
        <v>2014</v>
      </c>
      <c r="E165" s="595">
        <v>777314136.31000006</v>
      </c>
      <c r="F165" s="595">
        <v>19863364.672725249</v>
      </c>
      <c r="G165" s="179">
        <f t="shared" si="16"/>
        <v>757450771.63727486</v>
      </c>
      <c r="H165" s="221">
        <f t="shared" si="18"/>
        <v>1939911.4199999571</v>
      </c>
    </row>
    <row r="166" spans="1:8" x14ac:dyDescent="0.2">
      <c r="A166" s="166">
        <f t="shared" si="17"/>
        <v>88</v>
      </c>
      <c r="C166" s="53" t="s">
        <v>13</v>
      </c>
      <c r="D166" s="371">
        <v>2014</v>
      </c>
      <c r="E166" s="595">
        <v>771766053.99000001</v>
      </c>
      <c r="F166" s="595">
        <v>21503368.600922585</v>
      </c>
      <c r="G166" s="179">
        <f t="shared" si="16"/>
        <v>750262685.38907743</v>
      </c>
      <c r="H166" s="221">
        <f t="shared" si="18"/>
        <v>-5548082.3200000525</v>
      </c>
    </row>
    <row r="167" spans="1:8" x14ac:dyDescent="0.2">
      <c r="A167" s="166">
        <f t="shared" si="17"/>
        <v>89</v>
      </c>
      <c r="C167" s="58" t="s">
        <v>384</v>
      </c>
      <c r="D167" s="371">
        <v>2014</v>
      </c>
      <c r="E167" s="595">
        <v>771963982.41999996</v>
      </c>
      <c r="F167" s="595">
        <v>23131439.937327754</v>
      </c>
      <c r="G167" s="179">
        <f t="shared" si="16"/>
        <v>748832542.48267221</v>
      </c>
      <c r="H167" s="221">
        <f t="shared" si="18"/>
        <v>197928.42999994755</v>
      </c>
    </row>
    <row r="168" spans="1:8" x14ac:dyDescent="0.2">
      <c r="A168" s="166">
        <f t="shared" si="17"/>
        <v>90</v>
      </c>
      <c r="C168" s="58" t="s">
        <v>14</v>
      </c>
      <c r="D168" s="371">
        <v>2014</v>
      </c>
      <c r="E168" s="595">
        <v>772680822.01999986</v>
      </c>
      <c r="F168" s="595">
        <v>24759930.399168249</v>
      </c>
      <c r="G168" s="179">
        <f t="shared" si="16"/>
        <v>747920891.62083161</v>
      </c>
      <c r="H168" s="221">
        <f t="shared" si="18"/>
        <v>716839.59999990463</v>
      </c>
    </row>
    <row r="169" spans="1:8" ht="13.5" thickBot="1" x14ac:dyDescent="0.25">
      <c r="A169" s="166">
        <f t="shared" si="17"/>
        <v>91</v>
      </c>
      <c r="C169" s="58" t="s">
        <v>6</v>
      </c>
      <c r="D169" s="371">
        <v>2014</v>
      </c>
      <c r="E169" s="596">
        <v>775298395.81999993</v>
      </c>
      <c r="F169" s="596">
        <v>26410346.009213585</v>
      </c>
      <c r="G169" s="179">
        <f t="shared" si="16"/>
        <v>748888049.81078637</v>
      </c>
      <c r="H169" s="221">
        <f t="shared" si="18"/>
        <v>2617573.8000000715</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2013</v>
      </c>
      <c r="E176" s="244">
        <v>312958380.23000002</v>
      </c>
      <c r="F176" s="244">
        <v>4200209.2091801669</v>
      </c>
      <c r="G176" s="221">
        <f t="shared" ref="G176:G188" si="19">E176-F176</f>
        <v>308758171.02081984</v>
      </c>
      <c r="H176" s="221">
        <f>E176-E176</f>
        <v>0</v>
      </c>
    </row>
    <row r="177" spans="1:8" x14ac:dyDescent="0.2">
      <c r="A177" s="166">
        <f>A176+1</f>
        <v>93</v>
      </c>
      <c r="C177" s="58" t="s">
        <v>7</v>
      </c>
      <c r="D177" s="371">
        <v>2014</v>
      </c>
      <c r="E177" s="244">
        <v>313392754.22000003</v>
      </c>
      <c r="F177" s="244">
        <v>4876329.8722252501</v>
      </c>
      <c r="G177" s="221">
        <f t="shared" si="19"/>
        <v>308516424.3477748</v>
      </c>
      <c r="H177" s="221">
        <f>E177-E176</f>
        <v>434373.99000000954</v>
      </c>
    </row>
    <row r="178" spans="1:8" x14ac:dyDescent="0.2">
      <c r="A178" s="166">
        <f t="shared" ref="A178:A188" si="20">A177+1</f>
        <v>94</v>
      </c>
      <c r="C178" s="53" t="s">
        <v>8</v>
      </c>
      <c r="D178" s="371">
        <v>2014</v>
      </c>
      <c r="E178" s="244">
        <v>313790615.44999999</v>
      </c>
      <c r="F178" s="244">
        <v>5553568.3581932504</v>
      </c>
      <c r="G178" s="221">
        <f t="shared" si="19"/>
        <v>308237047.09180671</v>
      </c>
      <c r="H178" s="221">
        <f t="shared" ref="H178:H188" si="21">E178-E177</f>
        <v>397861.22999995947</v>
      </c>
    </row>
    <row r="179" spans="1:8" x14ac:dyDescent="0.2">
      <c r="A179" s="166">
        <f t="shared" si="20"/>
        <v>95</v>
      </c>
      <c r="C179" s="53" t="s">
        <v>18</v>
      </c>
      <c r="D179" s="371">
        <v>2014</v>
      </c>
      <c r="E179" s="244">
        <v>314736455.61000001</v>
      </c>
      <c r="F179" s="244">
        <v>6231673.5689795837</v>
      </c>
      <c r="G179" s="221">
        <f t="shared" si="19"/>
        <v>308504782.04102045</v>
      </c>
      <c r="H179" s="221">
        <f t="shared" si="21"/>
        <v>945840.16000002623</v>
      </c>
    </row>
    <row r="180" spans="1:8" x14ac:dyDescent="0.2">
      <c r="A180" s="166">
        <f t="shared" si="20"/>
        <v>96</v>
      </c>
      <c r="C180" s="58" t="s">
        <v>9</v>
      </c>
      <c r="D180" s="371">
        <v>2014</v>
      </c>
      <c r="E180" s="244">
        <v>314796062.20999998</v>
      </c>
      <c r="F180" s="244">
        <v>6911849.0583470836</v>
      </c>
      <c r="G180" s="221">
        <f t="shared" si="19"/>
        <v>307884213.15165287</v>
      </c>
      <c r="H180" s="221">
        <f t="shared" si="21"/>
        <v>59606.599999964237</v>
      </c>
    </row>
    <row r="181" spans="1:8" x14ac:dyDescent="0.2">
      <c r="A181" s="166">
        <f t="shared" si="20"/>
        <v>97</v>
      </c>
      <c r="C181" s="53" t="s">
        <v>10</v>
      </c>
      <c r="D181" s="371">
        <v>2014</v>
      </c>
      <c r="E181" s="244">
        <v>315108875.71999997</v>
      </c>
      <c r="F181" s="244">
        <v>7592159.9891804159</v>
      </c>
      <c r="G181" s="221">
        <f t="shared" si="19"/>
        <v>307516715.73081958</v>
      </c>
      <c r="H181" s="221">
        <f t="shared" si="21"/>
        <v>312813.50999999046</v>
      </c>
    </row>
    <row r="182" spans="1:8" x14ac:dyDescent="0.2">
      <c r="A182" s="166">
        <f t="shared" si="20"/>
        <v>98</v>
      </c>
      <c r="C182" s="53" t="s">
        <v>383</v>
      </c>
      <c r="D182" s="371">
        <v>2014</v>
      </c>
      <c r="E182" s="244">
        <v>315224742.88</v>
      </c>
      <c r="F182" s="244">
        <v>8273138.0412459988</v>
      </c>
      <c r="G182" s="221">
        <f t="shared" si="19"/>
        <v>306951604.838754</v>
      </c>
      <c r="H182" s="221">
        <f t="shared" si="21"/>
        <v>115867.16000002623</v>
      </c>
    </row>
    <row r="183" spans="1:8" x14ac:dyDescent="0.2">
      <c r="A183" s="166">
        <f t="shared" si="20"/>
        <v>99</v>
      </c>
      <c r="C183" s="58" t="s">
        <v>11</v>
      </c>
      <c r="D183" s="371">
        <v>2014</v>
      </c>
      <c r="E183" s="244">
        <v>315453645.16999996</v>
      </c>
      <c r="F183" s="244">
        <v>8954367.8845406659</v>
      </c>
      <c r="G183" s="221">
        <f t="shared" si="19"/>
        <v>306499277.28545928</v>
      </c>
      <c r="H183" s="221">
        <f t="shared" si="21"/>
        <v>228902.28999996185</v>
      </c>
    </row>
    <row r="184" spans="1:8" x14ac:dyDescent="0.2">
      <c r="A184" s="166">
        <f t="shared" si="20"/>
        <v>100</v>
      </c>
      <c r="C184" s="53" t="s">
        <v>12</v>
      </c>
      <c r="D184" s="371">
        <v>2014</v>
      </c>
      <c r="E184" s="244">
        <v>315775036.17999995</v>
      </c>
      <c r="F184" s="244">
        <v>9636170.6237569991</v>
      </c>
      <c r="G184" s="221">
        <f t="shared" si="19"/>
        <v>306138865.55624294</v>
      </c>
      <c r="H184" s="221">
        <f t="shared" si="21"/>
        <v>321391.00999999046</v>
      </c>
    </row>
    <row r="185" spans="1:8" x14ac:dyDescent="0.2">
      <c r="A185" s="166">
        <f t="shared" si="20"/>
        <v>101</v>
      </c>
      <c r="C185" s="53" t="s">
        <v>13</v>
      </c>
      <c r="D185" s="371">
        <v>2014</v>
      </c>
      <c r="E185" s="244">
        <v>315862464.08999991</v>
      </c>
      <c r="F185" s="244">
        <v>10318692.981630081</v>
      </c>
      <c r="G185" s="221">
        <f t="shared" si="19"/>
        <v>305543771.10836983</v>
      </c>
      <c r="H185" s="221">
        <f t="shared" si="21"/>
        <v>87427.909999966621</v>
      </c>
    </row>
    <row r="186" spans="1:8" x14ac:dyDescent="0.2">
      <c r="A186" s="166">
        <f t="shared" si="20"/>
        <v>102</v>
      </c>
      <c r="C186" s="58" t="s">
        <v>384</v>
      </c>
      <c r="D186" s="371">
        <v>2014</v>
      </c>
      <c r="E186" s="244">
        <v>315895716.41999996</v>
      </c>
      <c r="F186" s="244">
        <v>11001411.379020749</v>
      </c>
      <c r="G186" s="221">
        <f t="shared" si="19"/>
        <v>304894305.04097921</v>
      </c>
      <c r="H186" s="221">
        <f t="shared" si="21"/>
        <v>33252.330000042915</v>
      </c>
    </row>
    <row r="187" spans="1:8" x14ac:dyDescent="0.2">
      <c r="A187" s="166">
        <f t="shared" si="20"/>
        <v>103</v>
      </c>
      <c r="C187" s="58" t="s">
        <v>14</v>
      </c>
      <c r="D187" s="371">
        <v>2014</v>
      </c>
      <c r="E187" s="244">
        <v>315904725.61999995</v>
      </c>
      <c r="F187" s="244">
        <v>11684205.118294582</v>
      </c>
      <c r="G187" s="221">
        <f t="shared" si="19"/>
        <v>304220520.50170535</v>
      </c>
      <c r="H187" s="221">
        <f t="shared" si="21"/>
        <v>9009.1999999880791</v>
      </c>
    </row>
    <row r="188" spans="1:8" x14ac:dyDescent="0.2">
      <c r="A188" s="166">
        <f t="shared" si="20"/>
        <v>104</v>
      </c>
      <c r="C188" s="58" t="s">
        <v>6</v>
      </c>
      <c r="D188" s="371">
        <v>2014</v>
      </c>
      <c r="E188" s="244">
        <v>315362755.60999995</v>
      </c>
      <c r="F188" s="244">
        <v>12420969.35639333</v>
      </c>
      <c r="G188" s="221">
        <f t="shared" si="19"/>
        <v>302941786.25360662</v>
      </c>
      <c r="H188" s="221">
        <f t="shared" si="21"/>
        <v>-541970.00999999046</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2013</v>
      </c>
      <c r="E195" s="244">
        <v>0</v>
      </c>
      <c r="F195" s="244">
        <v>0</v>
      </c>
      <c r="G195" s="221">
        <f t="shared" ref="G195:G207" si="22">E195-F195</f>
        <v>0</v>
      </c>
      <c r="H195" s="221">
        <f>E195-E195</f>
        <v>0</v>
      </c>
    </row>
    <row r="196" spans="1:8" x14ac:dyDescent="0.2">
      <c r="A196" s="166">
        <f>A195+1</f>
        <v>106</v>
      </c>
      <c r="C196" s="58" t="s">
        <v>7</v>
      </c>
      <c r="D196" s="371">
        <v>2014</v>
      </c>
      <c r="E196" s="244">
        <v>0</v>
      </c>
      <c r="F196" s="244">
        <v>0</v>
      </c>
      <c r="G196" s="221">
        <f t="shared" si="22"/>
        <v>0</v>
      </c>
      <c r="H196" s="221">
        <f>E196-E195</f>
        <v>0</v>
      </c>
    </row>
    <row r="197" spans="1:8" x14ac:dyDescent="0.2">
      <c r="A197" s="166">
        <f t="shared" ref="A197:A207" si="23">A196+1</f>
        <v>107</v>
      </c>
      <c r="C197" s="53" t="s">
        <v>8</v>
      </c>
      <c r="D197" s="371">
        <v>2014</v>
      </c>
      <c r="E197" s="244">
        <v>0</v>
      </c>
      <c r="F197" s="244">
        <v>0</v>
      </c>
      <c r="G197" s="221">
        <f t="shared" si="22"/>
        <v>0</v>
      </c>
      <c r="H197" s="221">
        <f t="shared" ref="H197:H207" si="24">E197-E196</f>
        <v>0</v>
      </c>
    </row>
    <row r="198" spans="1:8" x14ac:dyDescent="0.2">
      <c r="A198" s="166">
        <f t="shared" si="23"/>
        <v>108</v>
      </c>
      <c r="C198" s="53" t="s">
        <v>18</v>
      </c>
      <c r="D198" s="371">
        <v>2014</v>
      </c>
      <c r="E198" s="244">
        <v>0</v>
      </c>
      <c r="F198" s="244">
        <v>0</v>
      </c>
      <c r="G198" s="221">
        <f t="shared" si="22"/>
        <v>0</v>
      </c>
      <c r="H198" s="221">
        <f t="shared" si="24"/>
        <v>0</v>
      </c>
    </row>
    <row r="199" spans="1:8" x14ac:dyDescent="0.2">
      <c r="A199" s="166">
        <f t="shared" si="23"/>
        <v>109</v>
      </c>
      <c r="C199" s="58" t="s">
        <v>9</v>
      </c>
      <c r="D199" s="371">
        <v>2014</v>
      </c>
      <c r="E199" s="244">
        <v>0</v>
      </c>
      <c r="F199" s="244">
        <v>0</v>
      </c>
      <c r="G199" s="221">
        <f t="shared" si="22"/>
        <v>0</v>
      </c>
      <c r="H199" s="221">
        <f t="shared" si="24"/>
        <v>0</v>
      </c>
    </row>
    <row r="200" spans="1:8" x14ac:dyDescent="0.2">
      <c r="A200" s="166">
        <f t="shared" si="23"/>
        <v>110</v>
      </c>
      <c r="C200" s="53" t="s">
        <v>10</v>
      </c>
      <c r="D200" s="371">
        <v>2014</v>
      </c>
      <c r="E200" s="244">
        <v>0</v>
      </c>
      <c r="F200" s="244">
        <v>0</v>
      </c>
      <c r="G200" s="221">
        <f t="shared" si="22"/>
        <v>0</v>
      </c>
      <c r="H200" s="221">
        <f t="shared" si="24"/>
        <v>0</v>
      </c>
    </row>
    <row r="201" spans="1:8" x14ac:dyDescent="0.2">
      <c r="A201" s="166">
        <f t="shared" si="23"/>
        <v>111</v>
      </c>
      <c r="C201" s="53" t="s">
        <v>383</v>
      </c>
      <c r="D201" s="371">
        <v>2014</v>
      </c>
      <c r="E201" s="244">
        <v>0</v>
      </c>
      <c r="F201" s="244">
        <v>0</v>
      </c>
      <c r="G201" s="221">
        <f t="shared" si="22"/>
        <v>0</v>
      </c>
      <c r="H201" s="221">
        <f t="shared" si="24"/>
        <v>0</v>
      </c>
    </row>
    <row r="202" spans="1:8" x14ac:dyDescent="0.2">
      <c r="A202" s="166">
        <f t="shared" si="23"/>
        <v>112</v>
      </c>
      <c r="C202" s="58" t="s">
        <v>11</v>
      </c>
      <c r="D202" s="371">
        <v>2014</v>
      </c>
      <c r="E202" s="244">
        <v>0</v>
      </c>
      <c r="F202" s="244">
        <v>0</v>
      </c>
      <c r="G202" s="221">
        <f t="shared" si="22"/>
        <v>0</v>
      </c>
      <c r="H202" s="221">
        <f t="shared" si="24"/>
        <v>0</v>
      </c>
    </row>
    <row r="203" spans="1:8" x14ac:dyDescent="0.2">
      <c r="A203" s="166">
        <f t="shared" si="23"/>
        <v>113</v>
      </c>
      <c r="C203" s="53" t="s">
        <v>12</v>
      </c>
      <c r="D203" s="371">
        <v>2014</v>
      </c>
      <c r="E203" s="244">
        <v>0</v>
      </c>
      <c r="F203" s="244">
        <v>0</v>
      </c>
      <c r="G203" s="221">
        <f t="shared" si="22"/>
        <v>0</v>
      </c>
      <c r="H203" s="221">
        <f t="shared" si="24"/>
        <v>0</v>
      </c>
    </row>
    <row r="204" spans="1:8" x14ac:dyDescent="0.2">
      <c r="A204" s="166">
        <f t="shared" si="23"/>
        <v>114</v>
      </c>
      <c r="C204" s="53" t="s">
        <v>13</v>
      </c>
      <c r="D204" s="371">
        <v>2014</v>
      </c>
      <c r="E204" s="244">
        <v>0</v>
      </c>
      <c r="F204" s="244">
        <v>0</v>
      </c>
      <c r="G204" s="221">
        <f t="shared" si="22"/>
        <v>0</v>
      </c>
      <c r="H204" s="221">
        <f t="shared" si="24"/>
        <v>0</v>
      </c>
    </row>
    <row r="205" spans="1:8" x14ac:dyDescent="0.2">
      <c r="A205" s="166">
        <f t="shared" si="23"/>
        <v>115</v>
      </c>
      <c r="C205" s="58" t="s">
        <v>384</v>
      </c>
      <c r="D205" s="371">
        <v>2014</v>
      </c>
      <c r="E205" s="244">
        <v>0</v>
      </c>
      <c r="F205" s="244">
        <v>0</v>
      </c>
      <c r="G205" s="221">
        <f t="shared" si="22"/>
        <v>0</v>
      </c>
      <c r="H205" s="221">
        <f t="shared" si="24"/>
        <v>0</v>
      </c>
    </row>
    <row r="206" spans="1:8" x14ac:dyDescent="0.2">
      <c r="A206" s="166">
        <f t="shared" si="23"/>
        <v>116</v>
      </c>
      <c r="C206" s="58" t="s">
        <v>14</v>
      </c>
      <c r="D206" s="371">
        <v>2014</v>
      </c>
      <c r="E206" s="244">
        <v>0</v>
      </c>
      <c r="F206" s="244">
        <v>0</v>
      </c>
      <c r="G206" s="221">
        <f t="shared" si="22"/>
        <v>0</v>
      </c>
      <c r="H206" s="221">
        <f t="shared" si="24"/>
        <v>0</v>
      </c>
    </row>
    <row r="207" spans="1:8" x14ac:dyDescent="0.2">
      <c r="A207" s="166">
        <f t="shared" si="23"/>
        <v>117</v>
      </c>
      <c r="C207" s="58" t="s">
        <v>6</v>
      </c>
      <c r="D207" s="371">
        <v>2014</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2013</v>
      </c>
      <c r="E214" s="244">
        <v>209564497.60999995</v>
      </c>
      <c r="F214" s="244">
        <v>2421063.2182534998</v>
      </c>
      <c r="G214" s="221">
        <f t="shared" ref="G214:G226" si="25">E214-F214</f>
        <v>207143434.39174646</v>
      </c>
      <c r="H214" s="221">
        <f>E214-E214</f>
        <v>0</v>
      </c>
    </row>
    <row r="215" spans="1:8" x14ac:dyDescent="0.2">
      <c r="A215" s="166">
        <f>A214+1</f>
        <v>119</v>
      </c>
      <c r="C215" s="58" t="s">
        <v>7</v>
      </c>
      <c r="D215" s="371">
        <v>2014</v>
      </c>
      <c r="E215" s="244">
        <v>210606351.09999996</v>
      </c>
      <c r="F215" s="244">
        <v>2859608.79114825</v>
      </c>
      <c r="G215" s="221">
        <f t="shared" si="25"/>
        <v>207746742.30885172</v>
      </c>
      <c r="H215" s="221">
        <f>E215-E214</f>
        <v>1041853.4900000095</v>
      </c>
    </row>
    <row r="216" spans="1:8" x14ac:dyDescent="0.2">
      <c r="A216" s="166">
        <f t="shared" ref="A216:A226" si="26">A215+1</f>
        <v>120</v>
      </c>
      <c r="C216" s="53" t="s">
        <v>8</v>
      </c>
      <c r="D216" s="371">
        <v>2014</v>
      </c>
      <c r="E216" s="244">
        <v>211448610.15999994</v>
      </c>
      <c r="F216" s="244">
        <v>3300322.6876812498</v>
      </c>
      <c r="G216" s="221">
        <f t="shared" si="25"/>
        <v>208148287.47231868</v>
      </c>
      <c r="H216" s="221">
        <f t="shared" ref="H216:H226" si="27">E216-E215</f>
        <v>842259.05999997258</v>
      </c>
    </row>
    <row r="217" spans="1:8" x14ac:dyDescent="0.2">
      <c r="A217" s="166">
        <f t="shared" si="26"/>
        <v>121</v>
      </c>
      <c r="C217" s="53" t="s">
        <v>18</v>
      </c>
      <c r="D217" s="371">
        <v>2014</v>
      </c>
      <c r="E217" s="244">
        <v>224070913.45999995</v>
      </c>
      <c r="F217" s="244">
        <v>3742793.8468841664</v>
      </c>
      <c r="G217" s="221">
        <f t="shared" si="25"/>
        <v>220328119.61311579</v>
      </c>
      <c r="H217" s="221">
        <f t="shared" si="27"/>
        <v>12622303.300000012</v>
      </c>
    </row>
    <row r="218" spans="1:8" x14ac:dyDescent="0.2">
      <c r="A218" s="166">
        <f t="shared" si="26"/>
        <v>122</v>
      </c>
      <c r="C218" s="58" t="s">
        <v>9</v>
      </c>
      <c r="D218" s="371">
        <v>2014</v>
      </c>
      <c r="E218" s="244">
        <v>224374952.73999995</v>
      </c>
      <c r="F218" s="244">
        <v>4211264.1270554168</v>
      </c>
      <c r="G218" s="221">
        <f t="shared" si="25"/>
        <v>220163688.61294454</v>
      </c>
      <c r="H218" s="221">
        <f t="shared" si="27"/>
        <v>304039.28000000119</v>
      </c>
    </row>
    <row r="219" spans="1:8" x14ac:dyDescent="0.2">
      <c r="A219" s="166">
        <f t="shared" si="26"/>
        <v>123</v>
      </c>
      <c r="C219" s="53" t="s">
        <v>10</v>
      </c>
      <c r="D219" s="371">
        <v>2014</v>
      </c>
      <c r="E219" s="244">
        <v>221439257.53999996</v>
      </c>
      <c r="F219" s="244">
        <v>4680362.9542805003</v>
      </c>
      <c r="G219" s="221">
        <f t="shared" si="25"/>
        <v>216758894.58571947</v>
      </c>
      <c r="H219" s="221">
        <f t="shared" si="27"/>
        <v>-2935695.1999999881</v>
      </c>
    </row>
    <row r="220" spans="1:8" x14ac:dyDescent="0.2">
      <c r="A220" s="166">
        <f t="shared" si="26"/>
        <v>124</v>
      </c>
      <c r="C220" s="53" t="s">
        <v>383</v>
      </c>
      <c r="D220" s="371">
        <v>2014</v>
      </c>
      <c r="E220" s="244">
        <v>224486051.17999995</v>
      </c>
      <c r="F220" s="244">
        <v>5143352.3673905833</v>
      </c>
      <c r="G220" s="221">
        <f t="shared" si="25"/>
        <v>219342698.81260937</v>
      </c>
      <c r="H220" s="221">
        <f t="shared" si="27"/>
        <v>3046793.6399999857</v>
      </c>
    </row>
    <row r="221" spans="1:8" x14ac:dyDescent="0.2">
      <c r="A221" s="166">
        <f t="shared" si="26"/>
        <v>125</v>
      </c>
      <c r="C221" s="58" t="s">
        <v>11</v>
      </c>
      <c r="D221" s="371">
        <v>2014</v>
      </c>
      <c r="E221" s="244">
        <v>224749413.76999992</v>
      </c>
      <c r="F221" s="244">
        <v>5612680.3291154997</v>
      </c>
      <c r="G221" s="221">
        <f t="shared" si="25"/>
        <v>219136733.44088441</v>
      </c>
      <c r="H221" s="221">
        <f t="shared" si="27"/>
        <v>263362.58999997377</v>
      </c>
    </row>
    <row r="222" spans="1:8" x14ac:dyDescent="0.2">
      <c r="A222" s="166">
        <f t="shared" si="26"/>
        <v>126</v>
      </c>
      <c r="C222" s="53" t="s">
        <v>12</v>
      </c>
      <c r="D222" s="371">
        <v>2014</v>
      </c>
      <c r="E222" s="244">
        <v>224969658.87999994</v>
      </c>
      <c r="F222" s="244">
        <v>6082554.7747364994</v>
      </c>
      <c r="G222" s="221">
        <f t="shared" si="25"/>
        <v>218887104.10526344</v>
      </c>
      <c r="H222" s="221">
        <f t="shared" si="27"/>
        <v>220245.11000001431</v>
      </c>
    </row>
    <row r="223" spans="1:8" x14ac:dyDescent="0.2">
      <c r="A223" s="166">
        <f t="shared" si="26"/>
        <v>127</v>
      </c>
      <c r="C223" s="53" t="s">
        <v>13</v>
      </c>
      <c r="D223" s="371">
        <v>2014</v>
      </c>
      <c r="E223" s="244">
        <v>225100387.44999996</v>
      </c>
      <c r="F223" s="244">
        <v>6552887.237262249</v>
      </c>
      <c r="G223" s="221">
        <f t="shared" si="25"/>
        <v>218547500.21273771</v>
      </c>
      <c r="H223" s="221">
        <f t="shared" si="27"/>
        <v>130728.57000002265</v>
      </c>
    </row>
    <row r="224" spans="1:8" x14ac:dyDescent="0.2">
      <c r="A224" s="166">
        <f t="shared" si="26"/>
        <v>128</v>
      </c>
      <c r="C224" s="58" t="s">
        <v>384</v>
      </c>
      <c r="D224" s="371">
        <v>2014</v>
      </c>
      <c r="E224" s="244">
        <v>225026677</v>
      </c>
      <c r="F224" s="244">
        <v>7023492.6179895839</v>
      </c>
      <c r="G224" s="221">
        <f t="shared" si="25"/>
        <v>218003184.38201043</v>
      </c>
      <c r="H224" s="221">
        <f t="shared" si="27"/>
        <v>-73710.449999958277</v>
      </c>
    </row>
    <row r="225" spans="1:8" x14ac:dyDescent="0.2">
      <c r="A225" s="166">
        <f t="shared" si="26"/>
        <v>129</v>
      </c>
      <c r="C225" s="58" t="s">
        <v>14</v>
      </c>
      <c r="D225" s="371">
        <v>2014</v>
      </c>
      <c r="E225" s="244">
        <v>225036185.62</v>
      </c>
      <c r="F225" s="244">
        <v>7496566.1131832497</v>
      </c>
      <c r="G225" s="221">
        <f t="shared" si="25"/>
        <v>217539619.50681674</v>
      </c>
      <c r="H225" s="221">
        <f t="shared" si="27"/>
        <v>9508.6200000047684</v>
      </c>
    </row>
    <row r="226" spans="1:8" x14ac:dyDescent="0.2">
      <c r="A226" s="166">
        <f t="shared" si="26"/>
        <v>130</v>
      </c>
      <c r="C226" s="58" t="s">
        <v>6</v>
      </c>
      <c r="D226" s="371">
        <v>2014</v>
      </c>
      <c r="E226" s="244">
        <v>225899760.88999999</v>
      </c>
      <c r="F226" s="244">
        <v>7969659.1805972494</v>
      </c>
      <c r="G226" s="221">
        <f t="shared" si="25"/>
        <v>217930101.70940274</v>
      </c>
      <c r="H226" s="221">
        <f t="shared" si="27"/>
        <v>863575.26999998093</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2013</v>
      </c>
      <c r="E233" s="244">
        <v>4391956.76</v>
      </c>
      <c r="F233" s="244">
        <v>82510.147645249992</v>
      </c>
      <c r="G233" s="221">
        <f t="shared" ref="G233:G245" si="28">E233-F233</f>
        <v>4309446.6123547498</v>
      </c>
      <c r="H233" s="221">
        <f>E233-E233</f>
        <v>0</v>
      </c>
    </row>
    <row r="234" spans="1:8" x14ac:dyDescent="0.2">
      <c r="A234" s="166">
        <f>A233+1</f>
        <v>132</v>
      </c>
      <c r="C234" s="58" t="s">
        <v>7</v>
      </c>
      <c r="D234" s="371">
        <v>2014</v>
      </c>
      <c r="E234" s="244">
        <v>4391956.76</v>
      </c>
      <c r="F234" s="244">
        <v>91550.258642916655</v>
      </c>
      <c r="G234" s="221">
        <f t="shared" si="28"/>
        <v>4300406.5013570832</v>
      </c>
      <c r="H234" s="221">
        <f>E234-E233</f>
        <v>0</v>
      </c>
    </row>
    <row r="235" spans="1:8" x14ac:dyDescent="0.2">
      <c r="A235" s="166">
        <f t="shared" ref="A235:A245" si="29">A234+1</f>
        <v>133</v>
      </c>
      <c r="C235" s="53" t="s">
        <v>8</v>
      </c>
      <c r="D235" s="371">
        <v>2014</v>
      </c>
      <c r="E235" s="244">
        <v>13352163.950000001</v>
      </c>
      <c r="F235" s="244">
        <v>100590.36964058332</v>
      </c>
      <c r="G235" s="221">
        <f t="shared" si="28"/>
        <v>13251573.580359418</v>
      </c>
      <c r="H235" s="221">
        <f t="shared" ref="H235:H245" si="30">E235-E234</f>
        <v>8960207.1900000013</v>
      </c>
    </row>
    <row r="236" spans="1:8" x14ac:dyDescent="0.2">
      <c r="A236" s="166">
        <f t="shared" si="29"/>
        <v>134</v>
      </c>
      <c r="C236" s="53" t="s">
        <v>18</v>
      </c>
      <c r="D236" s="371">
        <v>2014</v>
      </c>
      <c r="E236" s="244">
        <v>13352163.950000001</v>
      </c>
      <c r="F236" s="244">
        <v>128073.573771</v>
      </c>
      <c r="G236" s="221">
        <f t="shared" si="28"/>
        <v>13224090.376229001</v>
      </c>
      <c r="H236" s="221">
        <f t="shared" si="30"/>
        <v>0</v>
      </c>
    </row>
    <row r="237" spans="1:8" x14ac:dyDescent="0.2">
      <c r="A237" s="166">
        <f t="shared" si="29"/>
        <v>135</v>
      </c>
      <c r="C237" s="58" t="s">
        <v>9</v>
      </c>
      <c r="D237" s="371">
        <v>2014</v>
      </c>
      <c r="E237" s="244">
        <v>13203299.590000002</v>
      </c>
      <c r="F237" s="244">
        <v>155556.77790141667</v>
      </c>
      <c r="G237" s="221">
        <f t="shared" si="28"/>
        <v>13047742.812098585</v>
      </c>
      <c r="H237" s="221">
        <f t="shared" si="30"/>
        <v>-148864.3599999994</v>
      </c>
    </row>
    <row r="238" spans="1:8" x14ac:dyDescent="0.2">
      <c r="A238" s="166">
        <f t="shared" si="29"/>
        <v>136</v>
      </c>
      <c r="C238" s="53" t="s">
        <v>10</v>
      </c>
      <c r="D238" s="371">
        <v>2014</v>
      </c>
      <c r="E238" s="244">
        <v>13203603.590000002</v>
      </c>
      <c r="F238" s="244">
        <v>182733.56955750001</v>
      </c>
      <c r="G238" s="221">
        <f t="shared" si="28"/>
        <v>13020870.020442503</v>
      </c>
      <c r="H238" s="221">
        <f t="shared" si="30"/>
        <v>304</v>
      </c>
    </row>
    <row r="239" spans="1:8" x14ac:dyDescent="0.2">
      <c r="A239" s="166">
        <f t="shared" si="29"/>
        <v>137</v>
      </c>
      <c r="C239" s="53" t="s">
        <v>383</v>
      </c>
      <c r="D239" s="371">
        <v>2014</v>
      </c>
      <c r="E239" s="244">
        <v>13212876.890000002</v>
      </c>
      <c r="F239" s="244">
        <v>209910.98694691667</v>
      </c>
      <c r="G239" s="221">
        <f t="shared" si="28"/>
        <v>13002965.903053086</v>
      </c>
      <c r="H239" s="221">
        <f t="shared" si="30"/>
        <v>9273.3000000007451</v>
      </c>
    </row>
    <row r="240" spans="1:8" x14ac:dyDescent="0.2">
      <c r="A240" s="166">
        <f t="shared" si="29"/>
        <v>138</v>
      </c>
      <c r="C240" s="58" t="s">
        <v>11</v>
      </c>
      <c r="D240" s="371">
        <v>2014</v>
      </c>
      <c r="E240" s="244">
        <v>13217482.310000002</v>
      </c>
      <c r="F240" s="244">
        <v>237107.49187883333</v>
      </c>
      <c r="G240" s="221">
        <f t="shared" si="28"/>
        <v>12980374.818121169</v>
      </c>
      <c r="H240" s="221">
        <f t="shared" si="30"/>
        <v>4605.4199999999255</v>
      </c>
    </row>
    <row r="241" spans="1:8" x14ac:dyDescent="0.2">
      <c r="A241" s="166">
        <f t="shared" si="29"/>
        <v>139</v>
      </c>
      <c r="C241" s="53" t="s">
        <v>12</v>
      </c>
      <c r="D241" s="371">
        <v>2014</v>
      </c>
      <c r="E241" s="244">
        <v>13199068.810000001</v>
      </c>
      <c r="F241" s="244">
        <v>264313.47629858332</v>
      </c>
      <c r="G241" s="221">
        <f t="shared" si="28"/>
        <v>12934755.333701417</v>
      </c>
      <c r="H241" s="221">
        <f t="shared" si="30"/>
        <v>-18413.500000001863</v>
      </c>
    </row>
    <row r="242" spans="1:8" x14ac:dyDescent="0.2">
      <c r="A242" s="166">
        <f t="shared" si="29"/>
        <v>140</v>
      </c>
      <c r="C242" s="53" t="s">
        <v>13</v>
      </c>
      <c r="D242" s="371">
        <v>2014</v>
      </c>
      <c r="E242" s="244">
        <v>13208853.460000001</v>
      </c>
      <c r="F242" s="244">
        <v>291481.53573416662</v>
      </c>
      <c r="G242" s="221">
        <f t="shared" si="28"/>
        <v>12917371.924265834</v>
      </c>
      <c r="H242" s="221">
        <f t="shared" si="30"/>
        <v>9784.6500000003725</v>
      </c>
    </row>
    <row r="243" spans="1:8" x14ac:dyDescent="0.2">
      <c r="A243" s="166">
        <f t="shared" si="29"/>
        <v>141</v>
      </c>
      <c r="C243" s="58" t="s">
        <v>384</v>
      </c>
      <c r="D243" s="371">
        <v>2014</v>
      </c>
      <c r="E243" s="244">
        <v>13219082.910000002</v>
      </c>
      <c r="F243" s="244">
        <v>318669.73524516664</v>
      </c>
      <c r="G243" s="221">
        <f t="shared" si="28"/>
        <v>12900413.174754836</v>
      </c>
      <c r="H243" s="221">
        <f t="shared" si="30"/>
        <v>10229.450000001118</v>
      </c>
    </row>
    <row r="244" spans="1:8" x14ac:dyDescent="0.2">
      <c r="A244" s="166">
        <f t="shared" si="29"/>
        <v>142</v>
      </c>
      <c r="C244" s="58" t="s">
        <v>14</v>
      </c>
      <c r="D244" s="371">
        <v>2014</v>
      </c>
      <c r="E244" s="244">
        <v>13227338.860000001</v>
      </c>
      <c r="F244" s="244">
        <v>345890.97064991668</v>
      </c>
      <c r="G244" s="221">
        <f t="shared" si="28"/>
        <v>12881447.889350085</v>
      </c>
      <c r="H244" s="221">
        <f t="shared" si="30"/>
        <v>8255.9499999992549</v>
      </c>
    </row>
    <row r="245" spans="1:8" x14ac:dyDescent="0.2">
      <c r="A245" s="166">
        <f t="shared" si="29"/>
        <v>143</v>
      </c>
      <c r="C245" s="58" t="s">
        <v>6</v>
      </c>
      <c r="D245" s="371">
        <v>2014</v>
      </c>
      <c r="E245" s="244">
        <v>53764367.100000001</v>
      </c>
      <c r="F245" s="244">
        <v>373129.19955175003</v>
      </c>
      <c r="G245" s="221">
        <f t="shared" si="28"/>
        <v>53391237.900448248</v>
      </c>
      <c r="H245" s="221">
        <f t="shared" si="30"/>
        <v>40537028.240000002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2013</v>
      </c>
      <c r="E252" s="593">
        <v>67486496.150000006</v>
      </c>
      <c r="F252" s="593">
        <v>828288.19718574989</v>
      </c>
      <c r="G252" s="179">
        <f t="shared" ref="G252:G264" si="31">E252-F252</f>
        <v>66658207.952814259</v>
      </c>
      <c r="H252" s="221">
        <f>E252-E252</f>
        <v>0</v>
      </c>
    </row>
    <row r="253" spans="1:8" x14ac:dyDescent="0.2">
      <c r="A253" s="166">
        <f>A252+1</f>
        <v>145</v>
      </c>
      <c r="C253" s="58" t="s">
        <v>7</v>
      </c>
      <c r="D253" s="371">
        <v>2014</v>
      </c>
      <c r="E253" s="595">
        <v>67623138.650000006</v>
      </c>
      <c r="F253" s="595">
        <v>968045.30844116653</v>
      </c>
      <c r="G253" s="179">
        <f t="shared" si="31"/>
        <v>66655093.341558836</v>
      </c>
      <c r="H253" s="221">
        <f>E253-E252</f>
        <v>136642.5</v>
      </c>
    </row>
    <row r="254" spans="1:8" x14ac:dyDescent="0.2">
      <c r="A254" s="166">
        <f t="shared" ref="A254:A264" si="32">A253+1</f>
        <v>146</v>
      </c>
      <c r="C254" s="53" t="s">
        <v>8</v>
      </c>
      <c r="D254" s="371">
        <v>2014</v>
      </c>
      <c r="E254" s="595">
        <v>67629185.120000005</v>
      </c>
      <c r="F254" s="595">
        <v>1108085.41692575</v>
      </c>
      <c r="G254" s="179">
        <f t="shared" si="31"/>
        <v>66521099.703074254</v>
      </c>
      <c r="H254" s="221">
        <f t="shared" ref="H254:H264" si="33">E254-E253</f>
        <v>6046.4699999988079</v>
      </c>
    </row>
    <row r="255" spans="1:8" x14ac:dyDescent="0.2">
      <c r="A255" s="166">
        <f t="shared" si="32"/>
        <v>147</v>
      </c>
      <c r="C255" s="53" t="s">
        <v>18</v>
      </c>
      <c r="D255" s="371">
        <v>2014</v>
      </c>
      <c r="E255" s="595">
        <v>67661712.340000004</v>
      </c>
      <c r="F255" s="595">
        <v>1248138.0481194167</v>
      </c>
      <c r="G255" s="179">
        <f t="shared" si="31"/>
        <v>66413574.291880585</v>
      </c>
      <c r="H255" s="221">
        <f t="shared" si="33"/>
        <v>32527.219999998808</v>
      </c>
    </row>
    <row r="256" spans="1:8" x14ac:dyDescent="0.2">
      <c r="A256" s="166">
        <f t="shared" si="32"/>
        <v>148</v>
      </c>
      <c r="C256" s="58" t="s">
        <v>9</v>
      </c>
      <c r="D256" s="371">
        <v>2014</v>
      </c>
      <c r="E256" s="595">
        <v>67688913.5</v>
      </c>
      <c r="F256" s="595">
        <v>1388258.0457117497</v>
      </c>
      <c r="G256" s="179">
        <f t="shared" si="31"/>
        <v>66300655.454288252</v>
      </c>
      <c r="H256" s="221">
        <f t="shared" si="33"/>
        <v>27201.159999996424</v>
      </c>
    </row>
    <row r="257" spans="1:8" x14ac:dyDescent="0.2">
      <c r="A257" s="166">
        <f t="shared" si="32"/>
        <v>149</v>
      </c>
      <c r="C257" s="53" t="s">
        <v>10</v>
      </c>
      <c r="D257" s="371">
        <v>2014</v>
      </c>
      <c r="E257" s="595">
        <v>67719663.870000005</v>
      </c>
      <c r="F257" s="595">
        <v>1528434.0809084163</v>
      </c>
      <c r="G257" s="179">
        <f t="shared" si="31"/>
        <v>66191229.789091587</v>
      </c>
      <c r="H257" s="221">
        <f t="shared" si="33"/>
        <v>30750.370000004768</v>
      </c>
    </row>
    <row r="258" spans="1:8" x14ac:dyDescent="0.2">
      <c r="A258" s="166">
        <f t="shared" si="32"/>
        <v>150</v>
      </c>
      <c r="C258" s="53" t="s">
        <v>383</v>
      </c>
      <c r="D258" s="371">
        <v>2014</v>
      </c>
      <c r="E258" s="595">
        <v>67726113.280000001</v>
      </c>
      <c r="F258" s="595">
        <v>1668673.4655016665</v>
      </c>
      <c r="G258" s="179">
        <f t="shared" si="31"/>
        <v>66057439.814498335</v>
      </c>
      <c r="H258" s="221">
        <f t="shared" si="33"/>
        <v>6449.4099999964237</v>
      </c>
    </row>
    <row r="259" spans="1:8" x14ac:dyDescent="0.2">
      <c r="A259" s="166">
        <f t="shared" si="32"/>
        <v>151</v>
      </c>
      <c r="C259" s="58" t="s">
        <v>11</v>
      </c>
      <c r="D259" s="371">
        <v>2014</v>
      </c>
      <c r="E259" s="595">
        <v>67725817.640000015</v>
      </c>
      <c r="F259" s="595">
        <v>1808926.1366413331</v>
      </c>
      <c r="G259" s="179">
        <f t="shared" si="31"/>
        <v>65916891.503358684</v>
      </c>
      <c r="H259" s="221">
        <f t="shared" si="33"/>
        <v>-295.63999998569489</v>
      </c>
    </row>
    <row r="260" spans="1:8" x14ac:dyDescent="0.2">
      <c r="A260" s="166">
        <f t="shared" si="32"/>
        <v>152</v>
      </c>
      <c r="C260" s="53" t="s">
        <v>12</v>
      </c>
      <c r="D260" s="371">
        <v>2014</v>
      </c>
      <c r="E260" s="595">
        <v>67736513.900000006</v>
      </c>
      <c r="F260" s="595">
        <v>1949178.198727</v>
      </c>
      <c r="G260" s="179">
        <f t="shared" si="31"/>
        <v>65787335.701273009</v>
      </c>
      <c r="H260" s="221">
        <f t="shared" si="33"/>
        <v>10696.259999990463</v>
      </c>
    </row>
    <row r="261" spans="1:8" x14ac:dyDescent="0.2">
      <c r="A261" s="166">
        <f t="shared" si="32"/>
        <v>153</v>
      </c>
      <c r="C261" s="53" t="s">
        <v>13</v>
      </c>
      <c r="D261" s="371">
        <v>2014</v>
      </c>
      <c r="E261" s="595">
        <v>67744117.670000017</v>
      </c>
      <c r="F261" s="595">
        <v>2089452.2963720001</v>
      </c>
      <c r="G261" s="179">
        <f t="shared" si="31"/>
        <v>65654665.37362802</v>
      </c>
      <c r="H261" s="221">
        <f t="shared" si="33"/>
        <v>7603.7700000107288</v>
      </c>
    </row>
    <row r="262" spans="1:8" x14ac:dyDescent="0.2">
      <c r="A262" s="166">
        <f t="shared" si="32"/>
        <v>154</v>
      </c>
      <c r="C262" s="58" t="s">
        <v>384</v>
      </c>
      <c r="D262" s="371">
        <v>2014</v>
      </c>
      <c r="E262" s="595">
        <v>67745165.800000012</v>
      </c>
      <c r="F262" s="595">
        <v>2229742.0586819164</v>
      </c>
      <c r="G262" s="179">
        <f t="shared" si="31"/>
        <v>65515423.741318092</v>
      </c>
      <c r="H262" s="221">
        <f t="shared" si="33"/>
        <v>1048.1299999952316</v>
      </c>
    </row>
    <row r="263" spans="1:8" x14ac:dyDescent="0.2">
      <c r="A263" s="166">
        <f t="shared" si="32"/>
        <v>155</v>
      </c>
      <c r="C263" s="58" t="s">
        <v>14</v>
      </c>
      <c r="D263" s="371">
        <v>2014</v>
      </c>
      <c r="E263" s="595">
        <v>67844595.510000005</v>
      </c>
      <c r="F263" s="595">
        <v>2370033.9802635834</v>
      </c>
      <c r="G263" s="179">
        <f t="shared" si="31"/>
        <v>65474561.529736422</v>
      </c>
      <c r="H263" s="221">
        <f t="shared" si="33"/>
        <v>99429.709999993443</v>
      </c>
    </row>
    <row r="264" spans="1:8" ht="13.5" thickBot="1" x14ac:dyDescent="0.25">
      <c r="A264" s="166">
        <f t="shared" si="32"/>
        <v>156</v>
      </c>
      <c r="C264" s="58" t="s">
        <v>6</v>
      </c>
      <c r="D264" s="371">
        <v>2014</v>
      </c>
      <c r="E264" s="596">
        <v>67843036.730000019</v>
      </c>
      <c r="F264" s="596">
        <v>2510530.7387999999</v>
      </c>
      <c r="G264" s="179">
        <f t="shared" si="31"/>
        <v>65332505.991200022</v>
      </c>
      <c r="H264" s="221">
        <f t="shared" si="33"/>
        <v>-1558.7799999862909</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2013</v>
      </c>
      <c r="E271" s="244">
        <v>0</v>
      </c>
      <c r="F271" s="244">
        <v>0</v>
      </c>
      <c r="G271" s="221">
        <f t="shared" ref="G271:G283" si="34">E271-F271</f>
        <v>0</v>
      </c>
      <c r="H271" s="173">
        <f>E271-E271</f>
        <v>0</v>
      </c>
    </row>
    <row r="272" spans="1:8" x14ac:dyDescent="0.2">
      <c r="A272" s="166">
        <f>A271+1</f>
        <v>158</v>
      </c>
      <c r="C272" s="58" t="s">
        <v>7</v>
      </c>
      <c r="D272" s="371">
        <v>2014</v>
      </c>
      <c r="E272" s="244">
        <v>0</v>
      </c>
      <c r="F272" s="244">
        <v>0</v>
      </c>
      <c r="G272" s="221">
        <f t="shared" si="34"/>
        <v>0</v>
      </c>
      <c r="H272" s="221">
        <f>E272-E271</f>
        <v>0</v>
      </c>
    </row>
    <row r="273" spans="1:8" x14ac:dyDescent="0.2">
      <c r="A273" s="166">
        <f t="shared" ref="A273:A283" si="35">A272+1</f>
        <v>159</v>
      </c>
      <c r="C273" s="53" t="s">
        <v>8</v>
      </c>
      <c r="D273" s="371">
        <v>2014</v>
      </c>
      <c r="E273" s="244">
        <v>0</v>
      </c>
      <c r="F273" s="244">
        <v>0</v>
      </c>
      <c r="G273" s="221">
        <f t="shared" si="34"/>
        <v>0</v>
      </c>
      <c r="H273" s="221">
        <f t="shared" ref="H273:H283" si="36">E273-E272</f>
        <v>0</v>
      </c>
    </row>
    <row r="274" spans="1:8" x14ac:dyDescent="0.2">
      <c r="A274" s="166">
        <f t="shared" si="35"/>
        <v>160</v>
      </c>
      <c r="C274" s="53" t="s">
        <v>18</v>
      </c>
      <c r="D274" s="371">
        <v>2014</v>
      </c>
      <c r="E274" s="244">
        <v>0</v>
      </c>
      <c r="F274" s="244">
        <v>0</v>
      </c>
      <c r="G274" s="221">
        <f t="shared" si="34"/>
        <v>0</v>
      </c>
      <c r="H274" s="221">
        <f t="shared" si="36"/>
        <v>0</v>
      </c>
    </row>
    <row r="275" spans="1:8" x14ac:dyDescent="0.2">
      <c r="A275" s="166">
        <f t="shared" si="35"/>
        <v>161</v>
      </c>
      <c r="C275" s="58" t="s">
        <v>9</v>
      </c>
      <c r="D275" s="371">
        <v>2014</v>
      </c>
      <c r="E275" s="244">
        <v>0</v>
      </c>
      <c r="F275" s="244">
        <v>0</v>
      </c>
      <c r="G275" s="221">
        <f t="shared" si="34"/>
        <v>0</v>
      </c>
      <c r="H275" s="221">
        <f t="shared" si="36"/>
        <v>0</v>
      </c>
    </row>
    <row r="276" spans="1:8" x14ac:dyDescent="0.2">
      <c r="A276" s="166">
        <f t="shared" si="35"/>
        <v>162</v>
      </c>
      <c r="C276" s="53" t="s">
        <v>10</v>
      </c>
      <c r="D276" s="371">
        <v>2014</v>
      </c>
      <c r="E276" s="244">
        <v>0</v>
      </c>
      <c r="F276" s="244">
        <v>0</v>
      </c>
      <c r="G276" s="221">
        <f t="shared" si="34"/>
        <v>0</v>
      </c>
      <c r="H276" s="221">
        <f t="shared" si="36"/>
        <v>0</v>
      </c>
    </row>
    <row r="277" spans="1:8" x14ac:dyDescent="0.2">
      <c r="A277" s="166">
        <f t="shared" si="35"/>
        <v>163</v>
      </c>
      <c r="C277" s="53" t="s">
        <v>383</v>
      </c>
      <c r="D277" s="371">
        <v>2014</v>
      </c>
      <c r="E277" s="244">
        <v>0</v>
      </c>
      <c r="F277" s="244">
        <v>0</v>
      </c>
      <c r="G277" s="221">
        <f t="shared" si="34"/>
        <v>0</v>
      </c>
      <c r="H277" s="221">
        <f t="shared" si="36"/>
        <v>0</v>
      </c>
    </row>
    <row r="278" spans="1:8" x14ac:dyDescent="0.2">
      <c r="A278" s="166">
        <f t="shared" si="35"/>
        <v>164</v>
      </c>
      <c r="C278" s="58" t="s">
        <v>11</v>
      </c>
      <c r="D278" s="371">
        <v>2014</v>
      </c>
      <c r="E278" s="244">
        <v>0</v>
      </c>
      <c r="F278" s="244">
        <v>0</v>
      </c>
      <c r="G278" s="221">
        <f t="shared" si="34"/>
        <v>0</v>
      </c>
      <c r="H278" s="221">
        <f t="shared" si="36"/>
        <v>0</v>
      </c>
    </row>
    <row r="279" spans="1:8" x14ac:dyDescent="0.2">
      <c r="A279" s="166">
        <f t="shared" si="35"/>
        <v>165</v>
      </c>
      <c r="C279" s="53" t="s">
        <v>12</v>
      </c>
      <c r="D279" s="371">
        <v>2014</v>
      </c>
      <c r="E279" s="244">
        <v>0</v>
      </c>
      <c r="F279" s="244">
        <v>0</v>
      </c>
      <c r="G279" s="221">
        <f t="shared" si="34"/>
        <v>0</v>
      </c>
      <c r="H279" s="221">
        <f t="shared" si="36"/>
        <v>0</v>
      </c>
    </row>
    <row r="280" spans="1:8" x14ac:dyDescent="0.2">
      <c r="A280" s="166">
        <f t="shared" si="35"/>
        <v>166</v>
      </c>
      <c r="C280" s="53" t="s">
        <v>13</v>
      </c>
      <c r="D280" s="371">
        <v>2014</v>
      </c>
      <c r="E280" s="244">
        <v>0</v>
      </c>
      <c r="F280" s="244">
        <v>0</v>
      </c>
      <c r="G280" s="221">
        <f t="shared" si="34"/>
        <v>0</v>
      </c>
      <c r="H280" s="221">
        <f t="shared" si="36"/>
        <v>0</v>
      </c>
    </row>
    <row r="281" spans="1:8" x14ac:dyDescent="0.2">
      <c r="A281" s="166">
        <f t="shared" si="35"/>
        <v>167</v>
      </c>
      <c r="C281" s="58" t="s">
        <v>384</v>
      </c>
      <c r="D281" s="371">
        <v>2014</v>
      </c>
      <c r="E281" s="244">
        <v>0</v>
      </c>
      <c r="F281" s="244">
        <v>0</v>
      </c>
      <c r="G281" s="221">
        <f t="shared" si="34"/>
        <v>0</v>
      </c>
      <c r="H281" s="221">
        <f t="shared" si="36"/>
        <v>0</v>
      </c>
    </row>
    <row r="282" spans="1:8" x14ac:dyDescent="0.2">
      <c r="A282" s="166">
        <f t="shared" si="35"/>
        <v>168</v>
      </c>
      <c r="C282" s="58" t="s">
        <v>14</v>
      </c>
      <c r="D282" s="371">
        <v>2014</v>
      </c>
      <c r="E282" s="244">
        <v>0</v>
      </c>
      <c r="F282" s="244">
        <v>0</v>
      </c>
      <c r="G282" s="221">
        <f t="shared" si="34"/>
        <v>0</v>
      </c>
      <c r="H282" s="221">
        <f t="shared" si="36"/>
        <v>0</v>
      </c>
    </row>
    <row r="283" spans="1:8" x14ac:dyDescent="0.2">
      <c r="A283" s="166">
        <f t="shared" si="35"/>
        <v>169</v>
      </c>
      <c r="C283" s="58" t="s">
        <v>6</v>
      </c>
      <c r="D283" s="371">
        <v>2014</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2013</v>
      </c>
      <c r="E290" s="244">
        <v>0</v>
      </c>
      <c r="F290" s="244">
        <v>0</v>
      </c>
      <c r="G290" s="221">
        <f t="shared" ref="G290:G302" si="37">E290-F290</f>
        <v>0</v>
      </c>
      <c r="H290" s="221">
        <f>E290-E290</f>
        <v>0</v>
      </c>
    </row>
    <row r="291" spans="1:8" x14ac:dyDescent="0.2">
      <c r="A291" s="166">
        <f>A290+1</f>
        <v>171</v>
      </c>
      <c r="C291" s="58" t="s">
        <v>7</v>
      </c>
      <c r="D291" s="371">
        <v>2014</v>
      </c>
      <c r="E291" s="244">
        <v>0</v>
      </c>
      <c r="F291" s="244">
        <v>0</v>
      </c>
      <c r="G291" s="221">
        <f t="shared" si="37"/>
        <v>0</v>
      </c>
      <c r="H291" s="221">
        <f>E291-E290</f>
        <v>0</v>
      </c>
    </row>
    <row r="292" spans="1:8" x14ac:dyDescent="0.2">
      <c r="A292" s="166">
        <f t="shared" ref="A292:A302" si="38">A291+1</f>
        <v>172</v>
      </c>
      <c r="C292" s="53" t="s">
        <v>8</v>
      </c>
      <c r="D292" s="371">
        <v>2014</v>
      </c>
      <c r="E292" s="244">
        <v>0</v>
      </c>
      <c r="F292" s="244">
        <v>0</v>
      </c>
      <c r="G292" s="221">
        <f t="shared" si="37"/>
        <v>0</v>
      </c>
      <c r="H292" s="221">
        <f t="shared" ref="H292:H302" si="39">E292-E291</f>
        <v>0</v>
      </c>
    </row>
    <row r="293" spans="1:8" x14ac:dyDescent="0.2">
      <c r="A293" s="166">
        <f t="shared" si="38"/>
        <v>173</v>
      </c>
      <c r="C293" s="53" t="s">
        <v>18</v>
      </c>
      <c r="D293" s="371">
        <v>2014</v>
      </c>
      <c r="E293" s="244">
        <v>0</v>
      </c>
      <c r="F293" s="244">
        <v>0</v>
      </c>
      <c r="G293" s="221">
        <f t="shared" si="37"/>
        <v>0</v>
      </c>
      <c r="H293" s="221">
        <f t="shared" si="39"/>
        <v>0</v>
      </c>
    </row>
    <row r="294" spans="1:8" x14ac:dyDescent="0.2">
      <c r="A294" s="166">
        <f t="shared" si="38"/>
        <v>174</v>
      </c>
      <c r="C294" s="58" t="s">
        <v>9</v>
      </c>
      <c r="D294" s="371">
        <v>2014</v>
      </c>
      <c r="E294" s="244">
        <v>0</v>
      </c>
      <c r="F294" s="244">
        <v>0</v>
      </c>
      <c r="G294" s="221">
        <f t="shared" si="37"/>
        <v>0</v>
      </c>
      <c r="H294" s="221">
        <f t="shared" si="39"/>
        <v>0</v>
      </c>
    </row>
    <row r="295" spans="1:8" x14ac:dyDescent="0.2">
      <c r="A295" s="166">
        <f t="shared" si="38"/>
        <v>175</v>
      </c>
      <c r="C295" s="53" t="s">
        <v>10</v>
      </c>
      <c r="D295" s="371">
        <v>2014</v>
      </c>
      <c r="E295" s="244">
        <v>0</v>
      </c>
      <c r="F295" s="244">
        <v>0</v>
      </c>
      <c r="G295" s="221">
        <f t="shared" si="37"/>
        <v>0</v>
      </c>
      <c r="H295" s="221">
        <f t="shared" si="39"/>
        <v>0</v>
      </c>
    </row>
    <row r="296" spans="1:8" x14ac:dyDescent="0.2">
      <c r="A296" s="166">
        <f t="shared" si="38"/>
        <v>176</v>
      </c>
      <c r="C296" s="53" t="s">
        <v>383</v>
      </c>
      <c r="D296" s="371">
        <v>2014</v>
      </c>
      <c r="E296" s="244">
        <v>0</v>
      </c>
      <c r="F296" s="244">
        <v>0</v>
      </c>
      <c r="G296" s="221">
        <f t="shared" si="37"/>
        <v>0</v>
      </c>
      <c r="H296" s="221">
        <f t="shared" si="39"/>
        <v>0</v>
      </c>
    </row>
    <row r="297" spans="1:8" x14ac:dyDescent="0.2">
      <c r="A297" s="166">
        <f t="shared" si="38"/>
        <v>177</v>
      </c>
      <c r="C297" s="58" t="s">
        <v>11</v>
      </c>
      <c r="D297" s="371">
        <v>2014</v>
      </c>
      <c r="E297" s="244">
        <v>0</v>
      </c>
      <c r="F297" s="244">
        <v>0</v>
      </c>
      <c r="G297" s="221">
        <f t="shared" si="37"/>
        <v>0</v>
      </c>
      <c r="H297" s="221">
        <f t="shared" si="39"/>
        <v>0</v>
      </c>
    </row>
    <row r="298" spans="1:8" x14ac:dyDescent="0.2">
      <c r="A298" s="166">
        <f t="shared" si="38"/>
        <v>178</v>
      </c>
      <c r="C298" s="53" t="s">
        <v>12</v>
      </c>
      <c r="D298" s="371">
        <v>2014</v>
      </c>
      <c r="E298" s="244">
        <v>0</v>
      </c>
      <c r="F298" s="244">
        <v>0</v>
      </c>
      <c r="G298" s="221">
        <f t="shared" si="37"/>
        <v>0</v>
      </c>
      <c r="H298" s="221">
        <f t="shared" si="39"/>
        <v>0</v>
      </c>
    </row>
    <row r="299" spans="1:8" x14ac:dyDescent="0.2">
      <c r="A299" s="166">
        <f t="shared" si="38"/>
        <v>179</v>
      </c>
      <c r="C299" s="53" t="s">
        <v>13</v>
      </c>
      <c r="D299" s="371">
        <v>2014</v>
      </c>
      <c r="E299" s="244">
        <v>0</v>
      </c>
      <c r="F299" s="244">
        <v>0</v>
      </c>
      <c r="G299" s="221">
        <f t="shared" si="37"/>
        <v>0</v>
      </c>
      <c r="H299" s="221">
        <f t="shared" si="39"/>
        <v>0</v>
      </c>
    </row>
    <row r="300" spans="1:8" x14ac:dyDescent="0.2">
      <c r="A300" s="166">
        <f t="shared" si="38"/>
        <v>180</v>
      </c>
      <c r="C300" s="58" t="s">
        <v>384</v>
      </c>
      <c r="D300" s="371">
        <v>2014</v>
      </c>
      <c r="E300" s="244">
        <v>0</v>
      </c>
      <c r="F300" s="244">
        <v>0</v>
      </c>
      <c r="G300" s="221">
        <f t="shared" si="37"/>
        <v>0</v>
      </c>
      <c r="H300" s="221">
        <f t="shared" si="39"/>
        <v>0</v>
      </c>
    </row>
    <row r="301" spans="1:8" x14ac:dyDescent="0.2">
      <c r="A301" s="166">
        <f t="shared" si="38"/>
        <v>181</v>
      </c>
      <c r="C301" s="58" t="s">
        <v>14</v>
      </c>
      <c r="D301" s="371">
        <v>2014</v>
      </c>
      <c r="E301" s="244">
        <v>0</v>
      </c>
      <c r="F301" s="244">
        <v>0</v>
      </c>
      <c r="G301" s="221">
        <f t="shared" si="37"/>
        <v>0</v>
      </c>
      <c r="H301" s="221">
        <f t="shared" si="39"/>
        <v>0</v>
      </c>
    </row>
    <row r="302" spans="1:8" x14ac:dyDescent="0.2">
      <c r="A302" s="166">
        <f t="shared" si="38"/>
        <v>182</v>
      </c>
      <c r="C302" s="58" t="s">
        <v>6</v>
      </c>
      <c r="D302" s="371">
        <v>2014</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2014 True Up TRR)&amp;RTO12 Draft Annual Update
Attachment 4
WP-Schedule 3-One Time Adj True Up Adj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2:H17"/>
  <sheetViews>
    <sheetView zoomScaleNormal="100" workbookViewId="0">
      <selection activeCell="E7" sqref="E7:G7"/>
    </sheetView>
  </sheetViews>
  <sheetFormatPr defaultRowHeight="15" x14ac:dyDescent="0.25"/>
  <cols>
    <col min="1" max="2" width="9.140625" style="304"/>
    <col min="3" max="3" width="18.5703125" style="304" customWidth="1"/>
    <col min="4" max="4" width="14" style="304" bestFit="1" customWidth="1"/>
    <col min="5" max="5" width="12.5703125" style="304" customWidth="1"/>
    <col min="6" max="6" width="12" style="304" customWidth="1"/>
    <col min="7" max="7" width="13.85546875" style="304" customWidth="1"/>
    <col min="8" max="16384" width="9.140625" style="304"/>
  </cols>
  <sheetData>
    <row r="2" spans="1:8" ht="21" customHeight="1" x14ac:dyDescent="0.25"/>
    <row r="3" spans="1:8" ht="15" customHeight="1" x14ac:dyDescent="0.25">
      <c r="A3" s="726" t="s">
        <v>300</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8" t="s">
        <v>34</v>
      </c>
      <c r="E5" s="728" t="s">
        <v>35</v>
      </c>
      <c r="F5" s="728"/>
      <c r="G5" s="728"/>
      <c r="H5" s="305"/>
    </row>
    <row r="6" spans="1:8" ht="49.5" customHeight="1" x14ac:dyDescent="0.25">
      <c r="A6" s="729" t="s">
        <v>301</v>
      </c>
      <c r="B6" s="730"/>
      <c r="C6" s="731"/>
      <c r="D6" s="449">
        <f>'WP-2012 Sch4-TUTRR'!J70</f>
        <v>626292551.54439044</v>
      </c>
      <c r="E6" s="732" t="s">
        <v>1100</v>
      </c>
      <c r="F6" s="733"/>
      <c r="G6" s="733"/>
    </row>
    <row r="7" spans="1:8" ht="50.25" customHeight="1" x14ac:dyDescent="0.25">
      <c r="A7" s="734" t="s">
        <v>321</v>
      </c>
      <c r="B7" s="735"/>
      <c r="C7" s="736"/>
      <c r="D7" s="450">
        <f>'WP-2012 Sch4-TUTRR'!J69</f>
        <v>625974103.22264624</v>
      </c>
      <c r="E7" s="732" t="s">
        <v>1096</v>
      </c>
      <c r="F7" s="733"/>
      <c r="G7" s="733"/>
    </row>
    <row r="8" spans="1:8" x14ac:dyDescent="0.25">
      <c r="A8" s="723" t="s">
        <v>36</v>
      </c>
      <c r="B8" s="723"/>
      <c r="C8" s="724"/>
      <c r="D8" s="451">
        <f>D7-D6</f>
        <v>-318448.32174420357</v>
      </c>
      <c r="E8" s="725"/>
      <c r="F8" s="725"/>
      <c r="G8" s="725"/>
    </row>
    <row r="11" spans="1:8" x14ac:dyDescent="0.25">
      <c r="A11" s="304" t="s">
        <v>285</v>
      </c>
    </row>
    <row r="12" spans="1:8" x14ac:dyDescent="0.25">
      <c r="A12" s="721" t="s">
        <v>1084</v>
      </c>
      <c r="B12" s="722"/>
      <c r="C12" s="722"/>
      <c r="D12" s="722"/>
      <c r="E12" s="722"/>
      <c r="F12" s="722"/>
      <c r="G12" s="722"/>
      <c r="H12" s="722"/>
    </row>
    <row r="13" spans="1:8" x14ac:dyDescent="0.25">
      <c r="A13" s="706" t="s">
        <v>1075</v>
      </c>
    </row>
    <row r="14" spans="1:8" x14ac:dyDescent="0.25">
      <c r="A14" s="721" t="s">
        <v>1077</v>
      </c>
      <c r="B14" s="722"/>
      <c r="C14" s="722"/>
      <c r="D14" s="722"/>
      <c r="E14" s="722"/>
      <c r="F14" s="722"/>
      <c r="G14" s="722"/>
      <c r="H14" s="722"/>
    </row>
    <row r="15" spans="1:8" x14ac:dyDescent="0.25">
      <c r="A15" s="706" t="s">
        <v>1078</v>
      </c>
    </row>
    <row r="16" spans="1:8" x14ac:dyDescent="0.25">
      <c r="A16" s="721" t="s">
        <v>1079</v>
      </c>
      <c r="B16" s="722"/>
      <c r="C16" s="722"/>
      <c r="D16" s="722"/>
      <c r="E16" s="722"/>
      <c r="F16" s="722"/>
      <c r="G16" s="722"/>
      <c r="H16" s="722"/>
    </row>
    <row r="17" spans="1:1" x14ac:dyDescent="0.25">
      <c r="A17" s="706"/>
    </row>
  </sheetData>
  <mergeCells count="12">
    <mergeCell ref="A7:C7"/>
    <mergeCell ref="E7:G7"/>
    <mergeCell ref="A3:G4"/>
    <mergeCell ref="A5:C5"/>
    <mergeCell ref="E5:G5"/>
    <mergeCell ref="A6:C6"/>
    <mergeCell ref="E6:G6"/>
    <mergeCell ref="A14:H14"/>
    <mergeCell ref="A16:H16"/>
    <mergeCell ref="A8:C8"/>
    <mergeCell ref="E8:G8"/>
    <mergeCell ref="A12:H12"/>
  </mergeCells>
  <pageMargins left="0.7" right="0.7" top="0.75" bottom="0.75" header="0.3" footer="0.3"/>
  <pageSetup orientation="portrait" r:id="rId1"/>
  <headerFooter>
    <oddHeader>&amp;RTO12 Draft Annual Update
Attachment 4
WP-Schedule 3-One Time Adj True Up Adj
Page &amp;P of &amp;N</oddHeader>
    <oddFooter>&amp;R&amp;A</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110" zoomScaleNormal="110" workbookViewId="0"/>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5.8554687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497776577</v>
      </c>
      <c r="F6" s="238" t="s">
        <v>174</v>
      </c>
      <c r="G6" s="173">
        <f>D37</f>
        <v>130535710.01629242</v>
      </c>
      <c r="H6" s="173">
        <f>E6-G6</f>
        <v>367240866.98370755</v>
      </c>
      <c r="I6" s="163"/>
      <c r="J6" s="223"/>
    </row>
    <row r="7" spans="1:24" x14ac:dyDescent="0.2">
      <c r="A7" s="166">
        <f>A6+1</f>
        <v>2</v>
      </c>
      <c r="C7" s="238">
        <v>921</v>
      </c>
      <c r="D7" t="s">
        <v>175</v>
      </c>
      <c r="E7" s="239">
        <v>164859354</v>
      </c>
      <c r="F7" s="238" t="s">
        <v>176</v>
      </c>
      <c r="G7" s="173">
        <f t="shared" ref="G7:G19" si="0">D38</f>
        <v>519276.45</v>
      </c>
      <c r="H7" s="173">
        <f t="shared" ref="H7:H19" si="1">E7-G7</f>
        <v>164340077.55000001</v>
      </c>
      <c r="I7" s="163"/>
      <c r="J7" s="223"/>
    </row>
    <row r="8" spans="1:24" x14ac:dyDescent="0.2">
      <c r="A8" s="166">
        <f>A7+1</f>
        <v>3</v>
      </c>
      <c r="C8" s="238">
        <v>922</v>
      </c>
      <c r="D8" t="s">
        <v>177</v>
      </c>
      <c r="E8" s="239">
        <v>-129629436</v>
      </c>
      <c r="F8" s="238" t="s">
        <v>178</v>
      </c>
      <c r="G8" s="173">
        <f t="shared" si="0"/>
        <v>-39053109</v>
      </c>
      <c r="H8" s="173">
        <f t="shared" si="1"/>
        <v>-90576327</v>
      </c>
      <c r="I8" s="177" t="s">
        <v>179</v>
      </c>
      <c r="J8" s="223"/>
    </row>
    <row r="9" spans="1:24" x14ac:dyDescent="0.2">
      <c r="A9" s="166">
        <f t="shared" ref="A9:A20" si="2">A8+1</f>
        <v>4</v>
      </c>
      <c r="B9" s="166"/>
      <c r="C9" s="238">
        <v>923</v>
      </c>
      <c r="D9" t="s">
        <v>180</v>
      </c>
      <c r="E9" s="239">
        <v>65611522</v>
      </c>
      <c r="F9" s="238" t="s">
        <v>181</v>
      </c>
      <c r="G9" s="179">
        <f t="shared" si="0"/>
        <v>8643763.1399999987</v>
      </c>
      <c r="H9" s="179">
        <f t="shared" si="1"/>
        <v>56967758.859999999</v>
      </c>
      <c r="I9" s="163"/>
      <c r="J9" s="223"/>
    </row>
    <row r="10" spans="1:24" x14ac:dyDescent="0.2">
      <c r="A10" s="166">
        <f t="shared" si="2"/>
        <v>5</v>
      </c>
      <c r="B10" s="166"/>
      <c r="C10" s="238">
        <v>924</v>
      </c>
      <c r="D10" t="s">
        <v>182</v>
      </c>
      <c r="E10" s="239">
        <v>15983343</v>
      </c>
      <c r="F10" s="238" t="s">
        <v>183</v>
      </c>
      <c r="G10" s="173">
        <f t="shared" si="0"/>
        <v>0</v>
      </c>
      <c r="H10" s="173">
        <f t="shared" si="1"/>
        <v>15983343</v>
      </c>
      <c r="I10" s="163"/>
      <c r="J10" s="223"/>
    </row>
    <row r="11" spans="1:24" x14ac:dyDescent="0.2">
      <c r="A11" s="166">
        <f t="shared" si="2"/>
        <v>6</v>
      </c>
      <c r="B11" s="166"/>
      <c r="C11" s="238">
        <v>925</v>
      </c>
      <c r="D11" t="s">
        <v>184</v>
      </c>
      <c r="E11" s="239">
        <v>136223963</v>
      </c>
      <c r="F11" s="238" t="s">
        <v>185</v>
      </c>
      <c r="G11" s="173">
        <f t="shared" si="0"/>
        <v>638415.9</v>
      </c>
      <c r="H11" s="173">
        <f t="shared" si="1"/>
        <v>135585547.09999999</v>
      </c>
      <c r="I11" s="163"/>
      <c r="J11" s="223"/>
    </row>
    <row r="12" spans="1:24" x14ac:dyDescent="0.2">
      <c r="A12" s="166">
        <f t="shared" si="2"/>
        <v>7</v>
      </c>
      <c r="B12" s="166"/>
      <c r="C12" s="238">
        <v>926</v>
      </c>
      <c r="D12" t="s">
        <v>186</v>
      </c>
      <c r="E12" s="239">
        <v>204225272</v>
      </c>
      <c r="F12" s="238" t="s">
        <v>187</v>
      </c>
      <c r="G12" s="173">
        <f t="shared" si="0"/>
        <v>19433566.929423027</v>
      </c>
      <c r="H12" s="173">
        <f t="shared" si="1"/>
        <v>184791705.07057697</v>
      </c>
      <c r="I12" s="163"/>
      <c r="J12" s="223"/>
    </row>
    <row r="13" spans="1:24" x14ac:dyDescent="0.2">
      <c r="A13" s="166">
        <f t="shared" si="2"/>
        <v>8</v>
      </c>
      <c r="B13" s="166"/>
      <c r="C13" s="238">
        <v>927</v>
      </c>
      <c r="D13" t="s">
        <v>156</v>
      </c>
      <c r="E13" s="239">
        <v>116006665</v>
      </c>
      <c r="F13" s="238" t="s">
        <v>188</v>
      </c>
      <c r="G13" s="173">
        <f t="shared" si="0"/>
        <v>116006665</v>
      </c>
      <c r="H13" s="173">
        <f t="shared" si="1"/>
        <v>0</v>
      </c>
      <c r="I13" s="163"/>
      <c r="J13" s="223"/>
    </row>
    <row r="14" spans="1:24" x14ac:dyDescent="0.2">
      <c r="A14" s="166">
        <f t="shared" si="2"/>
        <v>9</v>
      </c>
      <c r="B14" s="166"/>
      <c r="C14" s="238">
        <v>928</v>
      </c>
      <c r="D14" s="223" t="s">
        <v>189</v>
      </c>
      <c r="E14" s="239">
        <v>31625727</v>
      </c>
      <c r="F14" s="238" t="s">
        <v>190</v>
      </c>
      <c r="G14" s="173">
        <f t="shared" si="0"/>
        <v>30933206.529999994</v>
      </c>
      <c r="H14" s="173">
        <f t="shared" si="1"/>
        <v>692520.47000000626</v>
      </c>
      <c r="I14" s="163"/>
      <c r="J14" s="223"/>
    </row>
    <row r="15" spans="1:24" x14ac:dyDescent="0.2">
      <c r="A15" s="166">
        <f t="shared" si="2"/>
        <v>10</v>
      </c>
      <c r="B15" s="166"/>
      <c r="C15" s="238">
        <v>929</v>
      </c>
      <c r="D15" t="s">
        <v>191</v>
      </c>
      <c r="E15" s="239">
        <v>0</v>
      </c>
      <c r="F15" s="238" t="s">
        <v>192</v>
      </c>
      <c r="G15" s="173">
        <f t="shared" si="0"/>
        <v>0</v>
      </c>
      <c r="H15" s="173">
        <f t="shared" si="1"/>
        <v>0</v>
      </c>
      <c r="I15" s="163"/>
      <c r="J15" s="223"/>
    </row>
    <row r="16" spans="1:24" x14ac:dyDescent="0.2">
      <c r="A16" s="166">
        <f t="shared" si="2"/>
        <v>11</v>
      </c>
      <c r="B16" s="166"/>
      <c r="C16" s="238">
        <v>930.1</v>
      </c>
      <c r="D16" t="s">
        <v>193</v>
      </c>
      <c r="E16" s="239">
        <v>0</v>
      </c>
      <c r="F16" s="238" t="s">
        <v>194</v>
      </c>
      <c r="G16" s="173">
        <f t="shared" si="0"/>
        <v>0</v>
      </c>
      <c r="H16" s="173">
        <f t="shared" si="1"/>
        <v>0</v>
      </c>
      <c r="I16" s="163"/>
      <c r="J16" s="223"/>
    </row>
    <row r="17" spans="1:11" x14ac:dyDescent="0.2">
      <c r="A17" s="166">
        <f t="shared" si="2"/>
        <v>12</v>
      </c>
      <c r="B17" s="166"/>
      <c r="C17" s="238">
        <v>930.2</v>
      </c>
      <c r="D17" t="s">
        <v>195</v>
      </c>
      <c r="E17" s="239">
        <v>21915038</v>
      </c>
      <c r="F17" s="238" t="s">
        <v>196</v>
      </c>
      <c r="G17" s="173">
        <f t="shared" si="0"/>
        <v>23921853.02999999</v>
      </c>
      <c r="H17" s="173">
        <f t="shared" si="1"/>
        <v>-2006815.02999999</v>
      </c>
      <c r="I17" s="163"/>
      <c r="J17" s="223"/>
    </row>
    <row r="18" spans="1:11" x14ac:dyDescent="0.2">
      <c r="A18" s="166">
        <f t="shared" si="2"/>
        <v>13</v>
      </c>
      <c r="B18" s="166"/>
      <c r="C18" s="238">
        <v>931</v>
      </c>
      <c r="D18" t="s">
        <v>197</v>
      </c>
      <c r="E18" s="239">
        <v>23634453</v>
      </c>
      <c r="F18" s="238" t="s">
        <v>198</v>
      </c>
      <c r="G18" s="173">
        <f t="shared" si="0"/>
        <v>3342.61</v>
      </c>
      <c r="H18" s="173">
        <f t="shared" si="1"/>
        <v>23631110.390000001</v>
      </c>
      <c r="I18" s="163"/>
      <c r="J18" s="223"/>
    </row>
    <row r="19" spans="1:11" x14ac:dyDescent="0.2">
      <c r="A19" s="166">
        <f t="shared" si="2"/>
        <v>14</v>
      </c>
      <c r="B19" s="166"/>
      <c r="C19" s="238">
        <v>935</v>
      </c>
      <c r="D19" t="s">
        <v>199</v>
      </c>
      <c r="E19" s="240">
        <v>16369993</v>
      </c>
      <c r="F19" s="238" t="s">
        <v>200</v>
      </c>
      <c r="G19" s="173">
        <f t="shared" si="0"/>
        <v>797707.73</v>
      </c>
      <c r="H19" s="181">
        <f t="shared" si="1"/>
        <v>15572285.27</v>
      </c>
      <c r="I19" s="163"/>
      <c r="J19" s="223"/>
    </row>
    <row r="20" spans="1:11" x14ac:dyDescent="0.2">
      <c r="A20" s="166">
        <f t="shared" si="2"/>
        <v>15</v>
      </c>
      <c r="E20" s="221">
        <f>SUM(E6:E19)</f>
        <v>1164602471</v>
      </c>
      <c r="G20" s="202" t="s">
        <v>201</v>
      </c>
      <c r="H20" s="186">
        <f>SUM(H6:H19)</f>
        <v>872222072.66428459</v>
      </c>
      <c r="I20" s="163"/>
    </row>
    <row r="22" spans="1:11" x14ac:dyDescent="0.2">
      <c r="F22" s="170" t="s">
        <v>34</v>
      </c>
      <c r="G22" s="170" t="s">
        <v>35</v>
      </c>
    </row>
    <row r="23" spans="1:11" x14ac:dyDescent="0.2">
      <c r="A23" s="166">
        <f>A20+1</f>
        <v>16</v>
      </c>
      <c r="E23" s="197" t="s">
        <v>202</v>
      </c>
      <c r="F23" s="179">
        <f>H20</f>
        <v>872222072.66428459</v>
      </c>
      <c r="G23" s="176" t="str">
        <f>"Line "&amp;A20&amp;""</f>
        <v>Line 15</v>
      </c>
      <c r="H23" s="163"/>
      <c r="I23" s="163"/>
      <c r="J23" s="163"/>
      <c r="K23" s="163"/>
    </row>
    <row r="24" spans="1:11" x14ac:dyDescent="0.2">
      <c r="A24" s="166">
        <f t="shared" ref="A24:A30" si="3">A23+1</f>
        <v>17</v>
      </c>
      <c r="E24" s="197" t="s">
        <v>203</v>
      </c>
      <c r="F24" s="181">
        <f>E10</f>
        <v>15983343</v>
      </c>
      <c r="G24" s="176" t="str">
        <f>"Line "&amp;A10&amp;""</f>
        <v>Line 5</v>
      </c>
      <c r="H24" s="163"/>
      <c r="I24" s="163"/>
      <c r="J24" s="163"/>
      <c r="K24" s="163"/>
    </row>
    <row r="25" spans="1:11" x14ac:dyDescent="0.2">
      <c r="A25" s="166">
        <f t="shared" si="3"/>
        <v>18</v>
      </c>
      <c r="E25" s="197" t="s">
        <v>204</v>
      </c>
      <c r="F25" s="179">
        <f>F23-F24</f>
        <v>856238729.66428459</v>
      </c>
      <c r="G25" s="176" t="str">
        <f>"Line "&amp;A23&amp;" - Line "&amp;A24&amp;""</f>
        <v>Line 16 - Line 17</v>
      </c>
      <c r="H25" s="163"/>
      <c r="I25" s="163"/>
      <c r="J25" s="163"/>
      <c r="K25" s="163"/>
    </row>
    <row r="26" spans="1:11" x14ac:dyDescent="0.2">
      <c r="A26" s="166">
        <f t="shared" si="3"/>
        <v>19</v>
      </c>
      <c r="E26" s="202" t="s">
        <v>205</v>
      </c>
      <c r="F26" s="447">
        <v>5.4507080159516719E-2</v>
      </c>
      <c r="G26" s="176" t="s">
        <v>1058</v>
      </c>
      <c r="H26" s="163"/>
      <c r="I26" s="163"/>
      <c r="J26" s="163"/>
      <c r="K26" s="163"/>
    </row>
    <row r="27" spans="1:11" x14ac:dyDescent="0.2">
      <c r="A27" s="166">
        <f t="shared" si="3"/>
        <v>20</v>
      </c>
      <c r="E27" s="197" t="s">
        <v>206</v>
      </c>
      <c r="F27" s="179">
        <f>F25*F26</f>
        <v>46671073.073493928</v>
      </c>
      <c r="G27" s="176" t="str">
        <f>"Line "&amp;A25&amp;" * Line "&amp;A26&amp;""</f>
        <v>Line 18 * Line 19</v>
      </c>
      <c r="H27" s="163"/>
      <c r="I27" s="163"/>
      <c r="J27" s="163"/>
      <c r="K27" s="163"/>
    </row>
    <row r="28" spans="1:11" x14ac:dyDescent="0.2">
      <c r="A28" s="166">
        <f t="shared" si="3"/>
        <v>21</v>
      </c>
      <c r="E28" s="197" t="s">
        <v>207</v>
      </c>
      <c r="F28" s="492">
        <v>0.18011496098413743</v>
      </c>
      <c r="G28" s="177" t="s">
        <v>1059</v>
      </c>
      <c r="H28" s="163"/>
      <c r="I28" s="163"/>
      <c r="J28" s="163"/>
      <c r="K28" s="163"/>
    </row>
    <row r="29" spans="1:11" x14ac:dyDescent="0.2">
      <c r="A29" s="166">
        <f t="shared" si="3"/>
        <v>22</v>
      </c>
      <c r="E29" s="197" t="s">
        <v>208</v>
      </c>
      <c r="F29" s="178">
        <f>H10*F28</f>
        <v>2878839.200841086</v>
      </c>
      <c r="G29" s="176" t="str">
        <f>"Line "&amp;A10&amp;" Col 4 * Line "&amp;A28&amp;""</f>
        <v>Line 5 Col 4 * Line 21</v>
      </c>
      <c r="H29" s="163"/>
      <c r="I29" s="163"/>
      <c r="J29" s="163"/>
      <c r="K29" s="163"/>
    </row>
    <row r="30" spans="1:11" x14ac:dyDescent="0.2">
      <c r="A30" s="166">
        <f t="shared" si="3"/>
        <v>23</v>
      </c>
      <c r="E30" s="197" t="s">
        <v>209</v>
      </c>
      <c r="F30" s="186">
        <f>F27+F29</f>
        <v>49549912.274335012</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130535710.01629242</v>
      </c>
      <c r="E37" s="270">
        <v>5908452.0568566397</v>
      </c>
      <c r="F37" s="244"/>
      <c r="G37" s="173">
        <f>G58</f>
        <v>124627257.95943579</v>
      </c>
      <c r="H37" s="244"/>
      <c r="I37" s="176" t="s">
        <v>221</v>
      </c>
      <c r="J37" s="163"/>
    </row>
    <row r="38" spans="1:11" x14ac:dyDescent="0.2">
      <c r="A38" s="166">
        <f>A37+1</f>
        <v>25</v>
      </c>
      <c r="C38" s="238">
        <v>921</v>
      </c>
      <c r="D38" s="269">
        <f t="shared" ref="D38:D50" si="4">SUM(E38:H38)</f>
        <v>519276.45</v>
      </c>
      <c r="E38" s="270">
        <v>519276.45</v>
      </c>
      <c r="F38" s="244"/>
      <c r="G38" s="244">
        <v>0</v>
      </c>
      <c r="H38" s="244"/>
      <c r="I38" s="168"/>
    </row>
    <row r="39" spans="1:11" ht="13.5" thickBot="1" x14ac:dyDescent="0.25">
      <c r="A39" s="166">
        <f t="shared" ref="A39:A50" si="5">A38+1</f>
        <v>26</v>
      </c>
      <c r="C39" s="238">
        <v>922</v>
      </c>
      <c r="D39" s="269">
        <f t="shared" si="4"/>
        <v>-39053109</v>
      </c>
      <c r="E39" s="270">
        <v>-6725603</v>
      </c>
      <c r="F39" s="244"/>
      <c r="G39" s="60">
        <v>-32327506</v>
      </c>
      <c r="H39" s="244"/>
      <c r="I39" s="168"/>
    </row>
    <row r="40" spans="1:11" ht="13.5" thickBot="1" x14ac:dyDescent="0.25">
      <c r="A40" s="166">
        <f t="shared" si="5"/>
        <v>27</v>
      </c>
      <c r="C40" s="238">
        <v>923</v>
      </c>
      <c r="D40" s="245">
        <f t="shared" si="4"/>
        <v>8643763.1399999987</v>
      </c>
      <c r="E40" s="246">
        <v>8643763.1399999987</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638415.9</v>
      </c>
      <c r="E42" s="270">
        <v>638415.9</v>
      </c>
      <c r="F42" s="244"/>
      <c r="G42" s="244">
        <v>0</v>
      </c>
      <c r="H42" s="244"/>
      <c r="I42" s="247"/>
      <c r="K42" s="221"/>
    </row>
    <row r="43" spans="1:11" x14ac:dyDescent="0.2">
      <c r="A43" s="166">
        <f t="shared" si="5"/>
        <v>30</v>
      </c>
      <c r="C43" s="238">
        <v>926</v>
      </c>
      <c r="D43" s="272">
        <f t="shared" si="4"/>
        <v>19433566.929423027</v>
      </c>
      <c r="E43" s="270">
        <v>19720615.929423027</v>
      </c>
      <c r="F43" s="244"/>
      <c r="G43" s="244">
        <v>0</v>
      </c>
      <c r="H43" s="173">
        <f>E70</f>
        <v>-287049</v>
      </c>
      <c r="I43" s="247" t="s">
        <v>157</v>
      </c>
      <c r="K43" s="221"/>
    </row>
    <row r="44" spans="1:11" x14ac:dyDescent="0.2">
      <c r="A44" s="166">
        <f t="shared" si="5"/>
        <v>31</v>
      </c>
      <c r="C44" s="238">
        <v>927</v>
      </c>
      <c r="D44" s="269">
        <f t="shared" si="4"/>
        <v>116006665</v>
      </c>
      <c r="E44" s="193">
        <v>0</v>
      </c>
      <c r="F44" s="248">
        <f>E13</f>
        <v>116006665</v>
      </c>
      <c r="G44" s="173">
        <v>0</v>
      </c>
      <c r="H44" s="173">
        <v>0</v>
      </c>
      <c r="I44" s="168" t="s">
        <v>222</v>
      </c>
      <c r="K44" s="221"/>
    </row>
    <row r="45" spans="1:11" x14ac:dyDescent="0.2">
      <c r="A45" s="166">
        <f t="shared" si="5"/>
        <v>32</v>
      </c>
      <c r="C45" s="238">
        <v>928</v>
      </c>
      <c r="D45" s="272">
        <f t="shared" si="4"/>
        <v>30933206.529999994</v>
      </c>
      <c r="E45" s="270">
        <v>30933206.529999994</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23921853.02999999</v>
      </c>
      <c r="E48" s="270">
        <v>23921853.02999999</v>
      </c>
      <c r="F48" s="244"/>
      <c r="G48" s="244">
        <v>0</v>
      </c>
      <c r="H48" s="244"/>
      <c r="I48" s="168"/>
      <c r="J48" s="250"/>
    </row>
    <row r="49" spans="1:10" x14ac:dyDescent="0.2">
      <c r="A49" s="166">
        <f t="shared" si="5"/>
        <v>36</v>
      </c>
      <c r="C49" s="238">
        <v>931</v>
      </c>
      <c r="D49" s="272">
        <f t="shared" si="4"/>
        <v>3342.61</v>
      </c>
      <c r="E49" s="270">
        <v>3342.61</v>
      </c>
      <c r="F49" s="244"/>
      <c r="G49" s="244">
        <v>0</v>
      </c>
      <c r="H49" s="244"/>
      <c r="I49" s="168"/>
      <c r="J49" s="221"/>
    </row>
    <row r="50" spans="1:10" x14ac:dyDescent="0.2">
      <c r="A50" s="166">
        <f t="shared" si="5"/>
        <v>37</v>
      </c>
      <c r="C50" s="238">
        <v>935</v>
      </c>
      <c r="D50" s="269">
        <f t="shared" si="4"/>
        <v>797707.73</v>
      </c>
      <c r="E50" s="270">
        <v>797707.73</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163270232.84999999</v>
      </c>
      <c r="H56" s="176" t="s">
        <v>228</v>
      </c>
    </row>
    <row r="57" spans="1:10" x14ac:dyDescent="0.2">
      <c r="A57" s="166"/>
      <c r="B57" s="166" t="s">
        <v>123</v>
      </c>
      <c r="C57" s="223"/>
      <c r="E57" s="163"/>
      <c r="F57" s="197" t="s">
        <v>229</v>
      </c>
      <c r="G57" s="181">
        <f>E61</f>
        <v>38642974.890564203</v>
      </c>
      <c r="H57" s="247" t="str">
        <f>"Note 2, "&amp;B61&amp;""</f>
        <v>Note 2, d</v>
      </c>
    </row>
    <row r="58" spans="1:10" x14ac:dyDescent="0.2">
      <c r="A58" s="166"/>
      <c r="B58" s="166" t="s">
        <v>127</v>
      </c>
      <c r="F58" s="224" t="s">
        <v>230</v>
      </c>
      <c r="G58" s="173">
        <f>G56-G57</f>
        <v>124627257.95943579</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38642974.890564203</v>
      </c>
      <c r="F61" s="176" t="s">
        <v>234</v>
      </c>
      <c r="G61" s="173"/>
      <c r="I61" s="163"/>
    </row>
    <row r="62" spans="1:10" x14ac:dyDescent="0.2">
      <c r="A62" s="166"/>
      <c r="B62" s="171" t="s">
        <v>133</v>
      </c>
      <c r="C62" s="163"/>
      <c r="D62" s="191" t="s">
        <v>235</v>
      </c>
      <c r="E62" s="142">
        <v>20111963.466211751</v>
      </c>
      <c r="F62" s="176" t="s">
        <v>234</v>
      </c>
      <c r="G62" s="173"/>
      <c r="I62" s="66"/>
    </row>
    <row r="63" spans="1:10" x14ac:dyDescent="0.2">
      <c r="A63" s="166"/>
      <c r="B63" s="171" t="s">
        <v>136</v>
      </c>
      <c r="C63" s="163"/>
      <c r="D63" s="174" t="s">
        <v>236</v>
      </c>
      <c r="E63" s="143">
        <v>41236337.682247192</v>
      </c>
      <c r="F63" s="176" t="s">
        <v>234</v>
      </c>
      <c r="G63" s="173"/>
      <c r="I63" s="173"/>
    </row>
    <row r="64" spans="1:10" x14ac:dyDescent="0.2">
      <c r="A64" s="166"/>
      <c r="B64" s="171" t="s">
        <v>138</v>
      </c>
      <c r="C64" s="163"/>
      <c r="D64" s="197" t="s">
        <v>166</v>
      </c>
      <c r="E64" s="173">
        <f>SUM(E61:E63)</f>
        <v>99991276.039023146</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18990910</v>
      </c>
      <c r="F68" s="258" t="s">
        <v>240</v>
      </c>
      <c r="G68" s="192"/>
    </row>
    <row r="69" spans="1:10" x14ac:dyDescent="0.2">
      <c r="A69" s="166"/>
      <c r="B69" s="255" t="s">
        <v>123</v>
      </c>
      <c r="C69" s="253"/>
      <c r="D69" s="256" t="s">
        <v>241</v>
      </c>
      <c r="E69" s="259">
        <v>18703861</v>
      </c>
      <c r="F69" s="258" t="s">
        <v>228</v>
      </c>
      <c r="G69" s="192"/>
    </row>
    <row r="70" spans="1:10" x14ac:dyDescent="0.2">
      <c r="A70" s="166"/>
      <c r="B70" s="255" t="s">
        <v>127</v>
      </c>
      <c r="C70" s="253"/>
      <c r="D70" s="256" t="s">
        <v>242</v>
      </c>
      <c r="E70" s="260">
        <f>E69-E68</f>
        <v>-287049</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277</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2014 True Up TRR)
&amp;RTO12 Draft Annual Update
Attachment 4
WP-Schedule 3-One Time Adj True Up Adj
Page &amp;P of &amp;N</oddHeader>
    <oddFooter>&amp;R&amp;A</oddFooter>
  </headerFooter>
  <rowBreaks count="2" manualBreakCount="2">
    <brk id="50" max="9" man="1"/>
    <brk id="74" max="16383" man="1"/>
  </rowBreaks>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35542446.484619774</v>
      </c>
      <c r="I7" s="223"/>
    </row>
    <row r="8" spans="1:9" x14ac:dyDescent="0.2">
      <c r="A8" s="166">
        <f>A7+1</f>
        <v>2</v>
      </c>
      <c r="C8" s="661" t="s">
        <v>575</v>
      </c>
      <c r="D8" s="163"/>
      <c r="E8" s="174" t="s">
        <v>574</v>
      </c>
      <c r="G8" s="662">
        <v>850982252</v>
      </c>
    </row>
    <row r="9" spans="1:9" x14ac:dyDescent="0.2">
      <c r="A9" s="166">
        <f t="shared" ref="A9:A72" si="0">A8+1</f>
        <v>3</v>
      </c>
      <c r="C9" s="258" t="s">
        <v>573</v>
      </c>
      <c r="D9" s="163"/>
      <c r="E9" s="174" t="s">
        <v>572</v>
      </c>
      <c r="G9" s="662">
        <v>260260283</v>
      </c>
    </row>
    <row r="10" spans="1:9" x14ac:dyDescent="0.2">
      <c r="A10" s="166">
        <f t="shared" si="0"/>
        <v>4</v>
      </c>
      <c r="C10" s="661" t="s">
        <v>571</v>
      </c>
      <c r="D10" s="163"/>
      <c r="E10" s="174" t="str">
        <f>"Line "&amp;A8&amp;" - Line "&amp;A9&amp;""</f>
        <v>Line 2 - Line 3</v>
      </c>
      <c r="G10" s="221">
        <f>G8-G9</f>
        <v>590721969</v>
      </c>
    </row>
    <row r="11" spans="1:9" x14ac:dyDescent="0.2">
      <c r="A11" s="166">
        <f t="shared" si="0"/>
        <v>5</v>
      </c>
      <c r="C11" s="661" t="s">
        <v>570</v>
      </c>
      <c r="D11" s="163"/>
      <c r="E11" s="174" t="str">
        <f>"20-AandG, Note 2"</f>
        <v>20-AandG, Note 2</v>
      </c>
      <c r="G11" s="173">
        <v>99991276.039023146</v>
      </c>
      <c r="I11" s="223"/>
    </row>
    <row r="12" spans="1:9" x14ac:dyDescent="0.2">
      <c r="A12" s="166">
        <f t="shared" si="0"/>
        <v>6</v>
      </c>
      <c r="C12" s="258" t="s">
        <v>569</v>
      </c>
      <c r="D12" s="163"/>
      <c r="E12" s="174" t="str">
        <f>"20-AandG, Note 2"</f>
        <v>20-AandG, Note 2</v>
      </c>
      <c r="G12" s="188">
        <v>38642974.890564203</v>
      </c>
    </row>
    <row r="13" spans="1:9" x14ac:dyDescent="0.2">
      <c r="A13" s="166">
        <f t="shared" si="0"/>
        <v>7</v>
      </c>
      <c r="C13" s="661" t="s">
        <v>568</v>
      </c>
      <c r="D13" s="163"/>
      <c r="E13" s="174" t="str">
        <f>"Line "&amp;A11&amp;" - Line "&amp;A12&amp;""</f>
        <v>Line 5 - Line 6</v>
      </c>
      <c r="G13" s="173">
        <f>G11-G12</f>
        <v>61348301.148458943</v>
      </c>
    </row>
    <row r="14" spans="1:9" x14ac:dyDescent="0.2">
      <c r="A14" s="166">
        <f t="shared" si="0"/>
        <v>8</v>
      </c>
      <c r="C14" s="661" t="s">
        <v>567</v>
      </c>
      <c r="D14" s="163"/>
      <c r="E14" s="174" t="str">
        <f>"Line "&amp;A10&amp;" + Line "&amp;A13&amp;""</f>
        <v>Line 4 + Line 7</v>
      </c>
      <c r="G14" s="173">
        <f>G10+G13</f>
        <v>652070270.14845896</v>
      </c>
    </row>
    <row r="15" spans="1:9" x14ac:dyDescent="0.2">
      <c r="A15" s="166">
        <f t="shared" si="0"/>
        <v>9</v>
      </c>
      <c r="C15" s="163" t="s">
        <v>566</v>
      </c>
      <c r="D15" s="163"/>
      <c r="E15" s="174" t="str">
        <f>"Line "&amp;A7&amp;" / Line "&amp;A14&amp;""</f>
        <v>Line 1 / Line 8</v>
      </c>
      <c r="G15" s="492">
        <f>G7/G14</f>
        <v>5.4507080159516719E-2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6735774978.6931973</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1877243156</v>
      </c>
      <c r="H22" s="660"/>
    </row>
    <row r="23" spans="1:11" x14ac:dyDescent="0.2">
      <c r="A23" s="166">
        <f t="shared" si="0"/>
        <v>17</v>
      </c>
      <c r="C23" s="163" t="s">
        <v>559</v>
      </c>
      <c r="D23" s="163"/>
      <c r="E23" s="163" t="str">
        <f>"Line "&amp;A22&amp;" * Line "&amp;A15&amp;""</f>
        <v>Line 16 * Line 9</v>
      </c>
      <c r="G23" s="179">
        <f>G22*G15</f>
        <v>102323043.18299615</v>
      </c>
    </row>
    <row r="24" spans="1:11" x14ac:dyDescent="0.2">
      <c r="A24" s="166">
        <f t="shared" si="0"/>
        <v>18</v>
      </c>
      <c r="C24" s="163" t="s">
        <v>558</v>
      </c>
      <c r="D24" s="163"/>
      <c r="E24" s="174" t="s">
        <v>1012</v>
      </c>
      <c r="G24" s="173">
        <v>2714243545</v>
      </c>
    </row>
    <row r="25" spans="1:11" x14ac:dyDescent="0.2">
      <c r="A25" s="166">
        <f t="shared" si="0"/>
        <v>19</v>
      </c>
      <c r="C25" s="163" t="s">
        <v>557</v>
      </c>
      <c r="D25" s="163"/>
      <c r="E25" s="163" t="str">
        <f>"Line "&amp;A24&amp;" * Line "&amp;A15&amp;""</f>
        <v>Line 18 * Line 9</v>
      </c>
      <c r="G25" s="179">
        <f>G24*G15</f>
        <v>147945490.47976583</v>
      </c>
    </row>
    <row r="26" spans="1:11" x14ac:dyDescent="0.2">
      <c r="A26" s="166">
        <f t="shared" si="0"/>
        <v>20</v>
      </c>
      <c r="C26" s="174" t="s">
        <v>556</v>
      </c>
      <c r="D26" s="163"/>
      <c r="E26" s="163" t="s">
        <v>555</v>
      </c>
      <c r="G26" s="662">
        <v>38786580938</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0.18011496098413743</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8548</v>
      </c>
      <c r="E33" s="207"/>
      <c r="F33" s="163"/>
      <c r="G33" s="664" t="s">
        <v>550</v>
      </c>
      <c r="H33" s="163"/>
      <c r="I33" s="163"/>
      <c r="J33" s="219"/>
      <c r="K33" s="163"/>
    </row>
    <row r="34" spans="1:11" x14ac:dyDescent="0.2">
      <c r="A34" s="171">
        <f t="shared" si="0"/>
        <v>28</v>
      </c>
      <c r="B34" s="163"/>
      <c r="C34" s="163" t="s">
        <v>549</v>
      </c>
      <c r="D34" s="663">
        <v>11433</v>
      </c>
      <c r="E34" s="207"/>
      <c r="F34" s="163"/>
      <c r="G34" s="664" t="s">
        <v>548</v>
      </c>
      <c r="H34" s="163"/>
      <c r="I34" s="163"/>
      <c r="J34" s="163"/>
      <c r="K34" s="163"/>
    </row>
    <row r="35" spans="1:11" x14ac:dyDescent="0.2">
      <c r="A35" s="171">
        <f t="shared" si="0"/>
        <v>29</v>
      </c>
      <c r="B35" s="163"/>
      <c r="C35" s="163" t="s">
        <v>547</v>
      </c>
      <c r="D35" s="665">
        <f>SUM(D33:D34)</f>
        <v>19981</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0.42780641609529052</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559</v>
      </c>
      <c r="E45" s="207"/>
      <c r="F45" s="163"/>
      <c r="G45" s="664" t="s">
        <v>536</v>
      </c>
      <c r="H45" s="163"/>
      <c r="I45" s="163"/>
      <c r="J45" s="163"/>
      <c r="K45" s="163"/>
    </row>
    <row r="46" spans="1:11" x14ac:dyDescent="0.2">
      <c r="A46" s="171">
        <f t="shared" si="0"/>
        <v>40</v>
      </c>
      <c r="B46" s="163"/>
      <c r="C46" s="174" t="s">
        <v>535</v>
      </c>
      <c r="D46" s="663">
        <v>1600</v>
      </c>
      <c r="E46" s="207"/>
      <c r="F46" s="163"/>
      <c r="G46" s="163"/>
      <c r="H46" s="163"/>
      <c r="I46" s="163"/>
      <c r="J46" s="163"/>
      <c r="K46" s="163"/>
    </row>
    <row r="47" spans="1:11" x14ac:dyDescent="0.2">
      <c r="A47" s="171">
        <f t="shared" si="0"/>
        <v>41</v>
      </c>
      <c r="B47" s="163"/>
      <c r="C47" s="174" t="s">
        <v>534</v>
      </c>
      <c r="D47" s="665">
        <f>SUM(D45:D46)</f>
        <v>2159</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0.25891616489115332</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5724.2629999999999</v>
      </c>
      <c r="E51" s="207"/>
      <c r="F51" s="163"/>
      <c r="G51" s="664" t="s">
        <v>530</v>
      </c>
      <c r="H51" s="163"/>
      <c r="I51" s="163"/>
      <c r="J51" s="163"/>
      <c r="K51" s="163"/>
    </row>
    <row r="52" spans="1:11" ht="13.5" thickBot="1" x14ac:dyDescent="0.25">
      <c r="A52" s="171">
        <f t="shared" si="0"/>
        <v>46</v>
      </c>
      <c r="B52" s="163"/>
      <c r="C52" s="174" t="s">
        <v>529</v>
      </c>
      <c r="D52" s="667">
        <v>6408.6369999999997</v>
      </c>
      <c r="E52" s="207"/>
      <c r="F52" s="163"/>
      <c r="G52" s="664" t="s">
        <v>528</v>
      </c>
      <c r="H52" s="163"/>
      <c r="I52" s="163"/>
      <c r="J52" s="163"/>
      <c r="K52" s="163"/>
    </row>
    <row r="53" spans="1:11" x14ac:dyDescent="0.2">
      <c r="A53" s="171">
        <f t="shared" si="0"/>
        <v>47</v>
      </c>
      <c r="B53" s="163"/>
      <c r="C53" s="174" t="s">
        <v>527</v>
      </c>
      <c r="D53" s="665">
        <f>SUM(D51:D52)</f>
        <v>12132.9</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0.47179676746696997</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353</v>
      </c>
      <c r="E58" s="207"/>
      <c r="F58" s="163"/>
      <c r="G58" s="664" t="s">
        <v>519</v>
      </c>
      <c r="H58" s="163"/>
      <c r="I58" s="163"/>
      <c r="J58" s="163"/>
      <c r="K58" s="163"/>
    </row>
    <row r="59" spans="1:11" x14ac:dyDescent="0.2">
      <c r="A59" s="171">
        <f t="shared" si="0"/>
        <v>53</v>
      </c>
      <c r="B59" s="636"/>
      <c r="C59" s="174" t="s">
        <v>518</v>
      </c>
      <c r="D59" s="665">
        <f>SUM(D57:D58)</f>
        <v>354</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2.8248587570621469E-3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6835650</v>
      </c>
      <c r="E63" s="207"/>
      <c r="F63" s="163"/>
      <c r="G63" s="664" t="s">
        <v>514</v>
      </c>
      <c r="H63" s="163"/>
      <c r="I63" s="163"/>
      <c r="J63" s="163"/>
      <c r="K63" s="163"/>
    </row>
    <row r="64" spans="1:11" x14ac:dyDescent="0.2">
      <c r="A64" s="171">
        <f t="shared" si="0"/>
        <v>58</v>
      </c>
      <c r="B64" s="636"/>
      <c r="C64" s="174" t="s">
        <v>513</v>
      </c>
      <c r="D64" s="663">
        <v>2553194</v>
      </c>
      <c r="E64" s="207"/>
      <c r="F64" s="163"/>
      <c r="G64" s="664"/>
      <c r="H64" s="163"/>
      <c r="I64" s="163"/>
      <c r="J64" s="163"/>
      <c r="K64" s="163"/>
    </row>
    <row r="65" spans="1:11" x14ac:dyDescent="0.2">
      <c r="A65" s="171">
        <f t="shared" si="0"/>
        <v>59</v>
      </c>
      <c r="B65" s="636"/>
      <c r="C65" s="174" t="s">
        <v>512</v>
      </c>
      <c r="D65" s="665">
        <f>SUM(D63:D64)</f>
        <v>9388844</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0.72806087735614733</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ht="13.5" thickBot="1" x14ac:dyDescent="0.25">
      <c r="A75" s="171">
        <f t="shared" si="1"/>
        <v>69</v>
      </c>
      <c r="B75" s="636"/>
      <c r="C75" s="174" t="s">
        <v>503</v>
      </c>
      <c r="D75" s="663">
        <v>130</v>
      </c>
      <c r="E75" s="207"/>
      <c r="F75" s="163"/>
      <c r="G75" s="664" t="s">
        <v>502</v>
      </c>
      <c r="H75" s="163"/>
      <c r="I75" s="163"/>
      <c r="J75" s="163"/>
      <c r="K75" s="163"/>
    </row>
    <row r="76" spans="1:11" ht="13.5" thickBot="1" x14ac:dyDescent="0.25">
      <c r="A76" s="171">
        <f t="shared" si="1"/>
        <v>70</v>
      </c>
      <c r="B76" s="636"/>
      <c r="C76" s="174" t="s">
        <v>501</v>
      </c>
      <c r="D76" s="667">
        <v>471</v>
      </c>
      <c r="E76" s="207"/>
      <c r="F76" s="163"/>
      <c r="G76" s="664"/>
      <c r="H76" s="163"/>
      <c r="I76" s="163"/>
      <c r="J76" s="163"/>
      <c r="K76" s="163"/>
    </row>
    <row r="77" spans="1:11" x14ac:dyDescent="0.2">
      <c r="A77" s="171">
        <f t="shared" si="1"/>
        <v>71</v>
      </c>
      <c r="B77" s="636"/>
      <c r="C77" s="174" t="s">
        <v>500</v>
      </c>
      <c r="D77" s="670">
        <f>SUM(D75:D76)</f>
        <v>601</v>
      </c>
      <c r="E77" s="174" t="str">
        <f>" = L"&amp;A75&amp;" + L"&amp;A76&amp;""</f>
        <v xml:space="preserve"> = L69 + L70</v>
      </c>
      <c r="F77" s="163"/>
      <c r="G77" s="163"/>
      <c r="H77" s="163"/>
      <c r="I77" s="163"/>
      <c r="J77" s="163"/>
      <c r="K77" s="163"/>
    </row>
    <row r="78" spans="1:11" x14ac:dyDescent="0.2">
      <c r="A78" s="171">
        <f t="shared" si="1"/>
        <v>72</v>
      </c>
      <c r="B78" s="636"/>
      <c r="C78" s="174" t="s">
        <v>499</v>
      </c>
      <c r="D78" s="668">
        <f>D75/D77</f>
        <v>0.21630615640599002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x14ac:dyDescent="0.2">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3">
        <v>1097</v>
      </c>
      <c r="E81" s="207"/>
      <c r="F81" s="163"/>
      <c r="G81" s="664" t="s">
        <v>496</v>
      </c>
      <c r="H81" s="163"/>
      <c r="I81" s="163"/>
      <c r="J81" s="163"/>
      <c r="K81" s="163"/>
    </row>
    <row r="82" spans="1:11" ht="13.5" thickBot="1" x14ac:dyDescent="0.25">
      <c r="A82" s="171">
        <f t="shared" si="1"/>
        <v>76</v>
      </c>
      <c r="B82" s="636"/>
      <c r="C82" s="174" t="s">
        <v>495</v>
      </c>
      <c r="D82" s="667">
        <v>2051</v>
      </c>
      <c r="E82" s="207"/>
      <c r="F82" s="163"/>
      <c r="G82" s="664"/>
      <c r="H82" s="163"/>
      <c r="I82" s="163"/>
      <c r="J82" s="163"/>
      <c r="K82" s="163"/>
    </row>
    <row r="83" spans="1:11" x14ac:dyDescent="0.2">
      <c r="A83" s="171">
        <f t="shared" si="1"/>
        <v>77</v>
      </c>
      <c r="B83" s="636"/>
      <c r="C83" s="174" t="s">
        <v>494</v>
      </c>
      <c r="D83" s="670">
        <f>SUM(D81:D82)</f>
        <v>3148</v>
      </c>
      <c r="E83" s="174" t="str">
        <f>" = L"&amp;A81&amp;" + L"&amp;A82&amp;""</f>
        <v xml:space="preserve"> = L75 + L76</v>
      </c>
      <c r="F83" s="163"/>
      <c r="G83" s="163"/>
      <c r="H83" s="163"/>
      <c r="I83" s="163"/>
      <c r="J83" s="163"/>
      <c r="K83" s="163"/>
    </row>
    <row r="84" spans="1:11" x14ac:dyDescent="0.2">
      <c r="A84" s="171">
        <f t="shared" si="1"/>
        <v>78</v>
      </c>
      <c r="B84" s="636"/>
      <c r="C84" s="174" t="s">
        <v>493</v>
      </c>
      <c r="D84" s="668">
        <f>D81/D83</f>
        <v>0.34847522236340533</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295</v>
      </c>
      <c r="E87" s="207"/>
      <c r="F87" s="163"/>
      <c r="G87" s="664" t="s">
        <v>490</v>
      </c>
      <c r="H87" s="163"/>
      <c r="I87" s="163"/>
      <c r="J87" s="163"/>
      <c r="K87" s="163"/>
    </row>
    <row r="88" spans="1:11" ht="13.5" thickBot="1" x14ac:dyDescent="0.25">
      <c r="A88" s="171">
        <f t="shared" si="1"/>
        <v>82</v>
      </c>
      <c r="B88" s="636"/>
      <c r="C88" s="174" t="s">
        <v>489</v>
      </c>
      <c r="D88" s="667">
        <v>152</v>
      </c>
      <c r="E88" s="207"/>
      <c r="F88" s="163"/>
      <c r="G88" s="664"/>
      <c r="H88" s="163"/>
      <c r="I88" s="163"/>
      <c r="J88" s="163"/>
      <c r="K88" s="163"/>
    </row>
    <row r="89" spans="1:11" x14ac:dyDescent="0.2">
      <c r="A89" s="171">
        <f t="shared" si="1"/>
        <v>83</v>
      </c>
      <c r="B89" s="636"/>
      <c r="C89" s="174" t="s">
        <v>488</v>
      </c>
      <c r="D89" s="670">
        <f>SUM(D87:D88)</f>
        <v>447</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0.65995525727069348</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319908.42450000014</v>
      </c>
      <c r="E93" s="207"/>
      <c r="F93" s="163"/>
      <c r="G93" s="163" t="s">
        <v>484</v>
      </c>
      <c r="H93" s="163"/>
      <c r="I93" s="163"/>
      <c r="J93" s="163"/>
      <c r="K93" s="163"/>
    </row>
    <row r="94" spans="1:11" x14ac:dyDescent="0.2">
      <c r="A94" s="171">
        <f t="shared" si="1"/>
        <v>88</v>
      </c>
      <c r="B94" s="636"/>
      <c r="C94" s="174" t="s">
        <v>483</v>
      </c>
      <c r="D94" s="663">
        <v>2402107.5</v>
      </c>
      <c r="E94" s="207"/>
      <c r="F94" s="163"/>
      <c r="G94" s="664"/>
      <c r="H94" s="163"/>
      <c r="I94" s="163"/>
      <c r="J94" s="163"/>
      <c r="K94" s="163"/>
    </row>
    <row r="95" spans="1:11" x14ac:dyDescent="0.2">
      <c r="A95" s="171">
        <f t="shared" si="1"/>
        <v>89</v>
      </c>
      <c r="B95" s="636"/>
      <c r="C95" s="174" t="s">
        <v>482</v>
      </c>
      <c r="D95" s="665">
        <f>SUM(D93:D94)</f>
        <v>2722015.9245000002</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0.11752628690398395</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355082.71395240555</v>
      </c>
      <c r="E99" s="207"/>
      <c r="F99" s="163"/>
      <c r="G99" s="664" t="s">
        <v>478</v>
      </c>
      <c r="H99" s="163"/>
      <c r="I99" s="163"/>
      <c r="J99" s="163"/>
      <c r="K99" s="163"/>
    </row>
    <row r="100" spans="1:11" x14ac:dyDescent="0.2">
      <c r="A100" s="171">
        <f t="shared" si="1"/>
        <v>94</v>
      </c>
      <c r="B100" s="636"/>
      <c r="C100" s="174" t="s">
        <v>477</v>
      </c>
      <c r="D100" s="663">
        <v>3832923.146047595</v>
      </c>
      <c r="E100" s="207"/>
      <c r="F100" s="163"/>
      <c r="G100" s="664"/>
      <c r="H100" s="163"/>
      <c r="I100" s="163"/>
      <c r="J100" s="163"/>
      <c r="K100" s="163"/>
    </row>
    <row r="101" spans="1:11" x14ac:dyDescent="0.2">
      <c r="A101" s="171">
        <f t="shared" si="1"/>
        <v>95</v>
      </c>
      <c r="B101" s="636"/>
      <c r="C101" s="174" t="s">
        <v>476</v>
      </c>
      <c r="D101" s="665">
        <f>SUM(D99:D100)</f>
        <v>4188005.8600000003</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8.4785629682095409E-2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620671.8567623694</v>
      </c>
      <c r="E105" s="207"/>
      <c r="F105" s="163"/>
      <c r="G105" s="664" t="s">
        <v>472</v>
      </c>
      <c r="H105" s="163"/>
      <c r="I105" s="163"/>
      <c r="J105" s="163"/>
      <c r="K105" s="163"/>
    </row>
    <row r="106" spans="1:11" ht="13.5" thickBot="1" x14ac:dyDescent="0.25">
      <c r="A106" s="171">
        <f t="shared" si="1"/>
        <v>100</v>
      </c>
      <c r="B106" s="636"/>
      <c r="C106" s="174" t="s">
        <v>471</v>
      </c>
      <c r="D106" s="667">
        <v>757598.82323763077</v>
      </c>
      <c r="E106" s="207"/>
      <c r="F106" s="163"/>
      <c r="G106" s="664"/>
      <c r="H106" s="163"/>
      <c r="I106" s="163"/>
      <c r="J106" s="163"/>
      <c r="K106" s="163"/>
    </row>
    <row r="107" spans="1:11" x14ac:dyDescent="0.2">
      <c r="A107" s="171">
        <f t="shared" si="1"/>
        <v>101</v>
      </c>
      <c r="B107" s="636"/>
      <c r="C107" s="174" t="s">
        <v>470</v>
      </c>
      <c r="D107" s="665">
        <f>SUM(D105:D106)</f>
        <v>1378270.6800000002</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8">
        <f>D105/D107</f>
        <v>0.45032653292919889</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ht="13.5" thickBot="1" x14ac:dyDescent="0.25">
      <c r="A111" s="171">
        <f t="shared" si="1"/>
        <v>105</v>
      </c>
      <c r="B111" s="636"/>
      <c r="C111" s="174" t="s">
        <v>467</v>
      </c>
      <c r="D111" s="663">
        <v>0</v>
      </c>
      <c r="E111" s="207"/>
      <c r="F111" s="163"/>
      <c r="G111" s="664" t="s">
        <v>466</v>
      </c>
      <c r="H111" s="163"/>
      <c r="I111" s="163"/>
      <c r="J111" s="163"/>
      <c r="K111" s="163"/>
    </row>
    <row r="112" spans="1:11" ht="13.5" thickBot="1" x14ac:dyDescent="0.25">
      <c r="A112" s="171">
        <f t="shared" si="1"/>
        <v>106</v>
      </c>
      <c r="B112" s="636"/>
      <c r="C112" s="174" t="s">
        <v>465</v>
      </c>
      <c r="D112" s="667">
        <v>2248</v>
      </c>
      <c r="E112" s="207"/>
      <c r="F112" s="163"/>
      <c r="G112" s="664"/>
      <c r="H112" s="163"/>
      <c r="I112" s="163"/>
      <c r="J112" s="163"/>
      <c r="K112" s="163"/>
    </row>
    <row r="113" spans="1:11" x14ac:dyDescent="0.2">
      <c r="A113" s="171">
        <f t="shared" si="1"/>
        <v>107</v>
      </c>
      <c r="B113" s="636"/>
      <c r="C113" s="174" t="s">
        <v>464</v>
      </c>
      <c r="D113" s="670">
        <f>SUM(D111:D112)</f>
        <v>2248</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8874</v>
      </c>
      <c r="E118" s="207"/>
      <c r="F118" s="163"/>
      <c r="G118" s="664"/>
      <c r="H118" s="163"/>
      <c r="I118" s="163"/>
      <c r="J118" s="163"/>
      <c r="K118" s="163"/>
    </row>
    <row r="119" spans="1:11" x14ac:dyDescent="0.2">
      <c r="A119" s="171">
        <f t="shared" si="1"/>
        <v>113</v>
      </c>
      <c r="B119" s="636"/>
      <c r="C119" s="174" t="s">
        <v>458</v>
      </c>
      <c r="D119" s="670">
        <f>SUM(D117:D118)</f>
        <v>8874</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ht="13.5" thickBot="1" x14ac:dyDescent="0.25">
      <c r="A123" s="171">
        <f t="shared" si="1"/>
        <v>117</v>
      </c>
      <c r="B123" s="636"/>
      <c r="C123" s="174" t="s">
        <v>453</v>
      </c>
      <c r="D123" s="663">
        <v>0</v>
      </c>
      <c r="E123" s="207"/>
      <c r="F123" s="163"/>
      <c r="G123" s="664" t="s">
        <v>452</v>
      </c>
      <c r="H123" s="163"/>
      <c r="I123" s="163"/>
      <c r="J123" s="163"/>
      <c r="K123" s="163"/>
    </row>
    <row r="124" spans="1:11" ht="13.5" thickBot="1" x14ac:dyDescent="0.25">
      <c r="A124" s="171">
        <f t="shared" si="1"/>
        <v>118</v>
      </c>
      <c r="B124" s="636"/>
      <c r="C124" s="174" t="s">
        <v>451</v>
      </c>
      <c r="D124" s="667">
        <v>2319</v>
      </c>
      <c r="E124" s="207"/>
      <c r="F124" s="163"/>
      <c r="G124" s="664"/>
      <c r="H124" s="163"/>
      <c r="I124" s="163"/>
      <c r="J124" s="163"/>
      <c r="K124" s="163"/>
    </row>
    <row r="125" spans="1:11" x14ac:dyDescent="0.2">
      <c r="A125" s="171">
        <f t="shared" si="1"/>
        <v>119</v>
      </c>
      <c r="B125" s="636"/>
      <c r="C125" s="174" t="s">
        <v>450</v>
      </c>
      <c r="D125" s="670">
        <f>SUM(D123:D124)</f>
        <v>2319</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2014 True Up TRR)&amp;RTO12 Draft Annual Update
Attachment 4
WP-Schedule 3-One Time Adj True Up Adj
Page &amp;P of &amp;N</oddHeader>
    <oddFooter>&amp;R&amp;A</oddFooter>
  </headerFooter>
  <rowBreaks count="2" manualBreakCount="2">
    <brk id="49" max="16383" man="1"/>
    <brk id="103" max="10" man="1"/>
  </rowBreaks>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2:H16"/>
  <sheetViews>
    <sheetView zoomScaleNormal="100" workbookViewId="0"/>
  </sheetViews>
  <sheetFormatPr defaultRowHeight="15" x14ac:dyDescent="0.25"/>
  <cols>
    <col min="1" max="2" width="9.140625" style="43"/>
    <col min="3" max="3" width="17.85546875" style="43" customWidth="1"/>
    <col min="4" max="4" width="14" style="43" bestFit="1" customWidth="1"/>
    <col min="5" max="6" width="9.140625" style="43"/>
    <col min="7" max="7" width="13.85546875" style="43" customWidth="1"/>
    <col min="8" max="16384" width="9.140625" style="43"/>
  </cols>
  <sheetData>
    <row r="2" spans="1:8" ht="21" customHeight="1" x14ac:dyDescent="0.25"/>
    <row r="3" spans="1:8" ht="15" customHeight="1" x14ac:dyDescent="0.25">
      <c r="A3" s="726" t="s">
        <v>318</v>
      </c>
      <c r="B3" s="726"/>
      <c r="C3" s="726"/>
      <c r="D3" s="726"/>
      <c r="E3" s="726"/>
      <c r="F3" s="726"/>
      <c r="G3" s="726"/>
    </row>
    <row r="4" spans="1:8" ht="15" customHeight="1" x14ac:dyDescent="0.25">
      <c r="A4" s="726"/>
      <c r="B4" s="726"/>
      <c r="C4" s="726"/>
      <c r="D4" s="726"/>
      <c r="E4" s="726"/>
      <c r="F4" s="726"/>
      <c r="G4" s="726"/>
    </row>
    <row r="5" spans="1:8" x14ac:dyDescent="0.25">
      <c r="A5" s="727" t="s">
        <v>33</v>
      </c>
      <c r="B5" s="727"/>
      <c r="C5" s="727"/>
      <c r="D5" s="287" t="s">
        <v>34</v>
      </c>
      <c r="E5" s="728" t="s">
        <v>35</v>
      </c>
      <c r="F5" s="728"/>
      <c r="G5" s="728"/>
      <c r="H5" s="45"/>
    </row>
    <row r="6" spans="1:8" ht="49.5" customHeight="1" x14ac:dyDescent="0.25">
      <c r="A6" s="764" t="s">
        <v>319</v>
      </c>
      <c r="B6" s="739"/>
      <c r="C6" s="740"/>
      <c r="D6" s="158">
        <f>'WP-2015 Sch4-TUTRR'!J71</f>
        <v>970404005.1738708</v>
      </c>
      <c r="E6" s="741" t="s">
        <v>1097</v>
      </c>
      <c r="F6" s="742"/>
      <c r="G6" s="743"/>
    </row>
    <row r="7" spans="1:8" ht="50.25" customHeight="1" x14ac:dyDescent="0.25">
      <c r="A7" s="764" t="s">
        <v>320</v>
      </c>
      <c r="B7" s="760"/>
      <c r="C7" s="761"/>
      <c r="D7" s="422">
        <f>'WP-2015 Sch4-TUTRR'!J70</f>
        <v>970250474.48693633</v>
      </c>
      <c r="E7" s="732" t="s">
        <v>1103</v>
      </c>
      <c r="F7" s="746"/>
      <c r="G7" s="746"/>
    </row>
    <row r="8" spans="1:8" x14ac:dyDescent="0.25">
      <c r="A8" s="723" t="s">
        <v>36</v>
      </c>
      <c r="B8" s="723"/>
      <c r="C8" s="724"/>
      <c r="D8" s="47">
        <f>D7-D6</f>
        <v>-153530.68693447113</v>
      </c>
      <c r="E8" s="744"/>
      <c r="F8" s="744"/>
      <c r="G8" s="745"/>
    </row>
    <row r="11" spans="1:8" x14ac:dyDescent="0.25">
      <c r="A11" s="88" t="s">
        <v>285</v>
      </c>
    </row>
    <row r="12" spans="1:8" ht="15" customHeight="1" x14ac:dyDescent="0.25">
      <c r="A12" s="721" t="s">
        <v>1091</v>
      </c>
      <c r="B12" s="722"/>
      <c r="C12" s="722"/>
      <c r="D12" s="722"/>
      <c r="E12" s="722"/>
      <c r="F12" s="722"/>
      <c r="G12" s="722"/>
      <c r="H12" s="722"/>
    </row>
    <row r="13" spans="1:8" x14ac:dyDescent="0.25">
      <c r="A13" s="706" t="s">
        <v>1092</v>
      </c>
      <c r="B13" s="304"/>
      <c r="C13" s="304"/>
      <c r="D13" s="304"/>
      <c r="E13" s="304"/>
      <c r="F13" s="304"/>
      <c r="G13" s="304"/>
      <c r="H13" s="304"/>
    </row>
    <row r="14" spans="1:8" x14ac:dyDescent="0.25">
      <c r="A14" s="721" t="s">
        <v>1093</v>
      </c>
      <c r="B14" s="722"/>
      <c r="C14" s="722"/>
      <c r="D14" s="722"/>
      <c r="E14" s="722"/>
      <c r="F14" s="722"/>
      <c r="G14" s="722"/>
      <c r="H14" s="722"/>
    </row>
    <row r="15" spans="1:8" x14ac:dyDescent="0.25">
      <c r="A15" s="706" t="s">
        <v>1094</v>
      </c>
      <c r="B15" s="304"/>
      <c r="C15" s="304"/>
      <c r="D15" s="304"/>
      <c r="E15" s="304"/>
      <c r="F15" s="304"/>
      <c r="G15" s="304"/>
      <c r="H15" s="304"/>
    </row>
    <row r="16" spans="1:8" x14ac:dyDescent="0.25">
      <c r="A16" s="721" t="s">
        <v>1095</v>
      </c>
      <c r="B16" s="722"/>
      <c r="C16" s="722"/>
      <c r="D16" s="722"/>
      <c r="E16" s="722"/>
      <c r="F16" s="722"/>
      <c r="G16" s="722"/>
      <c r="H16" s="722"/>
    </row>
  </sheetData>
  <mergeCells count="12">
    <mergeCell ref="A7:C7"/>
    <mergeCell ref="E7:G7"/>
    <mergeCell ref="A3:G4"/>
    <mergeCell ref="A5:C5"/>
    <mergeCell ref="E5:G5"/>
    <mergeCell ref="A6:C6"/>
    <mergeCell ref="E6:G6"/>
    <mergeCell ref="A14:H14"/>
    <mergeCell ref="A16:H16"/>
    <mergeCell ref="A8:C8"/>
    <mergeCell ref="E8:G8"/>
    <mergeCell ref="A12:H12"/>
  </mergeCells>
  <pageMargins left="0.7" right="0.7" top="0.75" bottom="0.75" header="0.3" footer="0.3"/>
  <pageSetup orientation="portrait" r:id="rId1"/>
  <headerFooter>
    <oddHeader>&amp;RTO12 Draft Annual Update
Attachment 4
WP-Schedule 3-One Time Adj True Up Adj
Page &amp;P of &amp;N</oddHeader>
    <oddFooter>&amp;R&amp;A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2"/>
  <sheetViews>
    <sheetView zoomScale="110" zoomScaleNormal="110" workbookViewId="0"/>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79">
        <v>7336125811.7188454</v>
      </c>
    </row>
    <row r="7" spans="1:10" x14ac:dyDescent="0.2">
      <c r="A7" s="171">
        <f>A6+1</f>
        <v>2</v>
      </c>
      <c r="B7" s="163"/>
      <c r="C7" s="172" t="s">
        <v>49</v>
      </c>
      <c r="D7" s="163"/>
      <c r="E7" s="163"/>
      <c r="F7" s="163" t="s">
        <v>50</v>
      </c>
      <c r="G7" s="163"/>
      <c r="H7" s="172" t="s">
        <v>1010</v>
      </c>
      <c r="I7" s="163"/>
      <c r="J7" s="179">
        <v>270637353.05202872</v>
      </c>
    </row>
    <row r="8" spans="1:10" x14ac:dyDescent="0.2">
      <c r="A8" s="171">
        <f>A7+1</f>
        <v>3</v>
      </c>
      <c r="B8" s="163"/>
      <c r="C8" s="172" t="s">
        <v>51</v>
      </c>
      <c r="D8" s="163"/>
      <c r="E8" s="163"/>
      <c r="F8" s="163" t="s">
        <v>50</v>
      </c>
      <c r="G8" s="163"/>
      <c r="H8" s="163" t="s">
        <v>1013</v>
      </c>
      <c r="I8" s="163"/>
      <c r="J8" s="173">
        <v>9942155</v>
      </c>
    </row>
    <row r="9" spans="1:10" x14ac:dyDescent="0.2">
      <c r="A9" s="171">
        <f>A8+1</f>
        <v>4</v>
      </c>
      <c r="B9" s="163"/>
      <c r="C9" s="172" t="s">
        <v>52</v>
      </c>
      <c r="D9" s="163"/>
      <c r="E9" s="163"/>
      <c r="F9" s="163" t="s">
        <v>50</v>
      </c>
      <c r="G9" s="163"/>
      <c r="H9" s="174" t="s">
        <v>1014</v>
      </c>
      <c r="I9" s="163"/>
      <c r="J9" s="173">
        <v>0</v>
      </c>
    </row>
    <row r="10" spans="1:10" x14ac:dyDescent="0.2">
      <c r="A10" s="171"/>
      <c r="B10" s="163"/>
      <c r="C10" s="172"/>
      <c r="D10" s="163"/>
      <c r="E10" s="163"/>
      <c r="F10" s="163"/>
      <c r="G10" s="163"/>
      <c r="H10" s="163"/>
      <c r="I10" s="163"/>
      <c r="J10" s="173"/>
    </row>
    <row r="11" spans="1:10" x14ac:dyDescent="0.2">
      <c r="A11" s="171"/>
      <c r="B11" s="163"/>
      <c r="C11" s="175" t="s">
        <v>53</v>
      </c>
      <c r="D11" s="163"/>
      <c r="E11" s="163"/>
      <c r="F11" s="163"/>
      <c r="G11" s="163"/>
      <c r="H11" s="163"/>
      <c r="I11" s="163"/>
      <c r="J11" s="173"/>
    </row>
    <row r="12" spans="1:10" x14ac:dyDescent="0.2">
      <c r="A12" s="171">
        <f>A9+1</f>
        <v>5</v>
      </c>
      <c r="B12" s="163"/>
      <c r="C12" s="176" t="s">
        <v>54</v>
      </c>
      <c r="D12" s="163"/>
      <c r="E12" s="163"/>
      <c r="F12" s="163" t="s">
        <v>48</v>
      </c>
      <c r="G12" s="163"/>
      <c r="H12" s="172" t="s">
        <v>1015</v>
      </c>
      <c r="I12" s="163"/>
      <c r="J12" s="179">
        <v>15778115.552899303</v>
      </c>
    </row>
    <row r="13" spans="1:10" x14ac:dyDescent="0.2">
      <c r="A13" s="171">
        <f>A12+1</f>
        <v>6</v>
      </c>
      <c r="B13" s="163"/>
      <c r="C13" s="177" t="s">
        <v>55</v>
      </c>
      <c r="D13" s="163"/>
      <c r="E13" s="163"/>
      <c r="F13" s="163" t="s">
        <v>48</v>
      </c>
      <c r="G13" s="163"/>
      <c r="H13" s="172" t="s">
        <v>1016</v>
      </c>
      <c r="I13" s="163"/>
      <c r="J13" s="179">
        <v>5071697.5367874186</v>
      </c>
    </row>
    <row r="14" spans="1:10" x14ac:dyDescent="0.2">
      <c r="A14" s="171">
        <f>A13+1</f>
        <v>7</v>
      </c>
      <c r="B14" s="163"/>
      <c r="C14" s="176" t="s">
        <v>56</v>
      </c>
      <c r="D14" s="163"/>
      <c r="E14" s="163"/>
      <c r="F14" s="174" t="s">
        <v>57</v>
      </c>
      <c r="G14" s="163"/>
      <c r="H14" s="163" t="s">
        <v>1017</v>
      </c>
      <c r="I14" s="163"/>
      <c r="J14" s="178">
        <v>8207211.1141263358</v>
      </c>
    </row>
    <row r="15" spans="1:10" x14ac:dyDescent="0.2">
      <c r="A15" s="171">
        <f>A14+1</f>
        <v>8</v>
      </c>
      <c r="B15" s="163"/>
      <c r="C15" s="176" t="s">
        <v>58</v>
      </c>
      <c r="D15" s="163"/>
      <c r="E15" s="163"/>
      <c r="F15" s="163"/>
      <c r="G15" s="163"/>
      <c r="H15" s="163" t="str">
        <f>"Line "&amp;A12&amp;" + Line "&amp;A13&amp;" + Line "&amp;A14&amp;""</f>
        <v>Line 5 + Line 6 + Line 7</v>
      </c>
      <c r="I15" s="163"/>
      <c r="J15" s="179">
        <f>SUM(J12:J14)</f>
        <v>29057024.203813057</v>
      </c>
    </row>
    <row r="16" spans="1:10" x14ac:dyDescent="0.2">
      <c r="A16" s="171"/>
      <c r="B16" s="163"/>
      <c r="C16" s="176"/>
      <c r="D16" s="163"/>
      <c r="E16" s="163"/>
      <c r="F16" s="163"/>
      <c r="G16" s="163"/>
      <c r="H16" s="163"/>
      <c r="I16" s="163"/>
      <c r="J16" s="173"/>
    </row>
    <row r="17" spans="1:10" x14ac:dyDescent="0.2">
      <c r="A17" s="171"/>
      <c r="B17" s="163"/>
      <c r="C17" s="180" t="s">
        <v>59</v>
      </c>
      <c r="D17" s="163"/>
      <c r="E17" s="163"/>
      <c r="F17" s="163"/>
      <c r="G17" s="163"/>
      <c r="H17" s="163"/>
      <c r="I17" s="163"/>
      <c r="J17" s="173"/>
    </row>
    <row r="18" spans="1:10" x14ac:dyDescent="0.2">
      <c r="A18" s="171">
        <f>A15+1</f>
        <v>9</v>
      </c>
      <c r="B18" s="163"/>
      <c r="C18" s="176" t="s">
        <v>60</v>
      </c>
      <c r="D18" s="163"/>
      <c r="E18" s="163"/>
      <c r="F18" s="163" t="s">
        <v>48</v>
      </c>
      <c r="G18" s="163" t="s">
        <v>61</v>
      </c>
      <c r="H18" s="172" t="s">
        <v>1034</v>
      </c>
      <c r="I18" s="163"/>
      <c r="J18" s="179">
        <v>-1246135909.221061</v>
      </c>
    </row>
    <row r="19" spans="1:10" x14ac:dyDescent="0.2">
      <c r="A19" s="171">
        <f>A18+1</f>
        <v>10</v>
      </c>
      <c r="B19" s="163"/>
      <c r="C19" s="176" t="s">
        <v>62</v>
      </c>
      <c r="D19" s="163"/>
      <c r="E19" s="163"/>
      <c r="F19" s="163" t="s">
        <v>50</v>
      </c>
      <c r="G19" s="163" t="s">
        <v>61</v>
      </c>
      <c r="H19" s="172" t="s">
        <v>1035</v>
      </c>
      <c r="I19" s="163"/>
      <c r="J19" s="173">
        <v>0</v>
      </c>
    </row>
    <row r="20" spans="1:10" x14ac:dyDescent="0.2">
      <c r="A20" s="171">
        <f>A19+1</f>
        <v>11</v>
      </c>
      <c r="B20" s="163"/>
      <c r="C20" s="176" t="s">
        <v>63</v>
      </c>
      <c r="D20" s="48"/>
      <c r="E20" s="163"/>
      <c r="F20" s="163" t="s">
        <v>50</v>
      </c>
      <c r="G20" s="163" t="s">
        <v>61</v>
      </c>
      <c r="H20" s="172" t="s">
        <v>1036</v>
      </c>
      <c r="I20" s="163"/>
      <c r="J20" s="178">
        <v>-117529884.26408361</v>
      </c>
    </row>
    <row r="21" spans="1:10" x14ac:dyDescent="0.2">
      <c r="A21" s="171">
        <f>A20+1</f>
        <v>12</v>
      </c>
      <c r="B21" s="163"/>
      <c r="C21" s="49" t="s">
        <v>64</v>
      </c>
      <c r="D21" s="48"/>
      <c r="E21" s="163"/>
      <c r="F21" s="163"/>
      <c r="G21" s="163"/>
      <c r="H21" s="163" t="str">
        <f>"Line "&amp;A18&amp;" + Line "&amp;A19&amp;" + Line "&amp;A20&amp;""</f>
        <v>Line 9 + Line 10 + Line 11</v>
      </c>
      <c r="I21" s="163"/>
      <c r="J21" s="179">
        <f>SUM(J18:J20)</f>
        <v>-1363665793.4851446</v>
      </c>
    </row>
    <row r="22" spans="1:10" x14ac:dyDescent="0.2">
      <c r="A22" s="171"/>
      <c r="B22" s="163"/>
      <c r="C22" s="174"/>
      <c r="D22" s="163"/>
      <c r="E22" s="163"/>
      <c r="F22" s="163"/>
      <c r="G22" s="163"/>
      <c r="H22" s="163"/>
      <c r="I22" s="163"/>
      <c r="J22" s="173"/>
    </row>
    <row r="23" spans="1:10" x14ac:dyDescent="0.2">
      <c r="A23" s="171">
        <f>A21+1</f>
        <v>13</v>
      </c>
      <c r="B23" s="163"/>
      <c r="C23" s="182" t="s">
        <v>65</v>
      </c>
      <c r="D23" s="163"/>
      <c r="E23" s="163"/>
      <c r="F23" s="163" t="s">
        <v>50</v>
      </c>
      <c r="G23" s="163"/>
      <c r="H23" s="172" t="s">
        <v>1037</v>
      </c>
      <c r="I23" s="163"/>
      <c r="J23" s="179">
        <v>-1289565055.8340855</v>
      </c>
    </row>
    <row r="24" spans="1:10" x14ac:dyDescent="0.2">
      <c r="A24" s="171">
        <f>A23+1</f>
        <v>14</v>
      </c>
      <c r="B24" s="163"/>
      <c r="C24" s="172" t="s">
        <v>66</v>
      </c>
      <c r="D24" s="163"/>
      <c r="E24" s="163"/>
      <c r="F24" s="163" t="s">
        <v>48</v>
      </c>
      <c r="G24" s="163"/>
      <c r="H24" s="172" t="s">
        <v>1038</v>
      </c>
      <c r="I24" s="163"/>
      <c r="J24" s="173">
        <v>378577965.22230768</v>
      </c>
    </row>
    <row r="25" spans="1:10" x14ac:dyDescent="0.2">
      <c r="A25" s="171">
        <f>A24+1</f>
        <v>15</v>
      </c>
      <c r="B25" s="163"/>
      <c r="C25" s="182" t="s">
        <v>67</v>
      </c>
      <c r="D25" s="163"/>
      <c r="E25" s="163"/>
      <c r="F25" s="163" t="s">
        <v>50</v>
      </c>
      <c r="G25" s="163" t="s">
        <v>61</v>
      </c>
      <c r="H25" s="172" t="s">
        <v>1040</v>
      </c>
      <c r="I25" s="163"/>
      <c r="J25" s="173">
        <v>-31931714</v>
      </c>
    </row>
    <row r="26" spans="1:10" x14ac:dyDescent="0.2">
      <c r="A26" s="171" t="s">
        <v>68</v>
      </c>
      <c r="B26" s="163"/>
      <c r="C26" s="172" t="s">
        <v>69</v>
      </c>
      <c r="D26" s="163"/>
      <c r="E26" s="163"/>
      <c r="F26" s="163"/>
      <c r="G26" s="163"/>
      <c r="H26" s="174" t="s">
        <v>1041</v>
      </c>
      <c r="I26" s="163"/>
      <c r="J26" s="179">
        <v>-14912405.6958651</v>
      </c>
    </row>
    <row r="27" spans="1:10" x14ac:dyDescent="0.2">
      <c r="A27" s="171">
        <v>16</v>
      </c>
      <c r="B27" s="163"/>
      <c r="C27" s="182" t="s">
        <v>70</v>
      </c>
      <c r="D27" s="163"/>
      <c r="E27" s="163"/>
      <c r="F27" s="163" t="s">
        <v>50</v>
      </c>
      <c r="G27" s="163"/>
      <c r="H27" s="172" t="s">
        <v>1042</v>
      </c>
      <c r="I27" s="163"/>
      <c r="J27" s="173">
        <v>0</v>
      </c>
    </row>
    <row r="28" spans="1:10" x14ac:dyDescent="0.2">
      <c r="A28" s="171"/>
      <c r="B28" s="163"/>
      <c r="C28" s="182"/>
      <c r="D28" s="163"/>
      <c r="E28" s="163"/>
      <c r="F28" s="163"/>
      <c r="G28" s="163"/>
      <c r="H28" s="163"/>
      <c r="I28" s="163"/>
      <c r="J28" s="163"/>
    </row>
    <row r="29" spans="1:10" x14ac:dyDescent="0.2">
      <c r="A29" s="171">
        <v>17</v>
      </c>
      <c r="B29" s="163"/>
      <c r="C29" s="163" t="s">
        <v>71</v>
      </c>
      <c r="D29" s="163"/>
      <c r="E29" s="163"/>
      <c r="F29" s="163"/>
      <c r="G29" s="163"/>
      <c r="H29" s="163" t="str">
        <f>"L"&amp;A6&amp;"+L"&amp;A7&amp;"+L"&amp;A8&amp;"+L"&amp;A9&amp;"+L"&amp;A15&amp;"+L"&amp;A21&amp;"+"</f>
        <v>L1+L2+L3+L4+L8+L12+</v>
      </c>
      <c r="I29" s="163"/>
      <c r="J29" s="179">
        <f>J6+ J7+J8+J9+J15+J21+J23+J24+J25+J26+J27</f>
        <v>5324265340.1818991</v>
      </c>
    </row>
    <row r="30" spans="1:10" x14ac:dyDescent="0.2">
      <c r="A30" s="171"/>
      <c r="B30" s="163"/>
      <c r="C30" s="163"/>
      <c r="D30" s="163"/>
      <c r="E30" s="163"/>
      <c r="F30" s="163"/>
      <c r="G30" s="163"/>
      <c r="H30" s="163" t="str">
        <f>"L"&amp;A23&amp;"+L"&amp;A24&amp;"+L"&amp;A25&amp;"+L"&amp;A26&amp;"+L"&amp;A27&amp;""</f>
        <v>L13+L14+L15+L15a+L16</v>
      </c>
      <c r="I30" s="163"/>
      <c r="J30" s="173"/>
    </row>
    <row r="31" spans="1:10" x14ac:dyDescent="0.2">
      <c r="A31" s="171"/>
      <c r="B31" s="183" t="s">
        <v>72</v>
      </c>
      <c r="D31" s="163"/>
      <c r="E31" s="163"/>
      <c r="F31" s="163"/>
      <c r="G31" s="163"/>
      <c r="H31" s="163"/>
      <c r="I31" s="163"/>
      <c r="J31" s="173"/>
    </row>
    <row r="32" spans="1:10" x14ac:dyDescent="0.2">
      <c r="A32" s="184" t="s">
        <v>42</v>
      </c>
      <c r="B32" s="163"/>
      <c r="C32" s="183"/>
      <c r="D32" s="163"/>
      <c r="E32" s="163"/>
      <c r="F32" s="163"/>
      <c r="G32" s="163"/>
      <c r="H32" s="163"/>
      <c r="I32" s="163"/>
      <c r="J32" s="173"/>
    </row>
    <row r="33" spans="1:10" x14ac:dyDescent="0.2">
      <c r="A33" s="171">
        <f>A29+1</f>
        <v>18</v>
      </c>
      <c r="B33" s="163"/>
      <c r="C33" s="163" t="s">
        <v>73</v>
      </c>
      <c r="D33" s="163"/>
      <c r="E33" s="163"/>
      <c r="F33" s="163"/>
      <c r="G33" s="174" t="s">
        <v>74</v>
      </c>
      <c r="H33" s="174" t="str">
        <f>"Instruction 1, Line "&amp;B98&amp;""</f>
        <v>Instruction 1, Line j</v>
      </c>
      <c r="I33" s="163"/>
      <c r="J33" s="448">
        <f>E98</f>
        <v>7.2170567904872154E-2</v>
      </c>
    </row>
    <row r="34" spans="1:10" x14ac:dyDescent="0.2">
      <c r="A34" s="166">
        <f>A33+1</f>
        <v>19</v>
      </c>
      <c r="C34" s="174" t="s">
        <v>75</v>
      </c>
      <c r="D34" s="174"/>
      <c r="E34" s="174"/>
      <c r="F34" s="174"/>
      <c r="G34" s="174"/>
      <c r="H34" t="str">
        <f>"Line "&amp;A29&amp;" * Line "&amp;A33&amp;""</f>
        <v>Line 17 * Line 18</v>
      </c>
      <c r="J34" s="186">
        <f>J29*J33</f>
        <v>384255253.27715498</v>
      </c>
    </row>
    <row r="35" spans="1:10" x14ac:dyDescent="0.2">
      <c r="A35" s="166"/>
      <c r="B35" s="168"/>
      <c r="J35" s="163"/>
    </row>
    <row r="36" spans="1:10" x14ac:dyDescent="0.2">
      <c r="A36" s="166"/>
      <c r="B36" s="162" t="s">
        <v>76</v>
      </c>
      <c r="J36" s="163"/>
    </row>
    <row r="37" spans="1:10" x14ac:dyDescent="0.2">
      <c r="A37" s="171"/>
      <c r="B37" s="177"/>
      <c r="C37" s="163"/>
      <c r="D37" s="163"/>
      <c r="E37" s="163"/>
      <c r="F37" s="163"/>
      <c r="G37" s="163"/>
      <c r="H37" s="163"/>
      <c r="I37" s="163"/>
      <c r="J37" s="163"/>
    </row>
    <row r="38" spans="1:10" x14ac:dyDescent="0.2">
      <c r="A38" s="171">
        <f>A34+1</f>
        <v>20</v>
      </c>
      <c r="B38" s="163"/>
      <c r="C38" s="174" t="s">
        <v>77</v>
      </c>
      <c r="D38" s="163"/>
      <c r="E38" s="163"/>
      <c r="F38" s="163"/>
      <c r="G38" s="163"/>
      <c r="H38" s="163"/>
      <c r="I38" s="163"/>
      <c r="J38" s="179">
        <f>(((J29*J42) + J45) *(J43/(1-J43)))+(J44/(1-J43))</f>
        <v>194520051.05258074</v>
      </c>
    </row>
    <row r="39" spans="1:10" x14ac:dyDescent="0.2">
      <c r="A39" s="171"/>
      <c r="B39" s="163"/>
      <c r="C39" s="163"/>
      <c r="D39" s="163"/>
      <c r="E39" s="163"/>
      <c r="F39" s="163"/>
      <c r="G39" s="163"/>
      <c r="H39" s="163"/>
      <c r="I39" s="163"/>
      <c r="J39" s="174"/>
    </row>
    <row r="40" spans="1:10" x14ac:dyDescent="0.2">
      <c r="A40" s="171"/>
      <c r="B40" s="163"/>
      <c r="C40" s="163"/>
      <c r="D40" s="163" t="s">
        <v>78</v>
      </c>
      <c r="E40" s="163"/>
      <c r="F40" s="163"/>
      <c r="G40" s="163"/>
      <c r="H40" s="163"/>
      <c r="I40" s="163"/>
      <c r="J40" s="163"/>
    </row>
    <row r="41" spans="1:10" x14ac:dyDescent="0.2">
      <c r="A41" s="171">
        <f>A38+1</f>
        <v>21</v>
      </c>
      <c r="B41" s="163"/>
      <c r="C41" s="163"/>
      <c r="D41" s="177" t="s">
        <v>79</v>
      </c>
      <c r="E41" s="163"/>
      <c r="F41" s="163"/>
      <c r="G41" s="163"/>
      <c r="H41" s="163" t="str">
        <f>"Line "&amp;A29&amp;""</f>
        <v>Line 17</v>
      </c>
      <c r="I41" s="163"/>
      <c r="J41" s="179">
        <f>J29</f>
        <v>5324265340.1818991</v>
      </c>
    </row>
    <row r="42" spans="1:10" x14ac:dyDescent="0.2">
      <c r="A42" s="171">
        <f>A41+1</f>
        <v>22</v>
      </c>
      <c r="B42" s="163"/>
      <c r="C42" s="163"/>
      <c r="D42" s="176" t="s">
        <v>80</v>
      </c>
      <c r="E42" s="163"/>
      <c r="F42" s="163"/>
      <c r="G42" s="174" t="s">
        <v>81</v>
      </c>
      <c r="H42" s="174" t="str">
        <f>"Instruction 1, Line "&amp;B103&amp;""</f>
        <v>Instruction 1, Line k</v>
      </c>
      <c r="I42" s="163"/>
      <c r="J42" s="492">
        <f>E103</f>
        <v>5.1605747113765393E-2</v>
      </c>
    </row>
    <row r="43" spans="1:10" x14ac:dyDescent="0.2">
      <c r="A43" s="171">
        <f>A42+1</f>
        <v>23</v>
      </c>
      <c r="B43" s="163"/>
      <c r="C43" s="163"/>
      <c r="D43" s="177" t="s">
        <v>82</v>
      </c>
      <c r="E43" s="163"/>
      <c r="F43" s="163"/>
      <c r="G43" s="163"/>
      <c r="H43" s="163" t="s">
        <v>1018</v>
      </c>
      <c r="I43" s="163"/>
      <c r="J43" s="187">
        <v>0.40754725118781476</v>
      </c>
    </row>
    <row r="44" spans="1:10" x14ac:dyDescent="0.2">
      <c r="A44" s="171">
        <f>A43+1</f>
        <v>24</v>
      </c>
      <c r="B44" s="163"/>
      <c r="C44" s="163"/>
      <c r="D44" s="177" t="s">
        <v>83</v>
      </c>
      <c r="E44" s="163"/>
      <c r="F44" s="163"/>
      <c r="G44" s="163"/>
      <c r="H44" s="163" t="s">
        <v>1019</v>
      </c>
      <c r="I44" s="163"/>
      <c r="J44" s="173">
        <v>2086200</v>
      </c>
    </row>
    <row r="45" spans="1:10" x14ac:dyDescent="0.2">
      <c r="A45" s="171">
        <f>A44+1</f>
        <v>25</v>
      </c>
      <c r="B45" s="163"/>
      <c r="C45" s="163"/>
      <c r="D45" s="177" t="s">
        <v>84</v>
      </c>
      <c r="E45" s="163"/>
      <c r="F45" s="163"/>
      <c r="G45" s="163"/>
      <c r="H45" s="163" t="s">
        <v>1020</v>
      </c>
      <c r="I45" s="163"/>
      <c r="J45" s="188">
        <v>2892817</v>
      </c>
    </row>
    <row r="46" spans="1:10" x14ac:dyDescent="0.2">
      <c r="A46" s="171"/>
      <c r="B46" s="177"/>
      <c r="C46" s="163"/>
      <c r="D46" s="163"/>
      <c r="E46" s="163"/>
      <c r="F46" s="163"/>
      <c r="G46" s="163"/>
      <c r="H46" s="163"/>
      <c r="I46" s="163"/>
      <c r="J46" s="163"/>
    </row>
    <row r="47" spans="1:10" x14ac:dyDescent="0.2">
      <c r="A47" s="171"/>
      <c r="B47" s="183" t="s">
        <v>85</v>
      </c>
      <c r="D47" s="163"/>
      <c r="E47" s="163"/>
      <c r="F47" s="163"/>
      <c r="G47" s="163"/>
      <c r="H47" s="163"/>
      <c r="I47" s="163"/>
      <c r="J47" s="163"/>
    </row>
    <row r="48" spans="1:10" x14ac:dyDescent="0.2">
      <c r="A48" s="171">
        <f>A45+1</f>
        <v>26</v>
      </c>
      <c r="B48" s="177"/>
      <c r="C48" s="163" t="s">
        <v>86</v>
      </c>
      <c r="D48" s="163"/>
      <c r="E48" s="163"/>
      <c r="F48" s="163"/>
      <c r="G48" s="163"/>
      <c r="H48" s="163" t="s">
        <v>1021</v>
      </c>
      <c r="I48" s="163"/>
      <c r="J48" s="179">
        <v>80038081.100583017</v>
      </c>
    </row>
    <row r="49" spans="1:10" x14ac:dyDescent="0.2">
      <c r="A49" s="171">
        <f t="shared" ref="A49:A60" si="0">A48+1</f>
        <v>27</v>
      </c>
      <c r="B49" s="177"/>
      <c r="C49" s="174" t="s">
        <v>87</v>
      </c>
      <c r="D49" s="163"/>
      <c r="E49" s="163"/>
      <c r="F49" s="163"/>
      <c r="G49" s="163"/>
      <c r="H49" s="163" t="s">
        <v>1022</v>
      </c>
      <c r="I49" s="163"/>
      <c r="J49" s="179">
        <v>51277296.725438356</v>
      </c>
    </row>
    <row r="50" spans="1:10" x14ac:dyDescent="0.2">
      <c r="A50" s="189" t="s">
        <v>159</v>
      </c>
      <c r="B50" s="190"/>
      <c r="C50" s="191" t="s">
        <v>160</v>
      </c>
      <c r="D50" s="192"/>
      <c r="E50" s="192"/>
      <c r="F50" s="192"/>
      <c r="G50" s="192"/>
      <c r="H50" s="192" t="s">
        <v>1043</v>
      </c>
      <c r="I50" s="192"/>
      <c r="J50" s="194">
        <v>-1126034.4570942738</v>
      </c>
    </row>
    <row r="51" spans="1:10" x14ac:dyDescent="0.2">
      <c r="A51" s="171">
        <f>A49+1</f>
        <v>28</v>
      </c>
      <c r="B51" s="177"/>
      <c r="C51" s="163" t="s">
        <v>88</v>
      </c>
      <c r="D51" s="163"/>
      <c r="E51" s="163"/>
      <c r="F51" s="163"/>
      <c r="G51" s="163"/>
      <c r="H51" s="163" t="s">
        <v>1023</v>
      </c>
      <c r="I51" s="163"/>
      <c r="J51" s="173">
        <v>1403660</v>
      </c>
    </row>
    <row r="52" spans="1:10" x14ac:dyDescent="0.2">
      <c r="A52" s="171">
        <f t="shared" si="0"/>
        <v>29</v>
      </c>
      <c r="B52" s="177"/>
      <c r="C52" s="174" t="s">
        <v>89</v>
      </c>
      <c r="D52" s="163"/>
      <c r="E52" s="163"/>
      <c r="F52" s="163"/>
      <c r="G52" s="163"/>
      <c r="H52" s="163" t="s">
        <v>1024</v>
      </c>
      <c r="I52" s="163"/>
      <c r="J52" s="179">
        <v>216795696.83690587</v>
      </c>
    </row>
    <row r="53" spans="1:10" x14ac:dyDescent="0.2">
      <c r="A53" s="171">
        <f t="shared" si="0"/>
        <v>30</v>
      </c>
      <c r="B53" s="177"/>
      <c r="C53" s="174" t="s">
        <v>90</v>
      </c>
      <c r="D53" s="163"/>
      <c r="E53" s="163"/>
      <c r="F53" s="163"/>
      <c r="G53" s="163"/>
      <c r="H53" s="163" t="s">
        <v>1025</v>
      </c>
      <c r="I53" s="163"/>
      <c r="J53" s="173">
        <v>0</v>
      </c>
    </row>
    <row r="54" spans="1:10" x14ac:dyDescent="0.2">
      <c r="A54" s="171">
        <f t="shared" si="0"/>
        <v>31</v>
      </c>
      <c r="B54" s="177"/>
      <c r="C54" s="174" t="s">
        <v>91</v>
      </c>
      <c r="D54" s="163"/>
      <c r="E54" s="163"/>
      <c r="F54" s="163"/>
      <c r="G54" s="163"/>
      <c r="H54" s="163" t="s">
        <v>1026</v>
      </c>
      <c r="I54" s="163"/>
      <c r="J54" s="179">
        <v>53571739.136684783</v>
      </c>
    </row>
    <row r="55" spans="1:10" x14ac:dyDescent="0.2">
      <c r="A55" s="171">
        <f t="shared" si="0"/>
        <v>32</v>
      </c>
      <c r="B55" s="177"/>
      <c r="C55" s="163" t="s">
        <v>92</v>
      </c>
      <c r="D55" s="163"/>
      <c r="E55" s="163"/>
      <c r="F55" s="163"/>
      <c r="G55" s="174"/>
      <c r="H55" s="163" t="s">
        <v>1027</v>
      </c>
      <c r="I55" s="163"/>
      <c r="J55" s="173">
        <v>-55077034.877153262</v>
      </c>
    </row>
    <row r="56" spans="1:10" x14ac:dyDescent="0.2">
      <c r="A56" s="171">
        <f t="shared" si="0"/>
        <v>33</v>
      </c>
      <c r="B56" s="177"/>
      <c r="C56" s="163" t="s">
        <v>93</v>
      </c>
      <c r="D56" s="163"/>
      <c r="E56" s="163"/>
      <c r="F56" s="163"/>
      <c r="G56" s="163"/>
      <c r="H56" s="163" t="str">
        <f>"Line "&amp;A34&amp;""</f>
        <v>Line 19</v>
      </c>
      <c r="I56" s="163"/>
      <c r="J56" s="179">
        <f>J34</f>
        <v>384255253.27715498</v>
      </c>
    </row>
    <row r="57" spans="1:10" x14ac:dyDescent="0.2">
      <c r="A57" s="171">
        <f t="shared" si="0"/>
        <v>34</v>
      </c>
      <c r="B57" s="177"/>
      <c r="C57" s="163" t="s">
        <v>94</v>
      </c>
      <c r="D57" s="163"/>
      <c r="E57" s="163"/>
      <c r="F57" s="163"/>
      <c r="G57" s="163"/>
      <c r="H57" s="163" t="str">
        <f>"Line "&amp;A38&amp;""</f>
        <v>Line 20</v>
      </c>
      <c r="I57" s="163"/>
      <c r="J57" s="186">
        <f>J38</f>
        <v>194520051.05258074</v>
      </c>
    </row>
    <row r="58" spans="1:10" x14ac:dyDescent="0.2">
      <c r="A58" s="171">
        <f t="shared" si="0"/>
        <v>35</v>
      </c>
      <c r="B58" s="177"/>
      <c r="C58" s="174" t="s">
        <v>95</v>
      </c>
      <c r="D58" s="163"/>
      <c r="E58" s="163"/>
      <c r="F58" s="163"/>
      <c r="G58" s="163"/>
      <c r="H58" s="163" t="s">
        <v>1028</v>
      </c>
      <c r="I58" s="163"/>
      <c r="J58" s="188">
        <v>0</v>
      </c>
    </row>
    <row r="59" spans="1:10" x14ac:dyDescent="0.2">
      <c r="A59" s="171">
        <f t="shared" si="0"/>
        <v>36</v>
      </c>
      <c r="B59" s="177"/>
      <c r="C59" s="50" t="s">
        <v>96</v>
      </c>
      <c r="D59" s="51"/>
      <c r="E59" s="163"/>
      <c r="F59" s="163"/>
      <c r="G59" s="163"/>
      <c r="H59" s="163" t="s">
        <v>1029</v>
      </c>
      <c r="I59" s="163"/>
      <c r="J59" s="181">
        <v>0</v>
      </c>
    </row>
    <row r="60" spans="1:10" x14ac:dyDescent="0.2">
      <c r="A60" s="171">
        <f t="shared" si="0"/>
        <v>37</v>
      </c>
      <c r="B60" s="177"/>
      <c r="C60" s="174" t="s">
        <v>97</v>
      </c>
      <c r="D60" s="163"/>
      <c r="E60" s="163"/>
      <c r="F60" s="163"/>
      <c r="G60" s="163"/>
      <c r="H60" s="163" t="str">
        <f>"Sum Line "&amp;A48&amp;" to Line "&amp;A59&amp;""</f>
        <v>Sum Line 26 to Line 36</v>
      </c>
      <c r="I60" s="163"/>
      <c r="J60" s="194">
        <f>SUM(J48:J59)</f>
        <v>925658708.79510009</v>
      </c>
    </row>
    <row r="61" spans="1:10" x14ac:dyDescent="0.2">
      <c r="A61" s="171"/>
      <c r="B61" s="177"/>
      <c r="C61" s="163"/>
      <c r="D61" s="163"/>
      <c r="E61" s="163"/>
      <c r="F61" s="163"/>
      <c r="G61" s="163"/>
      <c r="H61" s="163"/>
      <c r="I61" s="163"/>
      <c r="J61" s="173"/>
    </row>
    <row r="62" spans="1:10" ht="12.75" customHeight="1" x14ac:dyDescent="0.2">
      <c r="A62" s="171">
        <f>A60+1</f>
        <v>38</v>
      </c>
      <c r="B62" s="177"/>
      <c r="C62" s="174" t="s">
        <v>98</v>
      </c>
      <c r="D62" s="163"/>
      <c r="E62" s="163"/>
      <c r="F62" s="163"/>
      <c r="G62" s="163"/>
      <c r="H62" s="163" t="s">
        <v>1044</v>
      </c>
      <c r="I62" s="163"/>
      <c r="J62" s="179">
        <v>33453290.244726196</v>
      </c>
    </row>
    <row r="63" spans="1:10" x14ac:dyDescent="0.2">
      <c r="A63" s="171"/>
      <c r="B63" s="177"/>
      <c r="C63" s="174"/>
      <c r="D63" s="163"/>
      <c r="E63" s="163"/>
      <c r="F63" s="163"/>
      <c r="G63" s="163"/>
      <c r="H63" s="163"/>
      <c r="I63" s="163"/>
      <c r="J63" s="173"/>
    </row>
    <row r="64" spans="1:10" x14ac:dyDescent="0.2">
      <c r="A64" s="171">
        <f>A62+1</f>
        <v>39</v>
      </c>
      <c r="B64" s="177"/>
      <c r="C64" s="174" t="s">
        <v>99</v>
      </c>
      <c r="D64" s="163"/>
      <c r="E64" s="163"/>
      <c r="F64" s="163"/>
      <c r="G64" s="163"/>
      <c r="H64" s="163" t="str">
        <f>"Line "&amp;A60&amp;" + Line "&amp;A62&amp;""</f>
        <v>Line 37 + Line 38</v>
      </c>
      <c r="I64" s="163"/>
      <c r="J64" s="179">
        <f>J60+J62</f>
        <v>959111999.03982627</v>
      </c>
    </row>
    <row r="65" spans="1:10" x14ac:dyDescent="0.2">
      <c r="A65" s="171"/>
      <c r="B65" s="177"/>
      <c r="C65" s="174"/>
      <c r="D65" s="163"/>
      <c r="E65" s="163"/>
      <c r="F65" s="163"/>
      <c r="G65" s="163"/>
      <c r="H65" s="163"/>
      <c r="I65" s="163"/>
      <c r="J65" s="173"/>
    </row>
    <row r="66" spans="1:10" x14ac:dyDescent="0.2">
      <c r="A66" s="171"/>
      <c r="B66" s="195" t="s">
        <v>100</v>
      </c>
      <c r="C66" s="174"/>
      <c r="D66" s="163"/>
      <c r="E66" s="163"/>
      <c r="F66" s="163"/>
      <c r="G66" s="163"/>
      <c r="H66" s="163"/>
      <c r="I66" s="163"/>
      <c r="J66" s="173"/>
    </row>
    <row r="67" spans="1:10" ht="13.5" thickBot="1" x14ac:dyDescent="0.25">
      <c r="A67" s="167" t="s">
        <v>42</v>
      </c>
      <c r="B67" s="196"/>
      <c r="G67" s="169" t="s">
        <v>101</v>
      </c>
    </row>
    <row r="68" spans="1:10" x14ac:dyDescent="0.2">
      <c r="A68" s="171">
        <f>A64+1</f>
        <v>40</v>
      </c>
      <c r="B68" s="182"/>
      <c r="C68" s="163"/>
      <c r="D68" s="197" t="s">
        <v>102</v>
      </c>
      <c r="E68" s="179">
        <f>J64</f>
        <v>959111999.03982627</v>
      </c>
      <c r="F68" s="163"/>
      <c r="G68" s="163" t="str">
        <f>"Line "&amp;A64&amp;""</f>
        <v>Line 39</v>
      </c>
      <c r="H68" s="163"/>
      <c r="I68" s="163"/>
      <c r="J68" s="198" t="s">
        <v>103</v>
      </c>
    </row>
    <row r="69" spans="1:10" x14ac:dyDescent="0.2">
      <c r="A69" s="171">
        <f>A68+1</f>
        <v>41</v>
      </c>
      <c r="B69" s="182"/>
      <c r="C69" s="163"/>
      <c r="D69" s="197" t="s">
        <v>104</v>
      </c>
      <c r="E69" s="199">
        <v>9.2056812204103118E-3</v>
      </c>
      <c r="F69" s="163"/>
      <c r="G69" s="163" t="s">
        <v>1045</v>
      </c>
      <c r="H69" s="163"/>
      <c r="I69" s="163"/>
      <c r="J69" s="200" t="s">
        <v>582</v>
      </c>
    </row>
    <row r="70" spans="1:10" x14ac:dyDescent="0.2">
      <c r="A70" s="171">
        <f>A69+1</f>
        <v>42</v>
      </c>
      <c r="B70" s="182"/>
      <c r="C70" s="163"/>
      <c r="D70" s="202" t="s">
        <v>105</v>
      </c>
      <c r="E70" s="179">
        <v>8829279.3178311214</v>
      </c>
      <c r="F70" s="163"/>
      <c r="G70" s="163" t="str">
        <f>"Line "&amp;A68&amp;" * Line "&amp;A69&amp;""</f>
        <v>Line 40 * Line 41</v>
      </c>
      <c r="H70" s="163"/>
      <c r="I70" s="163"/>
      <c r="J70" s="203">
        <f>E73</f>
        <v>970250474.48693633</v>
      </c>
    </row>
    <row r="71" spans="1:10" x14ac:dyDescent="0.2">
      <c r="A71" s="171">
        <f>A70+1</f>
        <v>43</v>
      </c>
      <c r="B71" s="182"/>
      <c r="C71" s="163"/>
      <c r="D71" s="197" t="s">
        <v>106</v>
      </c>
      <c r="E71" s="199">
        <v>2.4076397037996198E-3</v>
      </c>
      <c r="F71" s="163"/>
      <c r="G71" s="163" t="s">
        <v>1045</v>
      </c>
      <c r="H71" s="163"/>
      <c r="I71" s="163"/>
      <c r="J71" s="204">
        <v>970404005.1738708</v>
      </c>
    </row>
    <row r="72" spans="1:10" ht="13.5" thickBot="1" x14ac:dyDescent="0.25">
      <c r="A72" s="171">
        <f>A71+1</f>
        <v>44</v>
      </c>
      <c r="B72" s="182"/>
      <c r="C72" s="163"/>
      <c r="D72" s="197" t="s">
        <v>107</v>
      </c>
      <c r="E72" s="179">
        <v>2309196.1292789085</v>
      </c>
      <c r="F72" s="163"/>
      <c r="G72" s="163" t="str">
        <f>"Line "&amp;A70&amp;" * Line "&amp;A71&amp;""</f>
        <v>Line 42 * Line 43</v>
      </c>
      <c r="H72" s="163"/>
      <c r="I72" s="163"/>
      <c r="J72" s="205">
        <f>J70-J71</f>
        <v>-153530.68693447113</v>
      </c>
    </row>
    <row r="73" spans="1:10" x14ac:dyDescent="0.2">
      <c r="A73" s="171">
        <f>A72+1</f>
        <v>45</v>
      </c>
      <c r="B73" s="182"/>
      <c r="C73" s="163"/>
      <c r="D73" s="197" t="s">
        <v>108</v>
      </c>
      <c r="E73" s="179">
        <f>E68+E70+E72</f>
        <v>970250474.48693633</v>
      </c>
      <c r="F73" s="163"/>
      <c r="G73" s="163" t="str">
        <f>"L "&amp;A68&amp;" + L "&amp;A70&amp;" + L "&amp;A72&amp;""</f>
        <v>L 40 + L 42 + L 44</v>
      </c>
      <c r="H73" s="163"/>
      <c r="I73" s="163"/>
      <c r="J73" s="163"/>
    </row>
    <row r="74" spans="1:10" x14ac:dyDescent="0.2">
      <c r="A74" s="163"/>
      <c r="B74" s="206" t="s">
        <v>109</v>
      </c>
      <c r="C74" s="163"/>
      <c r="D74" s="202"/>
      <c r="E74" s="173"/>
      <c r="F74" s="163"/>
      <c r="G74" s="163"/>
      <c r="H74" s="52"/>
      <c r="I74" s="163"/>
      <c r="J74" s="163"/>
    </row>
    <row r="75" spans="1:10" x14ac:dyDescent="0.2">
      <c r="A75" s="171"/>
      <c r="B75" s="174" t="s">
        <v>110</v>
      </c>
      <c r="C75" s="195"/>
      <c r="D75" s="202"/>
      <c r="E75" s="173"/>
      <c r="F75" s="163"/>
      <c r="G75" s="163"/>
      <c r="H75" s="163"/>
      <c r="I75" s="163"/>
      <c r="J75" s="163"/>
    </row>
    <row r="76" spans="1:10" x14ac:dyDescent="0.2">
      <c r="A76" s="171"/>
      <c r="B76" s="174" t="s">
        <v>111</v>
      </c>
      <c r="C76" s="195"/>
      <c r="D76" s="202"/>
      <c r="E76" s="173"/>
      <c r="F76" s="163"/>
      <c r="G76" s="163"/>
      <c r="H76" s="163"/>
      <c r="I76" s="163"/>
      <c r="J76" s="163"/>
    </row>
    <row r="77" spans="1:10" x14ac:dyDescent="0.2">
      <c r="A77" s="171"/>
      <c r="B77" s="172" t="s">
        <v>112</v>
      </c>
      <c r="C77" s="174"/>
      <c r="D77" s="202"/>
      <c r="E77" s="173"/>
      <c r="F77" s="163"/>
      <c r="G77" s="163"/>
      <c r="H77" s="163"/>
      <c r="I77" s="163"/>
      <c r="J77" s="163"/>
    </row>
    <row r="78" spans="1:10" x14ac:dyDescent="0.2">
      <c r="A78" s="171"/>
      <c r="B78" s="172" t="s">
        <v>113</v>
      </c>
      <c r="C78" s="163"/>
      <c r="D78" s="202"/>
      <c r="E78" s="173"/>
      <c r="F78" s="163"/>
      <c r="G78" s="163"/>
      <c r="H78" s="163"/>
      <c r="I78" s="163"/>
      <c r="J78" s="163"/>
    </row>
    <row r="79" spans="1:10" x14ac:dyDescent="0.2">
      <c r="A79" s="171"/>
      <c r="B79" s="163"/>
      <c r="C79" s="163"/>
      <c r="D79" s="163"/>
      <c r="E79" s="163"/>
      <c r="F79" s="163"/>
      <c r="G79" s="163"/>
      <c r="H79" s="163"/>
      <c r="I79" s="163"/>
      <c r="J79" s="163"/>
    </row>
    <row r="80" spans="1:10" x14ac:dyDescent="0.2">
      <c r="A80" s="171"/>
      <c r="B80" s="174" t="s">
        <v>114</v>
      </c>
      <c r="C80" s="163"/>
      <c r="D80" s="163"/>
      <c r="E80" s="163"/>
      <c r="F80" s="163"/>
      <c r="G80" s="163"/>
      <c r="H80" s="163"/>
      <c r="I80" s="163"/>
      <c r="J80" s="163"/>
    </row>
    <row r="81" spans="1:12" x14ac:dyDescent="0.2">
      <c r="A81" s="171"/>
      <c r="B81" s="174"/>
      <c r="C81" s="174" t="s">
        <v>115</v>
      </c>
      <c r="D81" s="163"/>
      <c r="E81" s="163"/>
      <c r="F81" s="163"/>
      <c r="G81" s="163"/>
      <c r="H81" s="163"/>
      <c r="I81" s="163"/>
      <c r="J81" s="163"/>
    </row>
    <row r="82" spans="1:12" x14ac:dyDescent="0.2">
      <c r="A82" s="171"/>
      <c r="B82" s="174"/>
      <c r="C82" s="163"/>
      <c r="D82" s="163"/>
      <c r="E82" s="163"/>
      <c r="F82" s="163"/>
      <c r="G82" s="163"/>
      <c r="H82" s="163"/>
      <c r="I82" s="163"/>
      <c r="J82" s="171" t="s">
        <v>116</v>
      </c>
    </row>
    <row r="83" spans="1:12" x14ac:dyDescent="0.2">
      <c r="A83" s="171"/>
      <c r="B83" s="163"/>
      <c r="C83" s="163"/>
      <c r="D83" s="163"/>
      <c r="E83" s="207" t="s">
        <v>117</v>
      </c>
      <c r="F83" s="208" t="s">
        <v>101</v>
      </c>
      <c r="G83" s="207" t="s">
        <v>118</v>
      </c>
      <c r="H83" s="207" t="s">
        <v>119</v>
      </c>
      <c r="I83" s="163"/>
      <c r="J83" s="207" t="s">
        <v>120</v>
      </c>
    </row>
    <row r="84" spans="1:12" x14ac:dyDescent="0.2">
      <c r="B84" s="209" t="s">
        <v>121</v>
      </c>
      <c r="C84" s="174" t="s">
        <v>122</v>
      </c>
      <c r="D84" s="163"/>
      <c r="E84" s="210">
        <v>9.8000000000000004E-2</v>
      </c>
      <c r="F84" s="163" t="s">
        <v>1030</v>
      </c>
      <c r="G84" s="211" t="s">
        <v>583</v>
      </c>
      <c r="H84" s="212" t="s">
        <v>584</v>
      </c>
      <c r="I84" s="174"/>
      <c r="J84" s="213">
        <v>365</v>
      </c>
      <c r="K84" s="174"/>
      <c r="L84" s="174"/>
    </row>
    <row r="85" spans="1:12" x14ac:dyDescent="0.2">
      <c r="B85" s="209" t="s">
        <v>123</v>
      </c>
      <c r="C85" s="174" t="s">
        <v>124</v>
      </c>
      <c r="D85" s="163"/>
      <c r="E85" s="214">
        <v>9.8000000000000004E-2</v>
      </c>
      <c r="F85" s="215" t="s">
        <v>125</v>
      </c>
      <c r="G85" s="211"/>
      <c r="H85" s="212"/>
      <c r="I85" s="174"/>
      <c r="J85" s="213"/>
      <c r="K85" s="174"/>
      <c r="L85" s="174"/>
    </row>
    <row r="86" spans="1:12" x14ac:dyDescent="0.2">
      <c r="B86" s="209" t="s">
        <v>127</v>
      </c>
      <c r="C86" s="174"/>
      <c r="D86" s="163"/>
      <c r="E86" s="216"/>
      <c r="F86" s="215"/>
      <c r="G86" s="217"/>
      <c r="H86" s="217"/>
      <c r="I86" s="197" t="s">
        <v>128</v>
      </c>
      <c r="J86" s="174">
        <f>SUM(J84:J85)</f>
        <v>365</v>
      </c>
      <c r="K86" s="174"/>
      <c r="L86" s="174"/>
    </row>
    <row r="87" spans="1:12" x14ac:dyDescent="0.2">
      <c r="A87" s="163"/>
      <c r="B87" s="209" t="s">
        <v>129</v>
      </c>
      <c r="C87" s="174" t="s">
        <v>130</v>
      </c>
      <c r="D87" s="163"/>
      <c r="E87" s="210">
        <f>((E84*J84) + (E85* J85)) / J86</f>
        <v>9.8000000000000004E-2</v>
      </c>
      <c r="F87" s="174" t="s">
        <v>131</v>
      </c>
      <c r="G87" s="163"/>
      <c r="H87" s="174"/>
      <c r="I87" s="174"/>
      <c r="J87" s="174"/>
      <c r="K87" s="174"/>
      <c r="L87" s="174"/>
    </row>
    <row r="88" spans="1:12" x14ac:dyDescent="0.2">
      <c r="A88" s="171"/>
      <c r="B88" s="174"/>
      <c r="C88" s="163"/>
      <c r="D88" s="163"/>
      <c r="E88" s="163"/>
      <c r="F88" s="163"/>
      <c r="G88" s="163"/>
      <c r="H88" s="174"/>
      <c r="I88" s="174"/>
      <c r="J88" s="174"/>
      <c r="K88" s="174"/>
      <c r="L88" s="174"/>
    </row>
    <row r="89" spans="1:12" x14ac:dyDescent="0.2">
      <c r="A89" s="171"/>
      <c r="B89" s="174" t="s">
        <v>132</v>
      </c>
      <c r="C89" s="163"/>
      <c r="D89" s="163"/>
      <c r="E89" s="163"/>
      <c r="F89" s="163"/>
      <c r="G89" s="163"/>
      <c r="H89" s="174"/>
      <c r="I89" s="174"/>
      <c r="J89" s="174"/>
      <c r="K89" s="174"/>
      <c r="L89" s="174"/>
    </row>
    <row r="90" spans="1:12" x14ac:dyDescent="0.2">
      <c r="A90" s="171"/>
      <c r="B90" s="174"/>
      <c r="C90" s="163"/>
      <c r="D90" s="163"/>
      <c r="E90" s="208" t="s">
        <v>101</v>
      </c>
      <c r="F90" s="163"/>
      <c r="G90" s="163"/>
      <c r="H90" s="174"/>
      <c r="I90" s="174"/>
      <c r="J90" s="174"/>
      <c r="K90" s="174"/>
      <c r="L90" s="174"/>
    </row>
    <row r="91" spans="1:12" x14ac:dyDescent="0.2">
      <c r="A91" s="163"/>
      <c r="B91" s="209" t="s">
        <v>133</v>
      </c>
      <c r="C91" s="174" t="s">
        <v>134</v>
      </c>
      <c r="D91" s="163"/>
      <c r="E91" s="218" t="s">
        <v>135</v>
      </c>
      <c r="F91" s="218"/>
      <c r="G91" s="218"/>
      <c r="H91" s="213"/>
      <c r="I91" s="213"/>
      <c r="J91" s="213"/>
      <c r="K91" s="174"/>
      <c r="L91" s="174"/>
    </row>
    <row r="92" spans="1:12" x14ac:dyDescent="0.2">
      <c r="B92" s="209" t="s">
        <v>136</v>
      </c>
      <c r="C92" s="174" t="s">
        <v>137</v>
      </c>
      <c r="D92" s="163"/>
      <c r="E92" s="218" t="s">
        <v>135</v>
      </c>
      <c r="F92" s="218"/>
      <c r="G92" s="218"/>
      <c r="H92" s="213"/>
      <c r="I92" s="213"/>
      <c r="J92" s="213"/>
      <c r="K92" s="174"/>
      <c r="L92" s="174"/>
    </row>
    <row r="93" spans="1:12" x14ac:dyDescent="0.2">
      <c r="B93" s="163"/>
      <c r="C93" s="174"/>
      <c r="D93" s="163"/>
      <c r="E93" s="217"/>
      <c r="F93" s="163"/>
      <c r="G93" s="163"/>
      <c r="H93" s="163"/>
      <c r="I93" s="174"/>
      <c r="J93" s="174"/>
      <c r="K93" s="174"/>
      <c r="L93" s="174"/>
    </row>
    <row r="94" spans="1:12" x14ac:dyDescent="0.2">
      <c r="B94" s="163"/>
      <c r="C94" s="163"/>
      <c r="D94" s="163"/>
      <c r="E94" s="207" t="s">
        <v>117</v>
      </c>
      <c r="F94" s="208" t="s">
        <v>101</v>
      </c>
      <c r="G94" s="163"/>
      <c r="H94" s="174"/>
      <c r="I94" s="174"/>
      <c r="J94" s="163"/>
    </row>
    <row r="95" spans="1:12" x14ac:dyDescent="0.2">
      <c r="B95" s="209" t="s">
        <v>138</v>
      </c>
      <c r="C95" s="174" t="s">
        <v>139</v>
      </c>
      <c r="D95" s="174"/>
      <c r="E95" s="492">
        <v>2.0564820791106758E-2</v>
      </c>
      <c r="F95" s="163" t="s">
        <v>1031</v>
      </c>
      <c r="G95" s="163"/>
      <c r="H95" s="174"/>
      <c r="I95" s="174"/>
      <c r="J95" s="163"/>
    </row>
    <row r="96" spans="1:12" x14ac:dyDescent="0.2">
      <c r="B96" s="209" t="s">
        <v>140</v>
      </c>
      <c r="C96" s="174" t="s">
        <v>141</v>
      </c>
      <c r="D96" s="163"/>
      <c r="E96" s="492">
        <v>4.7484367756137295E-3</v>
      </c>
      <c r="F96" s="163" t="s">
        <v>1032</v>
      </c>
      <c r="G96" s="163"/>
      <c r="H96" s="174"/>
      <c r="I96" s="174"/>
      <c r="J96" s="163"/>
    </row>
    <row r="97" spans="1:10" x14ac:dyDescent="0.2">
      <c r="B97" s="209" t="s">
        <v>142</v>
      </c>
      <c r="C97" s="174" t="s">
        <v>143</v>
      </c>
      <c r="D97" s="163"/>
      <c r="E97" s="447">
        <v>4.6857310338151666E-2</v>
      </c>
      <c r="F97" s="163" t="s">
        <v>1033</v>
      </c>
      <c r="G97" s="174"/>
      <c r="H97" s="174"/>
      <c r="I97" s="163"/>
      <c r="J97" s="163"/>
    </row>
    <row r="98" spans="1:10" x14ac:dyDescent="0.2">
      <c r="A98" s="163"/>
      <c r="B98" s="171" t="s">
        <v>144</v>
      </c>
      <c r="C98" s="176" t="s">
        <v>73</v>
      </c>
      <c r="D98" s="163"/>
      <c r="E98" s="448">
        <f>SUM(E95:E97)</f>
        <v>7.2170567904872154E-2</v>
      </c>
      <c r="F98" s="173" t="str">
        <f>"Sum of Lines "&amp;B92&amp;" to "&amp;B96&amp;""</f>
        <v>Sum of Lines f to h</v>
      </c>
      <c r="G98" s="219"/>
      <c r="H98" s="163"/>
      <c r="I98" s="163"/>
      <c r="J98" s="220"/>
    </row>
    <row r="99" spans="1:10" x14ac:dyDescent="0.2">
      <c r="A99" s="171"/>
      <c r="B99" s="163"/>
      <c r="C99" s="53"/>
      <c r="D99" s="54"/>
      <c r="E99" s="173"/>
      <c r="F99" s="173"/>
      <c r="G99" s="219"/>
      <c r="H99" s="173"/>
      <c r="I99" s="163"/>
      <c r="J99" s="220"/>
    </row>
    <row r="100" spans="1:10" x14ac:dyDescent="0.2">
      <c r="A100" s="171"/>
      <c r="B100" s="174" t="s">
        <v>145</v>
      </c>
      <c r="C100" s="163"/>
      <c r="D100" s="163"/>
      <c r="E100" s="163"/>
      <c r="F100" s="163"/>
      <c r="G100" s="163"/>
      <c r="H100" s="163"/>
      <c r="I100" s="163"/>
      <c r="J100" s="163"/>
    </row>
    <row r="101" spans="1:10" x14ac:dyDescent="0.2">
      <c r="A101" s="171"/>
      <c r="B101" s="163"/>
      <c r="C101" s="163"/>
      <c r="D101" s="163"/>
      <c r="E101" s="163"/>
      <c r="F101" s="163"/>
      <c r="G101" s="163"/>
      <c r="H101" s="163"/>
      <c r="I101" s="163"/>
      <c r="J101" s="163"/>
    </row>
    <row r="102" spans="1:10" x14ac:dyDescent="0.2">
      <c r="A102" s="171"/>
      <c r="B102" s="163"/>
      <c r="C102" s="163"/>
      <c r="D102" s="163"/>
      <c r="E102" s="207" t="s">
        <v>117</v>
      </c>
      <c r="F102" s="208" t="s">
        <v>101</v>
      </c>
      <c r="G102" s="163"/>
      <c r="H102" s="163"/>
      <c r="I102" s="163"/>
      <c r="J102" s="163"/>
    </row>
    <row r="103" spans="1:10" x14ac:dyDescent="0.2">
      <c r="A103" s="163"/>
      <c r="B103" s="209" t="s">
        <v>146</v>
      </c>
      <c r="C103" s="163"/>
      <c r="D103" s="163"/>
      <c r="E103" s="492">
        <f>E96+E97</f>
        <v>5.1605747113765393E-2</v>
      </c>
      <c r="F103" s="173" t="str">
        <f>"Sum of Lines "&amp;B95&amp;" to "&amp;B96&amp;""</f>
        <v>Sum of Lines g to h</v>
      </c>
      <c r="G103" s="163"/>
      <c r="H103" s="163"/>
      <c r="I103" s="163"/>
      <c r="J103" s="163"/>
    </row>
    <row r="104" spans="1:10" x14ac:dyDescent="0.2">
      <c r="A104" s="171"/>
      <c r="B104" s="163"/>
      <c r="C104" s="163"/>
      <c r="D104" s="163"/>
      <c r="E104" s="187"/>
      <c r="F104" s="173"/>
      <c r="G104" s="163"/>
      <c r="H104" s="163"/>
      <c r="I104" s="163"/>
      <c r="J104" s="163"/>
    </row>
    <row r="105" spans="1:10" x14ac:dyDescent="0.2">
      <c r="A105" s="171"/>
      <c r="B105" s="172" t="s">
        <v>147</v>
      </c>
      <c r="C105" s="163"/>
      <c r="D105" s="163"/>
      <c r="E105" s="219"/>
      <c r="F105" s="219"/>
      <c r="G105" s="219"/>
      <c r="H105" s="173"/>
      <c r="I105" s="163"/>
      <c r="J105" s="163"/>
    </row>
    <row r="106" spans="1:10" x14ac:dyDescent="0.2">
      <c r="A106" s="171"/>
      <c r="B106" s="215" t="s">
        <v>148</v>
      </c>
      <c r="C106" s="163"/>
      <c r="D106" s="163"/>
      <c r="E106" s="163"/>
      <c r="F106" s="163"/>
      <c r="G106" s="163"/>
      <c r="H106" s="163"/>
      <c r="I106" s="163"/>
      <c r="J106" s="163"/>
    </row>
    <row r="107" spans="1:10" x14ac:dyDescent="0.2">
      <c r="A107" s="166"/>
      <c r="B107" s="215" t="s">
        <v>149</v>
      </c>
      <c r="C107" s="163"/>
      <c r="D107" s="171"/>
      <c r="E107" s="171"/>
      <c r="F107" s="171"/>
      <c r="G107" s="171"/>
      <c r="H107" s="171"/>
      <c r="I107" s="163"/>
      <c r="J107" s="163"/>
    </row>
    <row r="108" spans="1:10" x14ac:dyDescent="0.2">
      <c r="A108" s="166"/>
      <c r="B108" s="172" t="s">
        <v>150</v>
      </c>
      <c r="C108" s="163"/>
      <c r="D108" s="171"/>
      <c r="E108" s="171"/>
      <c r="F108" s="171"/>
      <c r="G108" s="171"/>
      <c r="H108" s="171"/>
      <c r="I108" s="163"/>
      <c r="J108" s="163"/>
    </row>
    <row r="109" spans="1:10" x14ac:dyDescent="0.2">
      <c r="A109" s="166"/>
      <c r="B109" s="163" t="s">
        <v>151</v>
      </c>
      <c r="C109" s="55"/>
      <c r="D109" s="55"/>
      <c r="E109" s="207"/>
      <c r="F109" s="207"/>
      <c r="G109" s="207"/>
      <c r="H109" s="207"/>
      <c r="I109" s="163"/>
      <c r="J109" s="163"/>
    </row>
    <row r="110" spans="1:10" x14ac:dyDescent="0.2">
      <c r="A110" s="166"/>
    </row>
    <row r="111" spans="1:10" x14ac:dyDescent="0.2">
      <c r="A111" s="166"/>
    </row>
    <row r="112" spans="1:10" x14ac:dyDescent="0.2">
      <c r="A112" s="166"/>
    </row>
    <row r="113" spans="1:10" x14ac:dyDescent="0.2">
      <c r="A113" s="166"/>
      <c r="C113" s="53"/>
      <c r="E113" s="173"/>
      <c r="F113" s="173"/>
      <c r="H113" s="221"/>
      <c r="J113" s="222"/>
    </row>
    <row r="114" spans="1:10" x14ac:dyDescent="0.2">
      <c r="A114" s="166"/>
      <c r="C114" s="53"/>
      <c r="E114" s="173"/>
      <c r="F114" s="173"/>
      <c r="H114" s="221"/>
      <c r="J114" s="222"/>
    </row>
    <row r="115" spans="1:10" x14ac:dyDescent="0.2">
      <c r="A115" s="167"/>
      <c r="C115" s="53"/>
      <c r="E115" s="173"/>
      <c r="F115" s="173"/>
      <c r="H115" s="221"/>
      <c r="J115" s="222"/>
    </row>
    <row r="116" spans="1:10" x14ac:dyDescent="0.2">
      <c r="A116" s="166"/>
      <c r="D116" s="56"/>
      <c r="E116" s="173"/>
      <c r="F116" s="173"/>
      <c r="G116" s="223"/>
      <c r="H116" s="221"/>
      <c r="J116" s="222"/>
    </row>
    <row r="117" spans="1:10" x14ac:dyDescent="0.2">
      <c r="A117" s="166"/>
      <c r="C117" s="53"/>
      <c r="D117" s="224"/>
      <c r="E117" s="225"/>
      <c r="F117" s="221"/>
      <c r="G117" s="223"/>
      <c r="H117" s="221"/>
      <c r="J117" s="222"/>
    </row>
    <row r="118" spans="1:10" x14ac:dyDescent="0.2">
      <c r="A118" s="166"/>
      <c r="C118" s="53"/>
      <c r="D118" s="224"/>
      <c r="E118" s="221"/>
      <c r="F118" s="221"/>
      <c r="G118" s="223"/>
      <c r="H118" s="221"/>
      <c r="J118" s="222"/>
    </row>
    <row r="119" spans="1:10" x14ac:dyDescent="0.2">
      <c r="A119" s="166"/>
    </row>
    <row r="120" spans="1:10" x14ac:dyDescent="0.2">
      <c r="A120" s="166"/>
      <c r="B120" s="162"/>
    </row>
    <row r="121" spans="1:10" x14ac:dyDescent="0.2">
      <c r="A121" s="166"/>
    </row>
    <row r="122" spans="1:10" x14ac:dyDescent="0.2">
      <c r="A122" s="166"/>
    </row>
    <row r="123" spans="1:10" x14ac:dyDescent="0.2">
      <c r="A123" s="166"/>
      <c r="F123" s="166"/>
    </row>
    <row r="124" spans="1:10" x14ac:dyDescent="0.2">
      <c r="A124" s="166"/>
      <c r="F124" s="166"/>
    </row>
    <row r="125" spans="1:10" x14ac:dyDescent="0.2">
      <c r="A125" s="166"/>
      <c r="D125" s="166"/>
      <c r="E125" s="166"/>
      <c r="F125" s="166"/>
      <c r="H125" s="166"/>
    </row>
    <row r="126" spans="1:10" x14ac:dyDescent="0.2">
      <c r="A126" s="166"/>
      <c r="D126" s="166"/>
      <c r="E126" s="166"/>
      <c r="F126" s="166"/>
      <c r="G126" s="166"/>
      <c r="H126" s="226"/>
    </row>
    <row r="127" spans="1:10" x14ac:dyDescent="0.2">
      <c r="A127" s="167"/>
      <c r="C127" s="57"/>
      <c r="D127" s="57"/>
      <c r="E127" s="170"/>
      <c r="F127" s="227"/>
      <c r="G127" s="170"/>
      <c r="H127" s="226"/>
    </row>
    <row r="128" spans="1:10" x14ac:dyDescent="0.2">
      <c r="A128" s="166"/>
      <c r="C128" s="58"/>
      <c r="D128" s="54"/>
      <c r="E128" s="173"/>
      <c r="F128" s="173"/>
      <c r="G128" s="210"/>
      <c r="H128" s="221"/>
    </row>
    <row r="129" spans="1:8" x14ac:dyDescent="0.2">
      <c r="A129" s="166"/>
      <c r="C129" s="53"/>
      <c r="D129" s="54"/>
      <c r="E129" s="173"/>
      <c r="F129" s="173"/>
      <c r="G129" s="210"/>
      <c r="H129" s="221"/>
    </row>
    <row r="130" spans="1:8" x14ac:dyDescent="0.2">
      <c r="A130" s="166"/>
      <c r="C130" s="53"/>
      <c r="D130" s="54"/>
      <c r="E130" s="173"/>
      <c r="F130" s="173"/>
      <c r="G130" s="210"/>
      <c r="H130" s="221"/>
    </row>
    <row r="131" spans="1:8" x14ac:dyDescent="0.2">
      <c r="A131" s="166"/>
      <c r="C131" s="58"/>
      <c r="D131" s="54"/>
      <c r="E131" s="173"/>
      <c r="F131" s="173"/>
      <c r="G131" s="210"/>
      <c r="H131" s="221"/>
    </row>
    <row r="132" spans="1:8" x14ac:dyDescent="0.2">
      <c r="A132" s="166"/>
      <c r="C132" s="53"/>
      <c r="D132" s="54"/>
      <c r="E132" s="173"/>
      <c r="F132" s="173"/>
      <c r="G132" s="210"/>
      <c r="H132" s="221"/>
    </row>
    <row r="133" spans="1:8" x14ac:dyDescent="0.2">
      <c r="A133" s="166"/>
      <c r="C133" s="53"/>
      <c r="D133" s="54"/>
      <c r="E133" s="173"/>
      <c r="F133" s="173"/>
      <c r="G133" s="210"/>
      <c r="H133" s="221"/>
    </row>
    <row r="134" spans="1:8" x14ac:dyDescent="0.2">
      <c r="A134" s="166"/>
      <c r="C134" s="58"/>
      <c r="D134" s="54"/>
      <c r="E134" s="173"/>
      <c r="F134" s="173"/>
      <c r="G134" s="210"/>
      <c r="H134" s="221"/>
    </row>
    <row r="135" spans="1:8" x14ac:dyDescent="0.2">
      <c r="A135" s="166"/>
      <c r="C135" s="53"/>
      <c r="D135" s="54"/>
      <c r="E135" s="173"/>
      <c r="F135" s="173"/>
      <c r="G135" s="210"/>
      <c r="H135" s="221"/>
    </row>
    <row r="136" spans="1:8" x14ac:dyDescent="0.2">
      <c r="A136" s="166"/>
      <c r="C136" s="53"/>
      <c r="D136" s="54"/>
      <c r="E136" s="173"/>
      <c r="F136" s="173"/>
      <c r="G136" s="210"/>
      <c r="H136" s="221"/>
    </row>
    <row r="137" spans="1:8" x14ac:dyDescent="0.2">
      <c r="A137" s="166"/>
      <c r="C137" s="58"/>
      <c r="D137" s="54"/>
      <c r="E137" s="173"/>
      <c r="F137" s="173"/>
      <c r="G137" s="210"/>
      <c r="H137" s="221"/>
    </row>
    <row r="138" spans="1:8" x14ac:dyDescent="0.2">
      <c r="A138" s="166"/>
      <c r="C138" s="58"/>
      <c r="D138" s="54"/>
      <c r="E138" s="173"/>
      <c r="F138" s="173"/>
      <c r="G138" s="210"/>
      <c r="H138" s="221"/>
    </row>
    <row r="139" spans="1:8" x14ac:dyDescent="0.2">
      <c r="A139" s="166"/>
      <c r="C139" s="53"/>
      <c r="D139" s="54"/>
      <c r="E139" s="173"/>
      <c r="F139" s="173"/>
      <c r="G139" s="210"/>
      <c r="H139" s="225"/>
    </row>
    <row r="140" spans="1:8" x14ac:dyDescent="0.2">
      <c r="A140" s="166"/>
      <c r="E140" s="163"/>
      <c r="F140" s="163"/>
      <c r="G140" s="163"/>
      <c r="H140" s="221"/>
    </row>
    <row r="141" spans="1:8" x14ac:dyDescent="0.2">
      <c r="A141" s="166"/>
      <c r="C141" s="53"/>
      <c r="D141" s="54"/>
      <c r="E141" s="163"/>
      <c r="F141" s="228"/>
      <c r="G141" s="210"/>
      <c r="H141" s="201"/>
    </row>
    <row r="142" spans="1:8" x14ac:dyDescent="0.2">
      <c r="A142" s="166"/>
      <c r="B142" s="162"/>
      <c r="C142" s="53"/>
      <c r="D142" s="54"/>
      <c r="E142" s="163"/>
      <c r="F142" s="228"/>
      <c r="G142" s="210"/>
      <c r="H142" s="201"/>
    </row>
    <row r="143" spans="1:8" x14ac:dyDescent="0.2">
      <c r="A143" s="167"/>
      <c r="B143" s="162"/>
      <c r="C143" s="53"/>
      <c r="D143" s="54"/>
      <c r="E143" s="163"/>
      <c r="F143" s="228"/>
      <c r="G143" s="210"/>
      <c r="H143" s="201"/>
    </row>
    <row r="144" spans="1:8" x14ac:dyDescent="0.2">
      <c r="A144" s="166"/>
      <c r="C144" s="53"/>
      <c r="D144" s="59"/>
      <c r="E144" s="173"/>
      <c r="F144" s="229"/>
      <c r="G144" s="210"/>
      <c r="H144" s="201"/>
    </row>
    <row r="145" spans="1:10" x14ac:dyDescent="0.2">
      <c r="A145" s="166"/>
      <c r="C145" s="53"/>
      <c r="D145" s="230"/>
      <c r="E145" s="173"/>
      <c r="F145" s="229"/>
      <c r="G145" s="210"/>
      <c r="H145" s="201"/>
    </row>
    <row r="146" spans="1:10" x14ac:dyDescent="0.2">
      <c r="A146" s="166"/>
      <c r="C146" s="53"/>
      <c r="D146" s="230"/>
      <c r="E146" s="225"/>
      <c r="F146" s="231"/>
      <c r="G146" s="210"/>
      <c r="H146" s="201"/>
    </row>
    <row r="147" spans="1:10" x14ac:dyDescent="0.2">
      <c r="A147" s="166"/>
      <c r="C147" s="53"/>
      <c r="D147" s="59"/>
      <c r="E147" s="221"/>
      <c r="F147" s="201"/>
      <c r="G147" s="210"/>
      <c r="H147" s="201"/>
    </row>
    <row r="148" spans="1:10" x14ac:dyDescent="0.2">
      <c r="A148" s="166"/>
      <c r="C148" s="53"/>
      <c r="D148" s="54"/>
      <c r="F148" s="201"/>
      <c r="G148" s="210"/>
      <c r="H148" s="201"/>
    </row>
    <row r="149" spans="1:10" x14ac:dyDescent="0.2">
      <c r="A149" s="166"/>
    </row>
    <row r="150" spans="1:10" x14ac:dyDescent="0.2">
      <c r="A150" s="166"/>
    </row>
    <row r="151" spans="1:10" x14ac:dyDescent="0.2">
      <c r="A151" s="166"/>
    </row>
    <row r="152" spans="1:10" x14ac:dyDescent="0.2">
      <c r="A152" s="166"/>
      <c r="B152" s="162"/>
    </row>
    <row r="153" spans="1:10" x14ac:dyDescent="0.2">
      <c r="A153" s="166"/>
      <c r="B153" s="223"/>
    </row>
    <row r="154" spans="1:10" x14ac:dyDescent="0.2">
      <c r="A154" s="166"/>
      <c r="B154" s="223"/>
    </row>
    <row r="155" spans="1:10" x14ac:dyDescent="0.2">
      <c r="A155" s="166"/>
      <c r="B155" s="223"/>
    </row>
    <row r="156" spans="1:10" x14ac:dyDescent="0.2">
      <c r="A156" s="166"/>
    </row>
    <row r="157" spans="1:10" x14ac:dyDescent="0.2">
      <c r="A157" s="166"/>
      <c r="B157" s="162"/>
    </row>
    <row r="158" spans="1:10" x14ac:dyDescent="0.2">
      <c r="A158" s="166"/>
    </row>
    <row r="159" spans="1:10" x14ac:dyDescent="0.2">
      <c r="A159" s="167"/>
      <c r="C159" s="57"/>
      <c r="D159" s="170"/>
      <c r="G159" s="163"/>
      <c r="H159" s="163"/>
      <c r="I159" s="163"/>
      <c r="J159" s="163"/>
    </row>
    <row r="160" spans="1:10" x14ac:dyDescent="0.2">
      <c r="A160" s="166"/>
      <c r="C160" s="58"/>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3"/>
      <c r="D162" s="232"/>
      <c r="F162" s="233"/>
      <c r="G162" s="163"/>
      <c r="H162" s="163"/>
      <c r="I162" s="163"/>
      <c r="J162" s="163"/>
    </row>
    <row r="163" spans="1:10" x14ac:dyDescent="0.2">
      <c r="A163" s="166"/>
      <c r="C163" s="58"/>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3"/>
      <c r="D165" s="232"/>
      <c r="F165" s="233"/>
      <c r="G165" s="163"/>
      <c r="H165" s="163"/>
      <c r="I165" s="163"/>
      <c r="J165" s="163"/>
    </row>
    <row r="166" spans="1:10" x14ac:dyDescent="0.2">
      <c r="A166" s="166"/>
      <c r="C166" s="58"/>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3"/>
      <c r="D168" s="232"/>
      <c r="F168" s="233"/>
      <c r="G168" s="163"/>
      <c r="H168" s="163"/>
      <c r="I168" s="163"/>
      <c r="J168" s="163"/>
    </row>
    <row r="169" spans="1:10" x14ac:dyDescent="0.2">
      <c r="A169" s="166"/>
      <c r="C169" s="58"/>
      <c r="D169" s="232"/>
      <c r="F169" s="233"/>
      <c r="G169" s="163"/>
      <c r="H169" s="163"/>
      <c r="I169" s="163"/>
      <c r="J169" s="163"/>
    </row>
    <row r="170" spans="1:10" x14ac:dyDescent="0.2">
      <c r="A170" s="166"/>
      <c r="C170" s="58"/>
      <c r="D170" s="232"/>
      <c r="F170" s="233"/>
    </row>
    <row r="171" spans="1:10" x14ac:dyDescent="0.2">
      <c r="A171" s="166"/>
      <c r="C171" s="53"/>
      <c r="D171" s="234"/>
      <c r="F171" s="235"/>
    </row>
    <row r="172" spans="1:10" x14ac:dyDescent="0.2">
      <c r="A172" s="166"/>
      <c r="C172" s="56"/>
      <c r="D172" s="232"/>
    </row>
  </sheetData>
  <pageMargins left="0.75" right="0.75" top="1" bottom="1" header="0.5" footer="0.5"/>
  <pageSetup scale="80" orientation="landscape" cellComments="asDisplayed" r:id="rId1"/>
  <headerFooter alignWithMargins="0">
    <oddHeader>&amp;CSchedule 4
True Up TRR
(Revised 2015 True Up TRR)&amp;RTO12 Draft Annual Update
Attachment 4
WP-Schedule 3-One Time Adj True Up Adj
Page &amp;P of &amp;N</oddHeader>
    <oddFooter>&amp;R&amp;A</oddFooter>
  </headerFooter>
  <rowBreaks count="4" manualBreakCount="4">
    <brk id="46" max="9" man="1"/>
    <brk id="73" max="16383" man="1"/>
    <brk id="119" max="9" man="1"/>
    <brk id="151" max="1638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zoomScaleNormal="100" zoomScalePageLayoutView="9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7" width="14.7109375" style="163" customWidth="1"/>
  </cols>
  <sheetData>
    <row r="1" spans="1:27" x14ac:dyDescent="0.2">
      <c r="A1" s="162" t="s">
        <v>652</v>
      </c>
      <c r="J1" s="218" t="s">
        <v>653</v>
      </c>
      <c r="K1" s="163"/>
      <c r="L1" s="163"/>
    </row>
    <row r="2" spans="1:27" x14ac:dyDescent="0.2">
      <c r="B2" s="162"/>
      <c r="I2" s="166"/>
      <c r="J2" s="166" t="s">
        <v>41</v>
      </c>
      <c r="L2" s="474">
        <v>2015</v>
      </c>
    </row>
    <row r="3" spans="1:27" x14ac:dyDescent="0.2">
      <c r="I3" s="170" t="s">
        <v>45</v>
      </c>
      <c r="J3" s="170" t="s">
        <v>46</v>
      </c>
      <c r="L3" s="170" t="s">
        <v>563</v>
      </c>
    </row>
    <row r="5" spans="1:27" x14ac:dyDescent="0.2">
      <c r="A5" s="475" t="s">
        <v>654</v>
      </c>
      <c r="B5" s="476"/>
      <c r="C5" s="477"/>
      <c r="D5" s="477"/>
      <c r="E5" s="477"/>
      <c r="F5" s="477"/>
      <c r="G5" s="477"/>
      <c r="H5" s="477"/>
      <c r="I5" s="478"/>
      <c r="J5" s="478"/>
      <c r="K5" s="478"/>
      <c r="L5" s="478"/>
      <c r="N5" s="479"/>
      <c r="O5" s="480"/>
      <c r="P5" s="480"/>
      <c r="Q5" s="480"/>
      <c r="R5" s="480"/>
      <c r="S5" s="480"/>
    </row>
    <row r="6" spans="1:27"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row>
    <row r="7" spans="1:27" x14ac:dyDescent="0.2">
      <c r="A7" s="167" t="s">
        <v>42</v>
      </c>
      <c r="B7" s="183"/>
      <c r="C7" s="175" t="s">
        <v>655</v>
      </c>
      <c r="D7" s="174"/>
      <c r="E7" s="174"/>
      <c r="F7" s="174"/>
      <c r="G7" s="174"/>
      <c r="H7" s="174"/>
      <c r="I7" s="174"/>
      <c r="J7" s="223"/>
      <c r="K7" s="174"/>
      <c r="L7" s="174"/>
      <c r="N7" s="184"/>
      <c r="O7" s="481"/>
      <c r="P7" s="217"/>
      <c r="Q7" s="217"/>
      <c r="R7" s="217"/>
      <c r="S7" s="217"/>
      <c r="T7" s="217"/>
      <c r="U7" s="217"/>
      <c r="V7" s="217"/>
      <c r="W7" s="217"/>
      <c r="X7" s="217"/>
      <c r="Y7" s="217"/>
      <c r="Z7" s="217"/>
      <c r="AA7" s="217"/>
    </row>
    <row r="8" spans="1:27" x14ac:dyDescent="0.2">
      <c r="A8" s="171">
        <v>1</v>
      </c>
      <c r="B8" s="183"/>
      <c r="C8" s="174" t="s">
        <v>656</v>
      </c>
      <c r="D8" s="174"/>
      <c r="E8" s="174"/>
      <c r="F8" s="174"/>
      <c r="G8" s="174"/>
      <c r="H8" s="174"/>
      <c r="I8" s="174" t="s">
        <v>657</v>
      </c>
      <c r="J8" s="176" t="s">
        <v>1046</v>
      </c>
      <c r="K8" s="174"/>
      <c r="L8" s="188">
        <v>10487314725.295382</v>
      </c>
      <c r="N8" s="171"/>
      <c r="O8" s="188"/>
      <c r="P8" s="188"/>
      <c r="Q8" s="188"/>
      <c r="R8" s="188"/>
      <c r="S8" s="188"/>
      <c r="T8" s="188"/>
      <c r="U8" s="188"/>
      <c r="V8" s="188"/>
      <c r="W8" s="188"/>
      <c r="X8" s="188"/>
      <c r="Y8" s="188"/>
      <c r="Z8" s="188"/>
      <c r="AA8" s="188"/>
    </row>
    <row r="9" spans="1:27" x14ac:dyDescent="0.2">
      <c r="A9" s="171">
        <f>A8+1</f>
        <v>2</v>
      </c>
      <c r="B9" s="183"/>
      <c r="C9" s="174" t="s">
        <v>658</v>
      </c>
      <c r="D9" s="174"/>
      <c r="E9" s="174"/>
      <c r="F9" s="174"/>
      <c r="G9" s="174"/>
      <c r="H9" s="174"/>
      <c r="I9" s="174" t="s">
        <v>657</v>
      </c>
      <c r="J9" s="176" t="s">
        <v>1047</v>
      </c>
      <c r="K9" s="174"/>
      <c r="L9" s="188">
        <v>-70166153.84615384</v>
      </c>
      <c r="N9" s="171"/>
      <c r="O9" s="188"/>
      <c r="P9" s="188"/>
      <c r="Q9" s="188"/>
      <c r="R9" s="188"/>
      <c r="S9" s="188"/>
      <c r="T9" s="188"/>
      <c r="U9" s="188"/>
      <c r="V9" s="188"/>
      <c r="W9" s="188"/>
      <c r="X9" s="188"/>
      <c r="Y9" s="188"/>
      <c r="Z9" s="188"/>
      <c r="AA9" s="188"/>
    </row>
    <row r="10" spans="1:27"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row>
    <row r="11" spans="1:27" x14ac:dyDescent="0.2">
      <c r="A11" s="171">
        <f>A9+1</f>
        <v>3</v>
      </c>
      <c r="B11" s="183"/>
      <c r="C11" s="174" t="s">
        <v>660</v>
      </c>
      <c r="D11" s="174"/>
      <c r="E11" s="174"/>
      <c r="F11" s="174"/>
      <c r="G11" s="174"/>
      <c r="H11" s="174"/>
      <c r="I11" s="174" t="s">
        <v>657</v>
      </c>
      <c r="J11" s="176" t="s">
        <v>1049</v>
      </c>
      <c r="K11" s="174"/>
      <c r="L11" s="188">
        <v>226379011.00615385</v>
      </c>
      <c r="N11" s="171"/>
      <c r="O11" s="188"/>
      <c r="P11" s="188"/>
      <c r="Q11" s="188"/>
      <c r="R11" s="188"/>
      <c r="S11" s="188"/>
      <c r="T11" s="188"/>
      <c r="U11" s="188"/>
      <c r="V11" s="188"/>
      <c r="W11" s="188"/>
      <c r="X11" s="188"/>
      <c r="Y11" s="188"/>
      <c r="Z11" s="188"/>
      <c r="AA11" s="188"/>
    </row>
    <row r="12" spans="1:27"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row>
    <row r="13" spans="1:27"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row>
    <row r="14" spans="1:27"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row>
    <row r="15" spans="1:27"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row>
    <row r="16" spans="1:27" x14ac:dyDescent="0.2">
      <c r="A16" s="171">
        <f t="shared" si="0"/>
        <v>8</v>
      </c>
      <c r="B16" s="183"/>
      <c r="C16" s="176" t="s">
        <v>662</v>
      </c>
      <c r="D16" s="174"/>
      <c r="E16" s="174"/>
      <c r="F16" s="174"/>
      <c r="G16" s="174"/>
      <c r="H16" s="174"/>
      <c r="I16" s="163"/>
      <c r="J16" s="176" t="str">
        <f>"L"&amp;A8&amp;" + L"&amp;A9&amp;" + L"&amp;A10&amp;" + L"&amp;A11&amp;""</f>
        <v>L1 + L2 + L2a + L3</v>
      </c>
      <c r="K16" s="174"/>
      <c r="L16" s="483">
        <f>SUM(L8:L11)</f>
        <v>10643527582.455381</v>
      </c>
    </row>
    <row r="17" spans="1:27" x14ac:dyDescent="0.2">
      <c r="A17" s="163"/>
      <c r="B17" s="183"/>
      <c r="C17" s="174"/>
      <c r="D17" s="174"/>
      <c r="E17" s="174"/>
      <c r="F17" s="174"/>
      <c r="G17" s="174" t="s">
        <v>579</v>
      </c>
      <c r="H17" s="174"/>
      <c r="I17" s="174"/>
      <c r="J17" s="176"/>
      <c r="K17" s="174"/>
      <c r="L17" s="174"/>
    </row>
    <row r="18" spans="1:27" x14ac:dyDescent="0.2">
      <c r="A18" s="171"/>
      <c r="B18" s="183"/>
      <c r="C18" s="175" t="s">
        <v>663</v>
      </c>
      <c r="D18" s="174"/>
      <c r="E18" s="174"/>
      <c r="F18" s="174"/>
      <c r="G18" s="174"/>
      <c r="H18" s="174"/>
      <c r="I18" s="174"/>
      <c r="J18" s="176"/>
      <c r="K18" s="174"/>
      <c r="L18" s="174"/>
    </row>
    <row r="19" spans="1:27" x14ac:dyDescent="0.2">
      <c r="A19" s="171">
        <f>A16+1</f>
        <v>9</v>
      </c>
      <c r="B19" s="183"/>
      <c r="C19" s="174" t="s">
        <v>664</v>
      </c>
      <c r="D19" s="174"/>
      <c r="E19" s="174"/>
      <c r="F19" s="174"/>
      <c r="G19" s="174"/>
      <c r="H19" s="174"/>
      <c r="I19" s="174"/>
      <c r="J19" s="176" t="s">
        <v>665</v>
      </c>
      <c r="K19" s="174"/>
      <c r="L19" s="454">
        <v>472179700</v>
      </c>
    </row>
    <row r="20" spans="1:27" x14ac:dyDescent="0.2">
      <c r="A20" s="171">
        <f>A19+1</f>
        <v>10</v>
      </c>
      <c r="B20" s="183"/>
      <c r="C20" s="174" t="s">
        <v>666</v>
      </c>
      <c r="D20" s="174"/>
      <c r="E20" s="174"/>
      <c r="F20" s="174"/>
      <c r="G20" s="174"/>
      <c r="H20" s="174"/>
      <c r="I20" s="174"/>
      <c r="J20" s="176" t="s">
        <v>667</v>
      </c>
      <c r="K20" s="174"/>
      <c r="L20" s="454">
        <v>27997794</v>
      </c>
    </row>
    <row r="21" spans="1:27" x14ac:dyDescent="0.2">
      <c r="A21" s="171">
        <f t="shared" ref="A21:A27" si="1">A20+1</f>
        <v>11</v>
      </c>
      <c r="B21" s="183"/>
      <c r="C21" s="174" t="s">
        <v>668</v>
      </c>
      <c r="D21" s="174"/>
      <c r="E21" s="174"/>
      <c r="F21" s="174"/>
      <c r="G21" s="174"/>
      <c r="H21" s="174"/>
      <c r="I21" s="174"/>
      <c r="J21" s="176" t="s">
        <v>669</v>
      </c>
      <c r="K21" s="174"/>
      <c r="L21" s="454">
        <v>0</v>
      </c>
    </row>
    <row r="22" spans="1:27" x14ac:dyDescent="0.2">
      <c r="A22" s="171">
        <f t="shared" si="1"/>
        <v>12</v>
      </c>
      <c r="B22" s="183"/>
      <c r="C22" s="174" t="s">
        <v>670</v>
      </c>
      <c r="D22" s="174"/>
      <c r="E22" s="174"/>
      <c r="F22" s="174"/>
      <c r="G22" s="174"/>
      <c r="H22" s="174"/>
      <c r="I22" s="174" t="s">
        <v>671</v>
      </c>
      <c r="J22" s="176" t="s">
        <v>672</v>
      </c>
      <c r="K22" s="174"/>
      <c r="L22" s="454">
        <v>0</v>
      </c>
    </row>
    <row r="23" spans="1:27" x14ac:dyDescent="0.2">
      <c r="A23" s="171">
        <f t="shared" si="1"/>
        <v>13</v>
      </c>
      <c r="B23" s="183"/>
      <c r="C23" s="174" t="s">
        <v>673</v>
      </c>
      <c r="D23" s="174"/>
      <c r="E23" s="174"/>
      <c r="F23" s="174"/>
      <c r="G23" s="174"/>
      <c r="H23" s="174"/>
      <c r="I23" s="174" t="s">
        <v>671</v>
      </c>
      <c r="J23" s="176" t="s">
        <v>674</v>
      </c>
      <c r="K23" s="174"/>
      <c r="L23" s="454">
        <v>0</v>
      </c>
    </row>
    <row r="24" spans="1:27" x14ac:dyDescent="0.2">
      <c r="A24" s="171" t="s">
        <v>675</v>
      </c>
      <c r="B24" s="183"/>
      <c r="C24" s="174" t="s">
        <v>676</v>
      </c>
      <c r="D24" s="174"/>
      <c r="E24" s="174"/>
      <c r="F24" s="174"/>
      <c r="G24" s="174"/>
      <c r="H24" s="174"/>
      <c r="I24" s="174"/>
      <c r="J24" s="176" t="s">
        <v>677</v>
      </c>
      <c r="K24" s="174"/>
      <c r="L24" s="454">
        <v>0</v>
      </c>
    </row>
    <row r="25" spans="1:27" x14ac:dyDescent="0.2">
      <c r="A25" s="171">
        <f>A23+1</f>
        <v>14</v>
      </c>
      <c r="B25" s="183"/>
      <c r="C25" s="174" t="s">
        <v>661</v>
      </c>
      <c r="D25" s="174"/>
      <c r="E25" s="174"/>
      <c r="F25" s="174"/>
      <c r="G25" s="174"/>
      <c r="H25" s="174"/>
      <c r="I25" s="174"/>
      <c r="J25" s="176"/>
      <c r="K25" s="174"/>
      <c r="L25" s="188"/>
    </row>
    <row r="26" spans="1:27" x14ac:dyDescent="0.2">
      <c r="A26" s="171">
        <f t="shared" si="1"/>
        <v>15</v>
      </c>
      <c r="B26" s="183"/>
      <c r="C26" s="174" t="s">
        <v>661</v>
      </c>
      <c r="D26" s="174"/>
      <c r="E26" s="174"/>
      <c r="F26" s="174"/>
      <c r="G26" s="174"/>
      <c r="H26" s="174"/>
      <c r="I26" s="174"/>
      <c r="J26" s="176"/>
      <c r="K26" s="174"/>
      <c r="L26" s="484"/>
    </row>
    <row r="27" spans="1:27" x14ac:dyDescent="0.2">
      <c r="A27" s="171">
        <f t="shared" si="1"/>
        <v>16</v>
      </c>
      <c r="B27" s="183"/>
      <c r="C27" s="176" t="s">
        <v>678</v>
      </c>
      <c r="D27" s="174"/>
      <c r="E27" s="174"/>
      <c r="F27" s="174"/>
      <c r="G27" s="174"/>
      <c r="H27" s="174"/>
      <c r="I27" s="163"/>
      <c r="J27" s="176" t="str">
        <f>"Sum of Lines "&amp;A19&amp;" to "&amp;A24&amp;""</f>
        <v>Sum of Lines 9 to 13a</v>
      </c>
      <c r="K27" s="174"/>
      <c r="L27" s="483">
        <f>SUM(L19:L24)</f>
        <v>500177494</v>
      </c>
    </row>
    <row r="28" spans="1:27" x14ac:dyDescent="0.2">
      <c r="A28" s="163"/>
      <c r="B28" s="183"/>
      <c r="C28" s="174"/>
      <c r="D28" s="174"/>
      <c r="E28" s="174"/>
      <c r="F28" s="174"/>
      <c r="G28" s="174"/>
      <c r="H28" s="174"/>
      <c r="I28" s="174"/>
      <c r="J28" s="176"/>
      <c r="K28" s="174"/>
      <c r="L28" s="174"/>
    </row>
    <row r="29" spans="1:27" x14ac:dyDescent="0.2">
      <c r="A29" s="171">
        <f>A27+1</f>
        <v>17</v>
      </c>
      <c r="B29" s="183"/>
      <c r="C29" s="174" t="s">
        <v>679</v>
      </c>
      <c r="D29" s="174"/>
      <c r="E29" s="174"/>
      <c r="F29" s="174"/>
      <c r="G29" s="174"/>
      <c r="H29" s="174"/>
      <c r="I29" s="163"/>
      <c r="J29" s="176" t="str">
        <f>"Line "&amp;A27&amp;" / Line "&amp;A16&amp;""</f>
        <v>Line 16 / Line 8</v>
      </c>
      <c r="K29" s="174"/>
      <c r="L29" s="185">
        <f>L27/L16</f>
        <v>4.6993582731394853E-2</v>
      </c>
    </row>
    <row r="30" spans="1:27" x14ac:dyDescent="0.2">
      <c r="A30" s="171"/>
      <c r="B30" s="183"/>
      <c r="C30" s="174"/>
      <c r="D30" s="174"/>
      <c r="E30" s="174"/>
      <c r="F30" s="174"/>
      <c r="G30" s="174"/>
      <c r="H30" s="174"/>
      <c r="I30" s="163"/>
      <c r="J30" s="176"/>
      <c r="K30" s="174"/>
      <c r="L30" s="185"/>
    </row>
    <row r="31" spans="1:27" x14ac:dyDescent="0.2">
      <c r="A31" s="163"/>
      <c r="B31" s="183"/>
      <c r="C31" s="175" t="s">
        <v>680</v>
      </c>
      <c r="D31" s="174"/>
      <c r="E31" s="174"/>
      <c r="F31" s="174"/>
      <c r="G31" s="174"/>
      <c r="H31" s="174"/>
      <c r="I31" s="174"/>
      <c r="J31" s="176"/>
      <c r="K31" s="174"/>
      <c r="L31" s="174"/>
    </row>
    <row r="32" spans="1:27" x14ac:dyDescent="0.2">
      <c r="A32" s="171">
        <f>A29+1</f>
        <v>18</v>
      </c>
      <c r="B32" s="183"/>
      <c r="C32" s="174" t="s">
        <v>681</v>
      </c>
      <c r="D32" s="174"/>
      <c r="E32" s="174"/>
      <c r="F32" s="174"/>
      <c r="G32" s="174"/>
      <c r="H32" s="174"/>
      <c r="I32" s="174" t="s">
        <v>657</v>
      </c>
      <c r="J32" s="176" t="s">
        <v>1050</v>
      </c>
      <c r="K32" s="174"/>
      <c r="L32" s="188">
        <v>2095038796.1538463</v>
      </c>
      <c r="N32" s="171"/>
      <c r="O32" s="188"/>
      <c r="P32" s="188"/>
      <c r="Q32" s="188"/>
      <c r="R32" s="188"/>
      <c r="S32" s="188"/>
      <c r="T32" s="188"/>
      <c r="U32" s="188"/>
      <c r="V32" s="188"/>
      <c r="W32" s="188"/>
      <c r="X32" s="188"/>
      <c r="Y32" s="188"/>
      <c r="Z32" s="188"/>
      <c r="AA32" s="188"/>
    </row>
    <row r="33" spans="1:27" x14ac:dyDescent="0.2">
      <c r="A33" s="171">
        <f t="shared" ref="A33:A34" si="2">A32+1</f>
        <v>19</v>
      </c>
      <c r="B33" s="183"/>
      <c r="C33" s="174" t="s">
        <v>682</v>
      </c>
      <c r="D33" s="174"/>
      <c r="E33" s="174"/>
      <c r="F33" s="174"/>
      <c r="G33" s="174"/>
      <c r="H33" s="174"/>
      <c r="I33" s="174" t="s">
        <v>657</v>
      </c>
      <c r="J33" s="176" t="s">
        <v>1051</v>
      </c>
      <c r="K33" s="174"/>
      <c r="L33" s="186">
        <v>-39796391.98995728</v>
      </c>
      <c r="N33" s="171"/>
      <c r="O33" s="188"/>
      <c r="P33" s="188"/>
      <c r="Q33" s="188"/>
      <c r="R33" s="188"/>
      <c r="S33" s="188"/>
      <c r="T33" s="188"/>
      <c r="U33" s="188"/>
      <c r="V33" s="188"/>
      <c r="W33" s="188"/>
      <c r="X33" s="188"/>
      <c r="Y33" s="188"/>
      <c r="Z33" s="188"/>
      <c r="AA33" s="188"/>
    </row>
    <row r="34" spans="1:27" x14ac:dyDescent="0.2">
      <c r="A34" s="171">
        <f t="shared" si="2"/>
        <v>20</v>
      </c>
      <c r="B34" s="183"/>
      <c r="C34" s="174" t="s">
        <v>683</v>
      </c>
      <c r="D34" s="174"/>
      <c r="E34" s="174"/>
      <c r="F34" s="174"/>
      <c r="G34" s="174"/>
      <c r="H34" s="174"/>
      <c r="I34" s="174" t="s">
        <v>657</v>
      </c>
      <c r="J34" s="176" t="s">
        <v>1052</v>
      </c>
      <c r="K34" s="174"/>
      <c r="L34" s="493">
        <v>-5991356.3695225231</v>
      </c>
      <c r="N34" s="171"/>
      <c r="O34" s="188"/>
      <c r="P34" s="188"/>
      <c r="Q34" s="188"/>
      <c r="R34" s="188"/>
      <c r="S34" s="188"/>
      <c r="T34" s="188"/>
      <c r="U34" s="188"/>
      <c r="V34" s="188"/>
      <c r="W34" s="188"/>
      <c r="X34" s="188"/>
      <c r="Y34" s="188"/>
      <c r="Z34" s="188"/>
      <c r="AA34" s="188"/>
    </row>
    <row r="35" spans="1:27" x14ac:dyDescent="0.2">
      <c r="A35" s="171">
        <f>A34+1</f>
        <v>21</v>
      </c>
      <c r="B35" s="183"/>
      <c r="C35" s="176" t="s">
        <v>684</v>
      </c>
      <c r="D35" s="174"/>
      <c r="E35" s="174"/>
      <c r="F35" s="174"/>
      <c r="G35" s="174"/>
      <c r="H35" s="174"/>
      <c r="I35" s="174"/>
      <c r="J35" s="176" t="str">
        <f>"Sum of Lines "&amp;A32&amp;" to "&amp;A34&amp;""</f>
        <v>Sum of Lines 18 to 20</v>
      </c>
      <c r="K35" s="174"/>
      <c r="L35" s="186">
        <f>SUM(L32:L34)</f>
        <v>2049251047.7943664</v>
      </c>
    </row>
    <row r="36" spans="1:27" x14ac:dyDescent="0.2">
      <c r="A36" s="171"/>
      <c r="B36" s="183"/>
      <c r="C36" s="174"/>
      <c r="D36" s="174"/>
      <c r="E36" s="174"/>
      <c r="F36" s="174"/>
      <c r="G36" s="174"/>
      <c r="H36" s="174"/>
      <c r="I36" s="174"/>
      <c r="J36" s="176"/>
      <c r="K36" s="174"/>
      <c r="L36" s="188"/>
    </row>
    <row r="37" spans="1:27" x14ac:dyDescent="0.2">
      <c r="A37" s="171"/>
      <c r="B37" s="183"/>
      <c r="C37" s="175" t="s">
        <v>685</v>
      </c>
      <c r="D37" s="174"/>
      <c r="E37" s="174"/>
      <c r="F37" s="174"/>
      <c r="G37" s="174"/>
      <c r="H37" s="174"/>
      <c r="I37" s="174"/>
      <c r="J37" s="176"/>
      <c r="K37" s="174"/>
      <c r="L37" s="188"/>
    </row>
    <row r="38" spans="1:27" x14ac:dyDescent="0.2">
      <c r="A38" s="171">
        <f>A35+1</f>
        <v>22</v>
      </c>
      <c r="B38" s="183"/>
      <c r="C38" s="174" t="s">
        <v>686</v>
      </c>
      <c r="D38" s="174"/>
      <c r="E38" s="174"/>
      <c r="F38" s="174"/>
      <c r="G38" s="174"/>
      <c r="H38" s="174"/>
      <c r="I38" s="174" t="s">
        <v>687</v>
      </c>
      <c r="J38" s="176" t="s">
        <v>688</v>
      </c>
      <c r="K38" s="174"/>
      <c r="L38" s="454">
        <v>112634891</v>
      </c>
    </row>
    <row r="39" spans="1:27" x14ac:dyDescent="0.2">
      <c r="A39" s="171">
        <f>A38+1</f>
        <v>23</v>
      </c>
      <c r="B39" s="183"/>
      <c r="C39" s="174" t="s">
        <v>689</v>
      </c>
      <c r="D39" s="174"/>
      <c r="E39" s="174"/>
      <c r="F39" s="174"/>
      <c r="G39" s="174"/>
      <c r="H39" s="174"/>
      <c r="I39" s="174"/>
      <c r="J39" s="176" t="s">
        <v>157</v>
      </c>
      <c r="K39" s="174"/>
      <c r="L39" s="186">
        <v>387908.21215141658</v>
      </c>
    </row>
    <row r="40" spans="1:27" x14ac:dyDescent="0.2">
      <c r="A40" s="171">
        <f>A39+1</f>
        <v>24</v>
      </c>
      <c r="B40" s="183"/>
      <c r="C40" s="174" t="s">
        <v>690</v>
      </c>
      <c r="D40" s="174"/>
      <c r="E40" s="174"/>
      <c r="F40" s="174"/>
      <c r="G40" s="174"/>
      <c r="H40" s="174"/>
      <c r="I40" s="174"/>
      <c r="J40" s="176" t="s">
        <v>222</v>
      </c>
      <c r="K40" s="174"/>
      <c r="L40" s="186">
        <v>2468662.2000000002</v>
      </c>
    </row>
    <row r="41" spans="1:27" x14ac:dyDescent="0.2">
      <c r="A41" s="171">
        <f t="shared" ref="A41" si="3">A40+1</f>
        <v>25</v>
      </c>
      <c r="B41" s="183"/>
      <c r="C41" s="176" t="s">
        <v>686</v>
      </c>
      <c r="D41" s="174"/>
      <c r="E41" s="174"/>
      <c r="F41" s="174"/>
      <c r="G41" s="174"/>
      <c r="H41" s="174"/>
      <c r="I41" s="163"/>
      <c r="J41" s="176" t="str">
        <f>"Sum of Lines "&amp;A38&amp;" to "&amp;A40&amp;""</f>
        <v>Sum of Lines 22 to 24</v>
      </c>
      <c r="K41" s="174"/>
      <c r="L41" s="494">
        <f>SUM(L38:L40)</f>
        <v>115491461.41215143</v>
      </c>
    </row>
    <row r="42" spans="1:27" x14ac:dyDescent="0.2">
      <c r="A42" s="163"/>
      <c r="B42" s="183"/>
      <c r="C42" s="174"/>
      <c r="D42" s="174"/>
      <c r="E42" s="174"/>
      <c r="F42" s="174"/>
      <c r="G42" s="174"/>
      <c r="H42" s="174"/>
      <c r="I42" s="174"/>
      <c r="J42" s="176"/>
      <c r="K42" s="174"/>
      <c r="L42" s="188"/>
    </row>
    <row r="43" spans="1:27" x14ac:dyDescent="0.2">
      <c r="A43" s="171">
        <f>A41+1</f>
        <v>26</v>
      </c>
      <c r="B43" s="183"/>
      <c r="C43" s="174" t="s">
        <v>691</v>
      </c>
      <c r="D43" s="174"/>
      <c r="E43" s="174"/>
      <c r="F43" s="174"/>
      <c r="G43" s="174"/>
      <c r="H43" s="174"/>
      <c r="I43" s="163"/>
      <c r="J43" s="176" t="str">
        <f>"Line "&amp;A41&amp;" / Line "&amp;A35&amp;""</f>
        <v>Line 25 / Line 21</v>
      </c>
      <c r="K43" s="174"/>
      <c r="L43" s="448">
        <f>L41/L35</f>
        <v>5.635788818381051E-2</v>
      </c>
    </row>
    <row r="44" spans="1:27" x14ac:dyDescent="0.2">
      <c r="A44" s="163"/>
      <c r="B44" s="183"/>
      <c r="C44" s="174"/>
      <c r="D44" s="174"/>
      <c r="E44" s="174"/>
      <c r="F44" s="174"/>
      <c r="G44" s="174"/>
      <c r="H44" s="174"/>
      <c r="I44" s="174"/>
      <c r="J44" s="176"/>
      <c r="K44" s="174"/>
      <c r="L44" s="174"/>
    </row>
    <row r="45" spans="1:27" x14ac:dyDescent="0.2">
      <c r="A45" s="163"/>
      <c r="B45" s="183"/>
      <c r="C45" s="175" t="s">
        <v>692</v>
      </c>
      <c r="D45" s="174"/>
      <c r="E45" s="174"/>
      <c r="F45" s="174"/>
      <c r="G45" s="174"/>
      <c r="H45" s="174"/>
      <c r="I45" s="486"/>
      <c r="J45" s="176"/>
      <c r="K45" s="174"/>
      <c r="L45" s="174"/>
    </row>
    <row r="46" spans="1:27" x14ac:dyDescent="0.2">
      <c r="A46" s="171">
        <f>A43+1</f>
        <v>27</v>
      </c>
      <c r="B46" s="183"/>
      <c r="C46" s="174" t="s">
        <v>693</v>
      </c>
      <c r="D46" s="174"/>
      <c r="E46" s="174"/>
      <c r="F46" s="174"/>
      <c r="G46" s="174"/>
      <c r="H46" s="174"/>
      <c r="I46" s="174" t="s">
        <v>657</v>
      </c>
      <c r="J46" s="176" t="s">
        <v>1053</v>
      </c>
      <c r="K46" s="174"/>
      <c r="L46" s="188">
        <v>13696414266.026154</v>
      </c>
      <c r="N46" s="171"/>
      <c r="O46" s="188"/>
      <c r="P46" s="188"/>
      <c r="Q46" s="188"/>
      <c r="R46" s="188"/>
      <c r="S46" s="188"/>
      <c r="T46" s="188"/>
      <c r="U46" s="188"/>
      <c r="V46" s="188"/>
      <c r="W46" s="188"/>
      <c r="X46" s="188"/>
      <c r="Y46" s="188"/>
      <c r="Z46" s="188"/>
      <c r="AA46" s="188"/>
    </row>
    <row r="47" spans="1:27" x14ac:dyDescent="0.2">
      <c r="A47" s="171">
        <f>A46+1</f>
        <v>28</v>
      </c>
      <c r="B47" s="183"/>
      <c r="C47" s="174" t="s">
        <v>694</v>
      </c>
      <c r="D47" s="174"/>
      <c r="E47" s="174"/>
      <c r="F47" s="174"/>
      <c r="G47" s="174"/>
      <c r="H47" s="174"/>
      <c r="I47" s="174" t="str">
        <f>"Same as L "&amp;A32&amp;", but negative"</f>
        <v>Same as L 18, but negative</v>
      </c>
      <c r="J47" s="176" t="s">
        <v>1050</v>
      </c>
      <c r="K47" s="174"/>
      <c r="L47" s="188">
        <v>-2095038796.1538463</v>
      </c>
      <c r="N47" s="171"/>
      <c r="O47" s="188"/>
      <c r="P47" s="188"/>
      <c r="Q47" s="188"/>
      <c r="R47" s="188"/>
      <c r="S47" s="188"/>
      <c r="T47" s="188"/>
      <c r="U47" s="188"/>
      <c r="V47" s="188"/>
      <c r="W47" s="188"/>
      <c r="X47" s="188"/>
      <c r="Y47" s="188"/>
      <c r="Z47" s="188"/>
      <c r="AA47" s="188"/>
    </row>
    <row r="48" spans="1:27"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6">
        <f>-L34</f>
        <v>5991356.3695225231</v>
      </c>
      <c r="N48" s="171"/>
      <c r="O48" s="188"/>
      <c r="P48" s="188"/>
      <c r="Q48" s="188"/>
      <c r="R48" s="188"/>
      <c r="S48" s="188"/>
      <c r="T48" s="188"/>
      <c r="U48" s="188"/>
      <c r="V48" s="188"/>
      <c r="W48" s="188"/>
      <c r="X48" s="188"/>
      <c r="Y48" s="188"/>
      <c r="Z48" s="188"/>
      <c r="AA48" s="188"/>
    </row>
    <row r="49" spans="1:27" x14ac:dyDescent="0.2">
      <c r="A49" s="171">
        <f t="shared" si="4"/>
        <v>30</v>
      </c>
      <c r="B49" s="183"/>
      <c r="C49" s="174" t="s">
        <v>697</v>
      </c>
      <c r="D49" s="174"/>
      <c r="E49" s="174"/>
      <c r="F49" s="174"/>
      <c r="G49" s="174"/>
      <c r="H49" s="174"/>
      <c r="I49" s="174" t="s">
        <v>657</v>
      </c>
      <c r="J49" s="176" t="s">
        <v>1054</v>
      </c>
      <c r="K49" s="174"/>
      <c r="L49" s="188">
        <v>-3390875.6599999992</v>
      </c>
      <c r="N49" s="171"/>
      <c r="O49" s="188"/>
      <c r="P49" s="188"/>
      <c r="Q49" s="188"/>
      <c r="R49" s="188"/>
      <c r="S49" s="188"/>
      <c r="T49" s="188"/>
      <c r="U49" s="188"/>
      <c r="V49" s="188"/>
      <c r="W49" s="188"/>
      <c r="X49" s="188"/>
      <c r="Y49" s="188"/>
      <c r="Z49" s="188"/>
      <c r="AA49" s="188"/>
    </row>
    <row r="50" spans="1:27" x14ac:dyDescent="0.2">
      <c r="A50" s="171">
        <f t="shared" si="4"/>
        <v>31</v>
      </c>
      <c r="B50" s="183"/>
      <c r="C50" s="174" t="s">
        <v>698</v>
      </c>
      <c r="D50" s="174"/>
      <c r="E50" s="174"/>
      <c r="F50" s="174"/>
      <c r="G50" s="174"/>
      <c r="H50" s="174"/>
      <c r="I50" s="174" t="s">
        <v>657</v>
      </c>
      <c r="J50" s="176" t="s">
        <v>1055</v>
      </c>
      <c r="K50" s="174"/>
      <c r="L50" s="188">
        <v>25241661.231538467</v>
      </c>
      <c r="N50" s="171"/>
      <c r="O50" s="188"/>
      <c r="P50" s="188"/>
      <c r="Q50" s="188"/>
      <c r="R50" s="188"/>
      <c r="S50" s="188"/>
      <c r="T50" s="188"/>
      <c r="U50" s="188"/>
      <c r="V50" s="188"/>
      <c r="W50" s="188"/>
      <c r="X50" s="188"/>
      <c r="Y50" s="188"/>
      <c r="Z50" s="188"/>
      <c r="AA50" s="188"/>
    </row>
    <row r="51" spans="1:27" x14ac:dyDescent="0.2">
      <c r="A51" s="171">
        <f>A50+1</f>
        <v>32</v>
      </c>
      <c r="B51" s="183"/>
      <c r="C51" s="174" t="s">
        <v>699</v>
      </c>
      <c r="D51" s="174"/>
      <c r="E51" s="174"/>
      <c r="F51" s="174"/>
      <c r="G51" s="174"/>
      <c r="H51" s="174"/>
      <c r="I51" s="174"/>
      <c r="J51" s="176" t="str">
        <f>"Sum of Lines "&amp;A46&amp;" to "&amp;A50&amp;""</f>
        <v>Sum of Lines 27 to 31</v>
      </c>
      <c r="K51" s="174"/>
      <c r="L51" s="494">
        <f>SUM(L46:L50)</f>
        <v>11629217611.813368</v>
      </c>
    </row>
    <row r="52" spans="1:27" x14ac:dyDescent="0.2">
      <c r="B52" s="169" t="s">
        <v>297</v>
      </c>
      <c r="C52" s="174"/>
      <c r="D52" s="174"/>
      <c r="E52" s="174"/>
      <c r="F52" s="174"/>
      <c r="G52" s="174"/>
      <c r="H52" s="174"/>
      <c r="I52" s="174"/>
      <c r="J52" s="174"/>
      <c r="K52" s="223"/>
      <c r="L52" s="223"/>
    </row>
    <row r="53" spans="1:27" x14ac:dyDescent="0.2">
      <c r="B53" s="174" t="s">
        <v>700</v>
      </c>
      <c r="C53" s="163"/>
      <c r="D53" s="163"/>
      <c r="E53" s="163"/>
      <c r="F53" s="163"/>
      <c r="G53" s="163"/>
      <c r="H53" s="163"/>
      <c r="I53" s="163"/>
      <c r="J53" s="174"/>
    </row>
    <row r="54" spans="1:27" x14ac:dyDescent="0.2">
      <c r="B54" s="174" t="s">
        <v>701</v>
      </c>
      <c r="C54" s="163"/>
      <c r="D54" s="163"/>
      <c r="E54" s="163"/>
      <c r="F54" s="163"/>
      <c r="G54" s="163"/>
      <c r="H54" s="163"/>
      <c r="I54" s="163"/>
      <c r="J54" s="174"/>
    </row>
    <row r="55" spans="1:27" x14ac:dyDescent="0.2">
      <c r="B55" s="174" t="s">
        <v>702</v>
      </c>
      <c r="C55" s="163"/>
      <c r="D55" s="163"/>
      <c r="E55" s="163"/>
      <c r="F55" s="163"/>
      <c r="G55" s="163"/>
      <c r="H55" s="163"/>
      <c r="I55" s="163"/>
      <c r="J55" s="174"/>
    </row>
    <row r="56" spans="1:27" x14ac:dyDescent="0.2">
      <c r="B56" s="174" t="s">
        <v>703</v>
      </c>
      <c r="C56" s="163"/>
      <c r="D56" s="163"/>
      <c r="E56" s="163"/>
      <c r="F56" s="163"/>
      <c r="G56" s="163"/>
      <c r="H56" s="163"/>
      <c r="I56" s="163"/>
      <c r="J56" s="163"/>
    </row>
    <row r="57" spans="1:27"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7" x14ac:dyDescent="0.2">
      <c r="B58" s="223"/>
    </row>
    <row r="59" spans="1:27" x14ac:dyDescent="0.2">
      <c r="B59" s="247"/>
    </row>
    <row r="60" spans="1:27" x14ac:dyDescent="0.2">
      <c r="B60" s="223"/>
    </row>
    <row r="61" spans="1:27" x14ac:dyDescent="0.2">
      <c r="B61" s="247"/>
    </row>
  </sheetData>
  <pageMargins left="0.75" right="0.75" top="1" bottom="1" header="0.5" footer="0.5"/>
  <pageSetup scale="55" orientation="landscape" cellComments="asDisplayed" r:id="rId1"/>
  <headerFooter alignWithMargins="0">
    <oddHeader>&amp;CSchedule 5 ROR-1
Return and Capitalization
(Revised 2015 True Up TRR)&amp;RTO12 Draft Annual Update
Attachment 4
WP-Schedule 3-One Time Adj True Up Adj
Page &amp;P of &amp;N</oddHeader>
    <oddFooter>&amp;R&amp;A</oddFooter>
  </headerFooter>
  <colBreaks count="1" manualBreakCount="1">
    <brk id="12" max="1048575" man="1"/>
  </colBreaks>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81"/>
  <sheetViews>
    <sheetView zoomScale="110" zoomScaleNormal="110" workbookViewId="0">
      <selection activeCell="J85" sqref="J85"/>
    </sheetView>
  </sheetViews>
  <sheetFormatPr defaultRowHeight="12.75" x14ac:dyDescent="0.2"/>
  <cols>
    <col min="1" max="1" width="4.7109375" customWidth="1"/>
    <col min="2" max="2" width="6.42578125" customWidth="1"/>
    <col min="3" max="3" width="14.7109375" customWidth="1"/>
    <col min="4" max="4" width="15.42578125" bestFit="1" customWidth="1"/>
    <col min="5" max="15" width="14.7109375" customWidth="1"/>
    <col min="16" max="16" width="15.42578125" bestFit="1" customWidth="1"/>
  </cols>
  <sheetData>
    <row r="1" spans="1:17" x14ac:dyDescent="0.2">
      <c r="A1" s="162" t="s">
        <v>585</v>
      </c>
      <c r="B1" s="162"/>
    </row>
    <row r="2" spans="1:17" x14ac:dyDescent="0.2">
      <c r="A2" s="171" t="s">
        <v>704</v>
      </c>
      <c r="B2" s="671">
        <v>2015</v>
      </c>
    </row>
    <row r="3" spans="1:17"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7"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7" x14ac:dyDescent="0.2">
      <c r="A5" s="170"/>
      <c r="B5" s="207"/>
      <c r="C5" s="217" t="s">
        <v>589</v>
      </c>
      <c r="D5" s="481"/>
      <c r="E5" s="453"/>
      <c r="F5" s="453"/>
      <c r="G5" s="453"/>
      <c r="H5" s="453"/>
      <c r="I5" s="453"/>
      <c r="J5" s="453"/>
      <c r="K5" s="453"/>
      <c r="L5" s="453"/>
      <c r="M5" s="453"/>
      <c r="N5" s="453"/>
      <c r="O5" s="453"/>
      <c r="P5" s="453"/>
    </row>
    <row r="6" spans="1:17" x14ac:dyDescent="0.2">
      <c r="A6" s="167"/>
      <c r="B6" s="167"/>
      <c r="C6" s="230"/>
      <c r="D6" s="452"/>
      <c r="E6" s="453"/>
      <c r="F6" s="453"/>
      <c r="G6" s="453"/>
      <c r="H6" s="453"/>
      <c r="I6" s="453"/>
      <c r="J6" s="453"/>
      <c r="K6" s="453"/>
      <c r="L6" s="453"/>
      <c r="M6" s="453"/>
      <c r="N6" s="453"/>
      <c r="O6" s="453"/>
      <c r="P6" s="453"/>
    </row>
    <row r="7" spans="1:17" x14ac:dyDescent="0.2">
      <c r="B7" s="183" t="s">
        <v>590</v>
      </c>
      <c r="D7" s="481"/>
      <c r="E7" s="453"/>
      <c r="F7" s="453"/>
      <c r="G7" s="453"/>
      <c r="H7" s="453"/>
      <c r="I7" s="453"/>
      <c r="J7" s="453"/>
      <c r="K7" s="453"/>
      <c r="L7" s="453"/>
      <c r="M7" s="453"/>
      <c r="N7" s="453"/>
      <c r="O7" s="453"/>
      <c r="P7" s="217"/>
    </row>
    <row r="8" spans="1:17" x14ac:dyDescent="0.2">
      <c r="A8" s="171">
        <v>1</v>
      </c>
      <c r="B8" s="171"/>
      <c r="C8" s="188">
        <f>SUM(D8:P8)/13</f>
        <v>10487314725.295382</v>
      </c>
      <c r="D8" s="454">
        <v>9814400000</v>
      </c>
      <c r="E8" s="454">
        <v>10814400000</v>
      </c>
      <c r="F8" s="454">
        <v>10414400000</v>
      </c>
      <c r="G8" s="454">
        <v>10714400000</v>
      </c>
      <c r="H8" s="454">
        <v>10544940000</v>
      </c>
      <c r="I8" s="454">
        <v>10544940000</v>
      </c>
      <c r="J8" s="454">
        <v>10544940000</v>
      </c>
      <c r="K8" s="454">
        <v>10544940000</v>
      </c>
      <c r="L8" s="454">
        <v>10505654285.709999</v>
      </c>
      <c r="M8" s="454">
        <v>10505654285.709999</v>
      </c>
      <c r="N8" s="454">
        <v>10505654285.709999</v>
      </c>
      <c r="O8" s="454">
        <v>10505654285.709999</v>
      </c>
      <c r="P8" s="454">
        <v>10375114286</v>
      </c>
      <c r="Q8" s="223"/>
    </row>
    <row r="9" spans="1:17" x14ac:dyDescent="0.2">
      <c r="A9" s="171"/>
      <c r="B9" s="183" t="s">
        <v>591</v>
      </c>
      <c r="C9" s="221"/>
      <c r="D9" s="188"/>
      <c r="E9" s="188"/>
      <c r="F9" s="188"/>
      <c r="G9" s="188"/>
      <c r="H9" s="188"/>
      <c r="I9" s="188"/>
      <c r="J9" s="188"/>
      <c r="K9" s="188"/>
      <c r="L9" s="188"/>
      <c r="M9" s="188"/>
      <c r="N9" s="188"/>
      <c r="O9" s="188"/>
      <c r="P9" s="188"/>
    </row>
    <row r="10" spans="1:17" x14ac:dyDescent="0.2">
      <c r="A10" s="171">
        <f>A8+1</f>
        <v>2</v>
      </c>
      <c r="B10" s="171"/>
      <c r="C10" s="188">
        <f t="shared" ref="C10:C14" si="0">SUM(D10:P10)/13</f>
        <v>-70166153.84615384</v>
      </c>
      <c r="D10" s="454">
        <f>-160540000</f>
        <v>-160540000</v>
      </c>
      <c r="E10" s="454">
        <v>-160540000</v>
      </c>
      <c r="F10" s="454">
        <v>-160540000</v>
      </c>
      <c r="G10" s="454">
        <v>-160540000</v>
      </c>
      <c r="H10" s="454">
        <v>-30000000</v>
      </c>
      <c r="I10" s="454">
        <v>-30000000</v>
      </c>
      <c r="J10" s="454">
        <v>-30000000</v>
      </c>
      <c r="K10" s="454">
        <v>-30000000</v>
      </c>
      <c r="L10" s="454">
        <v>-30000000</v>
      </c>
      <c r="M10" s="454">
        <v>-30000000</v>
      </c>
      <c r="N10" s="454">
        <v>-30000000</v>
      </c>
      <c r="O10" s="454">
        <v>-30000000</v>
      </c>
      <c r="P10" s="454">
        <f>-30000000</f>
        <v>-30000000</v>
      </c>
      <c r="Q10" s="223"/>
    </row>
    <row r="11" spans="1:17" x14ac:dyDescent="0.2">
      <c r="A11" s="171"/>
      <c r="B11" s="183" t="s">
        <v>592</v>
      </c>
      <c r="C11" s="163"/>
      <c r="D11" s="188"/>
      <c r="E11" s="188"/>
      <c r="F11" s="188"/>
      <c r="G11" s="188"/>
      <c r="H11" s="188"/>
      <c r="I11" s="188"/>
      <c r="J11" s="188"/>
      <c r="K11" s="188"/>
      <c r="L11" s="188"/>
      <c r="M11" s="188"/>
      <c r="N11" s="188"/>
      <c r="O11" s="188"/>
      <c r="P11" s="188"/>
    </row>
    <row r="12" spans="1:17"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c r="Q12" s="223"/>
    </row>
    <row r="13" spans="1:17" x14ac:dyDescent="0.2">
      <c r="A13" s="171"/>
      <c r="B13" s="183" t="s">
        <v>594</v>
      </c>
      <c r="D13" s="188"/>
      <c r="E13" s="188"/>
      <c r="F13" s="188"/>
      <c r="G13" s="188"/>
      <c r="H13" s="188"/>
      <c r="I13" s="188"/>
      <c r="J13" s="188"/>
      <c r="K13" s="188"/>
      <c r="L13" s="188"/>
      <c r="M13" s="188"/>
      <c r="N13" s="188"/>
      <c r="O13" s="188"/>
      <c r="P13" s="188"/>
    </row>
    <row r="14" spans="1:17" x14ac:dyDescent="0.2">
      <c r="A14" s="171">
        <f>A10+1</f>
        <v>3</v>
      </c>
      <c r="B14" s="171"/>
      <c r="C14" s="188">
        <f t="shared" si="0"/>
        <v>226379011.00615385</v>
      </c>
      <c r="D14" s="454">
        <v>306739959</v>
      </c>
      <c r="E14" s="454">
        <v>306735258.25999999</v>
      </c>
      <c r="F14" s="454">
        <v>306730537.55000001</v>
      </c>
      <c r="G14" s="454">
        <v>306725796.93000001</v>
      </c>
      <c r="H14" s="454">
        <v>176181036.31999999</v>
      </c>
      <c r="I14" s="454">
        <v>176176255.63999999</v>
      </c>
      <c r="J14" s="454">
        <v>176171454.80000001</v>
      </c>
      <c r="K14" s="454">
        <v>176166645.84999999</v>
      </c>
      <c r="L14" s="454">
        <v>176161804.44</v>
      </c>
      <c r="M14" s="454">
        <v>176156942.62</v>
      </c>
      <c r="N14" s="454">
        <v>176152060.28999999</v>
      </c>
      <c r="O14" s="454">
        <v>176147157.38</v>
      </c>
      <c r="P14" s="454">
        <v>306682234</v>
      </c>
      <c r="Q14" s="223"/>
    </row>
    <row r="15" spans="1:17" x14ac:dyDescent="0.2">
      <c r="A15" s="171"/>
      <c r="B15" s="183"/>
      <c r="C15" s="163"/>
      <c r="D15" s="188"/>
      <c r="E15" s="188"/>
      <c r="F15" s="188"/>
      <c r="G15" s="188"/>
      <c r="H15" s="188"/>
      <c r="I15" s="188"/>
      <c r="J15" s="188"/>
      <c r="K15" s="188"/>
      <c r="L15" s="188"/>
      <c r="M15" s="188"/>
      <c r="N15" s="188"/>
      <c r="O15" s="188"/>
      <c r="P15" s="188"/>
    </row>
    <row r="16" spans="1:17" x14ac:dyDescent="0.2">
      <c r="A16" s="171">
        <f>A14+1</f>
        <v>4</v>
      </c>
      <c r="B16" s="195" t="s">
        <v>595</v>
      </c>
      <c r="C16" s="188"/>
      <c r="D16" s="188"/>
      <c r="E16" s="188"/>
      <c r="F16" s="188"/>
      <c r="G16" s="188"/>
      <c r="H16" s="188"/>
      <c r="I16" s="188"/>
      <c r="J16" s="188"/>
      <c r="K16" s="188"/>
      <c r="L16" s="188"/>
      <c r="M16" s="188"/>
      <c r="N16" s="188"/>
      <c r="O16" s="188"/>
      <c r="P16" s="188"/>
    </row>
    <row r="17" spans="1:17" x14ac:dyDescent="0.2">
      <c r="A17" s="171"/>
      <c r="B17" s="183"/>
      <c r="C17" s="163"/>
      <c r="D17" s="188"/>
      <c r="E17" s="188"/>
      <c r="F17" s="188"/>
      <c r="G17" s="188"/>
      <c r="H17" s="188"/>
      <c r="I17" s="188"/>
      <c r="J17" s="188"/>
      <c r="K17" s="188"/>
      <c r="L17" s="188"/>
      <c r="M17" s="188"/>
      <c r="N17" s="188"/>
      <c r="O17" s="188"/>
      <c r="P17" s="188"/>
    </row>
    <row r="18" spans="1:17" x14ac:dyDescent="0.2">
      <c r="A18" s="171">
        <f>A16+1</f>
        <v>5</v>
      </c>
      <c r="B18" s="195" t="s">
        <v>595</v>
      </c>
      <c r="C18" s="188"/>
      <c r="D18" s="188"/>
      <c r="E18" s="188"/>
      <c r="F18" s="188"/>
      <c r="G18" s="188"/>
      <c r="H18" s="188"/>
      <c r="I18" s="188"/>
      <c r="J18" s="188"/>
      <c r="K18" s="188"/>
      <c r="L18" s="188"/>
      <c r="M18" s="188"/>
      <c r="N18" s="188"/>
      <c r="O18" s="188"/>
      <c r="P18" s="188"/>
    </row>
    <row r="19" spans="1:17" x14ac:dyDescent="0.2">
      <c r="A19" s="163"/>
      <c r="B19" s="183"/>
      <c r="C19" s="163"/>
      <c r="D19" s="163"/>
      <c r="E19" s="163"/>
      <c r="F19" s="163"/>
      <c r="G19" s="163"/>
      <c r="H19" s="163"/>
      <c r="I19" s="163"/>
      <c r="J19" s="163"/>
      <c r="K19" s="163"/>
      <c r="L19" s="163"/>
      <c r="M19" s="163"/>
      <c r="N19" s="163"/>
      <c r="O19" s="163"/>
      <c r="P19" s="163"/>
    </row>
    <row r="20" spans="1:17" x14ac:dyDescent="0.2">
      <c r="A20" s="171">
        <v>6</v>
      </c>
      <c r="B20" s="195" t="s">
        <v>595</v>
      </c>
      <c r="C20" s="188"/>
      <c r="D20" s="188"/>
      <c r="E20" s="188"/>
      <c r="F20" s="188"/>
      <c r="G20" s="188"/>
      <c r="H20" s="188"/>
      <c r="I20" s="188"/>
      <c r="J20" s="188"/>
      <c r="K20" s="188"/>
      <c r="L20" s="188"/>
      <c r="M20" s="188"/>
      <c r="N20" s="188"/>
      <c r="O20" s="188"/>
      <c r="P20" s="188"/>
    </row>
    <row r="21" spans="1:17" x14ac:dyDescent="0.2">
      <c r="A21" s="171"/>
      <c r="B21" s="183"/>
      <c r="C21" s="163"/>
      <c r="D21" s="188"/>
      <c r="E21" s="188"/>
      <c r="F21" s="188"/>
      <c r="G21" s="188"/>
      <c r="H21" s="188"/>
      <c r="I21" s="188"/>
      <c r="J21" s="188"/>
      <c r="K21" s="188"/>
      <c r="L21" s="188"/>
      <c r="M21" s="188"/>
      <c r="N21" s="188"/>
      <c r="O21" s="188"/>
      <c r="P21" s="188"/>
    </row>
    <row r="22" spans="1:17" x14ac:dyDescent="0.2">
      <c r="A22" s="171">
        <f>A20+1</f>
        <v>7</v>
      </c>
      <c r="B22" s="195" t="s">
        <v>595</v>
      </c>
      <c r="C22" s="188"/>
      <c r="D22" s="188"/>
      <c r="E22" s="188"/>
      <c r="F22" s="188"/>
      <c r="G22" s="188"/>
      <c r="H22" s="188"/>
      <c r="I22" s="188"/>
      <c r="J22" s="188"/>
      <c r="K22" s="188"/>
      <c r="L22" s="188"/>
      <c r="M22" s="188"/>
      <c r="N22" s="188"/>
      <c r="O22" s="188"/>
      <c r="P22" s="188"/>
    </row>
    <row r="23" spans="1:17" x14ac:dyDescent="0.2">
      <c r="A23" s="163"/>
      <c r="B23" s="183" t="s">
        <v>596</v>
      </c>
      <c r="D23" s="163"/>
      <c r="P23" s="163"/>
    </row>
    <row r="24" spans="1:17" x14ac:dyDescent="0.2">
      <c r="A24" s="171">
        <v>18</v>
      </c>
      <c r="B24" s="171"/>
      <c r="C24" s="188">
        <f t="shared" ref="C24:C28" si="1">SUM(D24:P24)/13</f>
        <v>2095038796.1538463</v>
      </c>
      <c r="D24" s="454">
        <v>2070034950</v>
      </c>
      <c r="E24" s="454">
        <v>2070034950</v>
      </c>
      <c r="F24" s="454">
        <v>2070034950</v>
      </c>
      <c r="G24" s="454">
        <v>2070034950</v>
      </c>
      <c r="H24" s="454">
        <v>2070034950</v>
      </c>
      <c r="I24" s="454">
        <v>2070034950</v>
      </c>
      <c r="J24" s="454">
        <v>2070034950</v>
      </c>
      <c r="K24" s="454">
        <v>2070034950</v>
      </c>
      <c r="L24" s="454">
        <v>2395044950</v>
      </c>
      <c r="M24" s="454">
        <v>2070044950</v>
      </c>
      <c r="N24" s="454">
        <v>2070044950</v>
      </c>
      <c r="O24" s="454">
        <v>2070044950</v>
      </c>
      <c r="P24" s="454">
        <v>2070044950</v>
      </c>
      <c r="Q24" s="223"/>
    </row>
    <row r="25" spans="1:17" ht="13.5" thickBot="1" x14ac:dyDescent="0.25">
      <c r="A25" s="171"/>
      <c r="B25" s="183" t="s">
        <v>597</v>
      </c>
      <c r="D25" s="188"/>
      <c r="E25" s="188"/>
      <c r="F25" s="188"/>
      <c r="G25" s="188"/>
      <c r="H25" s="188"/>
      <c r="I25" s="188"/>
      <c r="J25" s="188"/>
      <c r="K25" s="188"/>
      <c r="L25" s="188"/>
      <c r="M25" s="188"/>
      <c r="N25" s="188"/>
      <c r="O25" s="188"/>
      <c r="P25" s="188"/>
    </row>
    <row r="26" spans="1:17" ht="13.5" thickBot="1" x14ac:dyDescent="0.25">
      <c r="A26" s="171">
        <f>A24+1</f>
        <v>19</v>
      </c>
      <c r="B26" s="171"/>
      <c r="C26" s="186">
        <f t="shared" si="1"/>
        <v>-39796391.98995728</v>
      </c>
      <c r="D26" s="455">
        <v>-38495812.819444463</v>
      </c>
      <c r="E26" s="456">
        <v>-38307923.1277778</v>
      </c>
      <c r="F26" s="456">
        <v>-38120033.43611113</v>
      </c>
      <c r="G26" s="456">
        <v>-37932143.74444446</v>
      </c>
      <c r="H26" s="456">
        <v>-37744254.052777797</v>
      </c>
      <c r="I26" s="456">
        <v>-37556364.361111134</v>
      </c>
      <c r="J26" s="456">
        <v>-37368474.669444464</v>
      </c>
      <c r="K26" s="456">
        <v>-37180584.977777809</v>
      </c>
      <c r="L26" s="456">
        <v>-43412273.286111139</v>
      </c>
      <c r="M26" s="456">
        <v>-43170887.111111127</v>
      </c>
      <c r="N26" s="456">
        <v>-42929500.936111137</v>
      </c>
      <c r="O26" s="456">
        <v>-42688114.76111114</v>
      </c>
      <c r="P26" s="457">
        <v>-42446728.586111128</v>
      </c>
    </row>
    <row r="27" spans="1:17" ht="13.5" thickBot="1" x14ac:dyDescent="0.25">
      <c r="A27" s="171"/>
      <c r="B27" s="183" t="s">
        <v>598</v>
      </c>
      <c r="D27" s="188"/>
      <c r="E27" s="188"/>
      <c r="F27" s="188"/>
      <c r="G27" s="188"/>
      <c r="H27" s="188"/>
      <c r="I27" s="188"/>
      <c r="J27" s="188"/>
      <c r="K27" s="188"/>
      <c r="L27" s="188"/>
      <c r="M27" s="188"/>
      <c r="N27" s="188"/>
      <c r="O27" s="188"/>
      <c r="P27" s="188"/>
    </row>
    <row r="28" spans="1:17" ht="13.5" thickBot="1" x14ac:dyDescent="0.25">
      <c r="A28" s="171">
        <f>A26+1</f>
        <v>20</v>
      </c>
      <c r="B28" s="171"/>
      <c r="C28" s="186">
        <f t="shared" si="1"/>
        <v>-5991356.3695225231</v>
      </c>
      <c r="D28" s="455">
        <v>-6185310.4755982328</v>
      </c>
      <c r="E28" s="456">
        <v>-6152984.7912522806</v>
      </c>
      <c r="F28" s="456">
        <v>-6120659.1069063284</v>
      </c>
      <c r="G28" s="456">
        <v>-6088333.422560378</v>
      </c>
      <c r="H28" s="456">
        <v>-6056007.7382144267</v>
      </c>
      <c r="I28" s="456">
        <v>-6023682.0538684754</v>
      </c>
      <c r="J28" s="456">
        <v>-5991356.3695225241</v>
      </c>
      <c r="K28" s="456">
        <v>-5959030.6851765728</v>
      </c>
      <c r="L28" s="456">
        <v>-5926705.0008306215</v>
      </c>
      <c r="M28" s="456">
        <v>-5894379.3164846702</v>
      </c>
      <c r="N28" s="456">
        <v>-5862053.6321387179</v>
      </c>
      <c r="O28" s="456">
        <v>-5829727.9477927666</v>
      </c>
      <c r="P28" s="457">
        <v>-5797402.2634468153</v>
      </c>
    </row>
    <row r="29" spans="1:17" x14ac:dyDescent="0.2">
      <c r="A29" s="163"/>
      <c r="B29" s="183" t="s">
        <v>599</v>
      </c>
      <c r="D29" s="163"/>
      <c r="P29" s="163"/>
    </row>
    <row r="30" spans="1:17" x14ac:dyDescent="0.2">
      <c r="A30" s="171">
        <v>27</v>
      </c>
      <c r="B30" s="171"/>
      <c r="C30" s="188">
        <f>SUM(D30:P30)/13</f>
        <v>13696414266.026154</v>
      </c>
      <c r="D30" s="454">
        <v>13282111033</v>
      </c>
      <c r="E30" s="454">
        <v>13390752146.51</v>
      </c>
      <c r="F30" s="454">
        <v>13324957398.040001</v>
      </c>
      <c r="G30" s="454">
        <v>13431880995.52</v>
      </c>
      <c r="H30" s="454">
        <v>13522584718.66</v>
      </c>
      <c r="I30" s="454">
        <v>13631784009.459999</v>
      </c>
      <c r="J30" s="454">
        <v>13669018307.4</v>
      </c>
      <c r="K30" s="454">
        <v>13795555584.370001</v>
      </c>
      <c r="L30" s="454">
        <v>14162231950.73</v>
      </c>
      <c r="M30" s="454">
        <v>13924242647.6</v>
      </c>
      <c r="N30" s="454">
        <v>14061829926.15</v>
      </c>
      <c r="O30" s="454">
        <v>14184437500.9</v>
      </c>
      <c r="P30" s="454">
        <v>13671999240</v>
      </c>
      <c r="Q30" s="223"/>
    </row>
    <row r="31" spans="1:17" x14ac:dyDescent="0.2">
      <c r="A31" s="171"/>
      <c r="B31" s="183" t="s">
        <v>600</v>
      </c>
      <c r="D31" s="188"/>
      <c r="E31" s="188"/>
      <c r="F31" s="188"/>
      <c r="G31" s="188"/>
      <c r="H31" s="188"/>
      <c r="I31" s="188"/>
      <c r="J31" s="188"/>
      <c r="K31" s="188"/>
      <c r="L31" s="188"/>
      <c r="M31" s="188"/>
      <c r="N31" s="188"/>
      <c r="O31" s="188"/>
      <c r="P31" s="188"/>
    </row>
    <row r="32" spans="1:17" x14ac:dyDescent="0.2">
      <c r="A32" s="171">
        <v>30</v>
      </c>
      <c r="B32" s="171"/>
      <c r="C32" s="188">
        <f t="shared" ref="C32:C34" si="2">SUM(D32:P32)/13</f>
        <v>-3390875.6599999992</v>
      </c>
      <c r="D32" s="454">
        <f>-5697001</f>
        <v>-5697001</v>
      </c>
      <c r="E32" s="454">
        <v>-5697279.1099999994</v>
      </c>
      <c r="F32" s="454">
        <v>-5697879.9899999993</v>
      </c>
      <c r="G32" s="454">
        <v>-5697756.3999999994</v>
      </c>
      <c r="H32" s="454">
        <v>-5697886.4899999993</v>
      </c>
      <c r="I32" s="454">
        <v>-5931243.6999999993</v>
      </c>
      <c r="J32" s="454">
        <v>-5842320.3300000001</v>
      </c>
      <c r="K32" s="454">
        <v>-5962986.6499999994</v>
      </c>
      <c r="L32" s="454">
        <v>-5963653</v>
      </c>
      <c r="M32" s="454">
        <v>2026219.0299999998</v>
      </c>
      <c r="N32" s="454">
        <v>2026801.5299999998</v>
      </c>
      <c r="O32" s="454">
        <v>2026801.5299999998</v>
      </c>
      <c r="P32" s="454">
        <f>--2026801</f>
        <v>2026801</v>
      </c>
      <c r="Q32" s="223"/>
    </row>
    <row r="33" spans="1:17" x14ac:dyDescent="0.2">
      <c r="A33" s="171"/>
      <c r="B33" s="183" t="s">
        <v>601</v>
      </c>
      <c r="D33" s="188"/>
      <c r="E33" s="188"/>
      <c r="F33" s="188"/>
      <c r="G33" s="188"/>
      <c r="H33" s="188"/>
      <c r="I33" s="188"/>
      <c r="J33" s="188"/>
      <c r="K33" s="188"/>
      <c r="L33" s="188"/>
      <c r="M33" s="188"/>
      <c r="N33" s="188"/>
      <c r="O33" s="188"/>
      <c r="P33" s="188"/>
    </row>
    <row r="34" spans="1:17" x14ac:dyDescent="0.2">
      <c r="A34" s="171">
        <f>A32+1</f>
        <v>31</v>
      </c>
      <c r="B34" s="171"/>
      <c r="C34" s="188">
        <f t="shared" si="2"/>
        <v>25241661.231538467</v>
      </c>
      <c r="D34" s="454">
        <f>--28166048</f>
        <v>28166048</v>
      </c>
      <c r="E34" s="454">
        <v>27581544.140000001</v>
      </c>
      <c r="F34" s="454">
        <v>26128513.280000001</v>
      </c>
      <c r="G34" s="454">
        <v>26732687</v>
      </c>
      <c r="H34" s="454">
        <v>25930978.940000001</v>
      </c>
      <c r="I34" s="454">
        <v>25295714.940000001</v>
      </c>
      <c r="J34" s="454">
        <v>25504801.940000001</v>
      </c>
      <c r="K34" s="454">
        <v>24688774.149999999</v>
      </c>
      <c r="L34" s="454">
        <v>24833065.329999998</v>
      </c>
      <c r="M34" s="454">
        <v>24904359.18</v>
      </c>
      <c r="N34" s="454">
        <v>23463248.850000001</v>
      </c>
      <c r="O34" s="454">
        <v>22779004.260000002</v>
      </c>
      <c r="P34" s="454">
        <f>--22132856</f>
        <v>22132856</v>
      </c>
      <c r="Q34" s="223"/>
    </row>
    <row r="35" spans="1:17" x14ac:dyDescent="0.2">
      <c r="A35" s="171"/>
      <c r="B35" s="171"/>
      <c r="C35" s="188"/>
      <c r="D35" s="188"/>
      <c r="E35" s="188"/>
      <c r="F35" s="188"/>
      <c r="G35" s="188"/>
      <c r="H35" s="188"/>
      <c r="I35" s="188"/>
      <c r="J35" s="188"/>
      <c r="K35" s="188"/>
      <c r="L35" s="188"/>
      <c r="M35" s="188"/>
      <c r="N35" s="188"/>
      <c r="O35" s="188"/>
      <c r="P35" s="188"/>
    </row>
    <row r="36" spans="1:17" x14ac:dyDescent="0.2">
      <c r="A36" s="171"/>
      <c r="B36" s="169" t="s">
        <v>109</v>
      </c>
      <c r="C36" s="188"/>
      <c r="D36" s="188"/>
      <c r="E36" s="188"/>
      <c r="F36" s="188"/>
      <c r="G36" s="188"/>
      <c r="H36" s="188"/>
      <c r="I36" s="188"/>
      <c r="J36" s="188"/>
      <c r="K36" s="188"/>
      <c r="L36" s="188"/>
      <c r="M36" s="188"/>
      <c r="N36" s="188"/>
      <c r="O36" s="188"/>
      <c r="P36" s="188"/>
    </row>
    <row r="37" spans="1:17" x14ac:dyDescent="0.2">
      <c r="A37" s="171"/>
      <c r="B37" s="223" t="s">
        <v>602</v>
      </c>
      <c r="C37" s="188"/>
      <c r="D37" s="188"/>
      <c r="E37" s="188"/>
      <c r="F37" s="188"/>
      <c r="G37" s="188"/>
      <c r="H37" s="188"/>
      <c r="I37" s="188"/>
      <c r="J37" s="188"/>
      <c r="K37" s="188"/>
      <c r="L37" s="188"/>
      <c r="M37" s="188"/>
      <c r="N37" s="188"/>
      <c r="O37" s="188"/>
      <c r="P37" s="188"/>
    </row>
    <row r="38" spans="1:17" x14ac:dyDescent="0.2">
      <c r="A38" s="171"/>
      <c r="B38" s="247" t="s">
        <v>603</v>
      </c>
      <c r="C38" s="188"/>
      <c r="D38" s="188"/>
      <c r="E38" s="188"/>
      <c r="F38" s="188"/>
      <c r="G38" s="188"/>
      <c r="H38" s="188"/>
      <c r="I38" s="188"/>
      <c r="J38" s="188"/>
      <c r="K38" s="188"/>
      <c r="L38" s="188"/>
      <c r="M38" s="188"/>
      <c r="N38" s="188"/>
      <c r="O38" s="188"/>
      <c r="P38" s="188"/>
    </row>
    <row r="39" spans="1:17" x14ac:dyDescent="0.2">
      <c r="A39" s="171"/>
      <c r="B39" s="174" t="s">
        <v>604</v>
      </c>
      <c r="C39" s="195" t="s">
        <v>595</v>
      </c>
      <c r="D39" s="188"/>
      <c r="E39" s="188"/>
      <c r="F39" s="188"/>
      <c r="G39" s="188"/>
      <c r="H39" s="188"/>
      <c r="I39" s="188"/>
      <c r="J39" s="188"/>
      <c r="K39" s="188"/>
      <c r="L39" s="188"/>
      <c r="M39" s="188"/>
      <c r="N39" s="188"/>
      <c r="O39" s="188"/>
      <c r="P39" s="188"/>
    </row>
    <row r="40" spans="1:17" x14ac:dyDescent="0.2">
      <c r="A40" s="163"/>
      <c r="B40" s="215" t="s">
        <v>605</v>
      </c>
      <c r="C40" s="163"/>
      <c r="D40" s="163"/>
      <c r="E40" s="163"/>
      <c r="F40" s="163"/>
      <c r="G40" s="163"/>
      <c r="H40" s="163"/>
      <c r="I40" s="163"/>
      <c r="J40" s="163"/>
      <c r="K40" s="163"/>
      <c r="L40" s="163"/>
    </row>
    <row r="41" spans="1:17" x14ac:dyDescent="0.2">
      <c r="A41" s="163"/>
      <c r="B41" s="176"/>
      <c r="C41" s="163"/>
      <c r="D41" s="163"/>
      <c r="E41" s="163"/>
      <c r="F41" s="163"/>
      <c r="G41" s="163"/>
      <c r="H41" s="163"/>
      <c r="I41" s="163"/>
      <c r="J41" s="163"/>
      <c r="K41" s="163"/>
      <c r="L41" s="163"/>
    </row>
    <row r="42" spans="1:17" x14ac:dyDescent="0.2">
      <c r="A42" s="163"/>
      <c r="B42" s="183" t="s">
        <v>297</v>
      </c>
      <c r="C42" s="163"/>
      <c r="D42" s="163"/>
      <c r="E42" s="163"/>
      <c r="F42" s="163"/>
      <c r="G42" s="163"/>
      <c r="H42" s="163"/>
      <c r="I42" s="163"/>
      <c r="J42" s="163"/>
      <c r="K42" s="163"/>
      <c r="L42" s="163"/>
    </row>
    <row r="43" spans="1:17" x14ac:dyDescent="0.2">
      <c r="A43" s="163"/>
      <c r="B43" s="174" t="s">
        <v>606</v>
      </c>
      <c r="C43" s="163"/>
      <c r="D43" s="163"/>
      <c r="E43" s="163"/>
      <c r="F43" s="163"/>
      <c r="G43" s="163"/>
      <c r="H43" s="163"/>
      <c r="I43" s="163"/>
      <c r="J43" s="163"/>
      <c r="K43" s="163"/>
      <c r="L43" s="163"/>
    </row>
    <row r="44" spans="1:17" x14ac:dyDescent="0.2">
      <c r="A44" s="163"/>
      <c r="B44" s="174" t="s">
        <v>607</v>
      </c>
      <c r="C44" s="163"/>
      <c r="D44" s="163"/>
      <c r="E44" s="163"/>
      <c r="F44" s="163"/>
      <c r="G44" s="163"/>
      <c r="H44" s="163"/>
      <c r="I44" s="163"/>
      <c r="J44" s="163"/>
      <c r="K44" s="163"/>
      <c r="L44" s="163"/>
    </row>
    <row r="45" spans="1:17" x14ac:dyDescent="0.2">
      <c r="A45" s="163"/>
      <c r="B45" s="174" t="s">
        <v>608</v>
      </c>
      <c r="C45" s="163"/>
      <c r="D45" s="163"/>
      <c r="E45" s="163"/>
      <c r="F45" s="163"/>
      <c r="G45" s="163"/>
      <c r="H45" s="163"/>
      <c r="I45" s="163"/>
      <c r="J45" s="163"/>
      <c r="K45" s="163"/>
      <c r="L45" s="163"/>
    </row>
    <row r="46" spans="1:17" x14ac:dyDescent="0.2">
      <c r="A46" s="163"/>
      <c r="B46" s="174" t="s">
        <v>609</v>
      </c>
      <c r="C46" s="163"/>
      <c r="D46" s="163"/>
      <c r="E46" s="163"/>
      <c r="F46" s="163"/>
      <c r="G46" s="163"/>
      <c r="H46" s="163"/>
      <c r="I46" s="163"/>
      <c r="J46" s="163"/>
      <c r="K46" s="163"/>
      <c r="L46" s="163"/>
    </row>
    <row r="47" spans="1:17" x14ac:dyDescent="0.2">
      <c r="A47" s="163"/>
      <c r="B47" s="174" t="s">
        <v>610</v>
      </c>
      <c r="C47" s="195" t="s">
        <v>595</v>
      </c>
      <c r="D47" s="163"/>
      <c r="E47" s="163"/>
      <c r="F47" s="163"/>
      <c r="G47" s="163"/>
      <c r="H47" s="163"/>
      <c r="I47" s="163"/>
      <c r="J47" s="163"/>
      <c r="K47" s="163"/>
      <c r="L47" s="163"/>
    </row>
    <row r="48" spans="1:17"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630</v>
      </c>
      <c r="D57" s="459"/>
      <c r="E57" s="460">
        <v>125000000</v>
      </c>
      <c r="F57" s="461">
        <v>40612</v>
      </c>
      <c r="G57" s="460">
        <v>2577363</v>
      </c>
      <c r="H57" s="462">
        <v>30</v>
      </c>
      <c r="I57" s="592">
        <v>85912.1</v>
      </c>
      <c r="J57" s="655"/>
      <c r="K57" s="218"/>
      <c r="L57" s="218"/>
      <c r="M57" s="218"/>
    </row>
    <row r="58" spans="1:13" x14ac:dyDescent="0.2">
      <c r="A58" s="163"/>
      <c r="B58" s="163"/>
      <c r="C58" s="458" t="s">
        <v>631</v>
      </c>
      <c r="D58" s="459"/>
      <c r="E58" s="244">
        <v>350000000</v>
      </c>
      <c r="F58" s="461">
        <v>40925</v>
      </c>
      <c r="G58" s="244">
        <v>5957289</v>
      </c>
      <c r="H58" s="462">
        <v>10</v>
      </c>
      <c r="I58" s="244">
        <v>595728.9</v>
      </c>
      <c r="J58" s="655"/>
      <c r="K58" s="218"/>
      <c r="L58" s="218"/>
      <c r="M58" s="218"/>
    </row>
    <row r="59" spans="1:13" x14ac:dyDescent="0.2">
      <c r="A59" s="163"/>
      <c r="B59" s="163"/>
      <c r="C59" s="458" t="s">
        <v>633</v>
      </c>
      <c r="D59" s="459"/>
      <c r="E59" s="244">
        <v>475000000</v>
      </c>
      <c r="F59" s="461">
        <v>41046</v>
      </c>
      <c r="G59" s="244">
        <v>15401698</v>
      </c>
      <c r="H59" s="462">
        <v>30</v>
      </c>
      <c r="I59" s="244">
        <v>513389.93333333335</v>
      </c>
      <c r="J59" s="655"/>
      <c r="K59" s="218"/>
      <c r="L59" s="218"/>
      <c r="M59" s="218"/>
    </row>
    <row r="60" spans="1:13" x14ac:dyDescent="0.2">
      <c r="A60" s="163"/>
      <c r="B60" s="163"/>
      <c r="C60" s="465" t="s">
        <v>706</v>
      </c>
      <c r="D60" s="466"/>
      <c r="E60" s="114">
        <v>400000000</v>
      </c>
      <c r="F60" s="467">
        <v>41303</v>
      </c>
      <c r="G60" s="114">
        <v>12972286</v>
      </c>
      <c r="H60" s="468">
        <v>30</v>
      </c>
      <c r="I60" s="244">
        <v>432409.53333333333</v>
      </c>
      <c r="J60" s="655"/>
      <c r="K60" s="218"/>
      <c r="L60" s="218"/>
      <c r="M60" s="218"/>
    </row>
    <row r="61" spans="1:13" x14ac:dyDescent="0.2">
      <c r="A61" s="163"/>
      <c r="B61" s="163"/>
      <c r="C61" s="465" t="s">
        <v>942</v>
      </c>
      <c r="D61" s="466"/>
      <c r="E61" s="114">
        <v>275000000</v>
      </c>
      <c r="F61" s="467">
        <v>41704</v>
      </c>
      <c r="G61" s="114">
        <v>6272358</v>
      </c>
      <c r="H61" s="469">
        <v>10</v>
      </c>
      <c r="I61" s="244">
        <v>627235.80000000005</v>
      </c>
      <c r="J61" s="762"/>
      <c r="K61" s="763"/>
      <c r="L61" s="763"/>
      <c r="M61" s="763"/>
    </row>
    <row r="62" spans="1:13" x14ac:dyDescent="0.2">
      <c r="A62" s="163"/>
      <c r="B62" s="163"/>
      <c r="C62" s="465" t="s">
        <v>956</v>
      </c>
      <c r="D62" s="466"/>
      <c r="E62" s="114">
        <v>325000000</v>
      </c>
      <c r="F62" s="467">
        <v>42240</v>
      </c>
      <c r="G62" s="114">
        <v>6419578</v>
      </c>
      <c r="H62" s="468">
        <v>10</v>
      </c>
      <c r="I62" s="244">
        <v>213985.93333333335</v>
      </c>
      <c r="J62" s="625" t="s">
        <v>957</v>
      </c>
      <c r="K62" s="218"/>
      <c r="L62" s="218"/>
      <c r="M62" s="218"/>
    </row>
    <row r="63" spans="1:13" x14ac:dyDescent="0.2">
      <c r="A63" s="163"/>
      <c r="B63" s="163"/>
      <c r="C63" s="459" t="s">
        <v>635</v>
      </c>
      <c r="D63" s="459"/>
      <c r="E63" s="473"/>
      <c r="F63" s="244"/>
      <c r="G63" s="462"/>
      <c r="H63" s="244"/>
      <c r="I63" s="213"/>
      <c r="J63" s="218"/>
      <c r="K63" s="218"/>
      <c r="L63" s="218"/>
      <c r="M63" s="218"/>
    </row>
    <row r="64" spans="1:13" x14ac:dyDescent="0.2">
      <c r="A64" s="163"/>
      <c r="B64" s="163"/>
      <c r="C64" s="471"/>
      <c r="D64" s="471"/>
      <c r="E64" s="163"/>
      <c r="F64" s="163"/>
      <c r="G64" s="163"/>
      <c r="H64" s="163"/>
      <c r="I64" s="248">
        <f>SUM(I57:I63)</f>
        <v>2468662.2000000002</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v>-8429.4117647058829</v>
      </c>
      <c r="I70" s="218" t="s">
        <v>643</v>
      </c>
      <c r="J70" s="218"/>
      <c r="K70" s="218"/>
      <c r="L70" s="218"/>
      <c r="M70" s="218"/>
    </row>
    <row r="71" spans="1:13" x14ac:dyDescent="0.2">
      <c r="A71" s="163"/>
      <c r="B71" s="163"/>
      <c r="C71" s="458" t="s">
        <v>644</v>
      </c>
      <c r="D71" s="459"/>
      <c r="E71" s="473" t="s">
        <v>645</v>
      </c>
      <c r="F71" s="244">
        <v>6247500</v>
      </c>
      <c r="G71" s="462">
        <v>34</v>
      </c>
      <c r="H71" s="244">
        <v>183750</v>
      </c>
      <c r="I71" s="218" t="s">
        <v>646</v>
      </c>
      <c r="J71" s="218"/>
      <c r="K71" s="218"/>
      <c r="L71" s="218"/>
      <c r="M71" s="218"/>
    </row>
    <row r="72" spans="1:13" ht="13.5" thickBot="1" x14ac:dyDescent="0.25">
      <c r="A72" s="163"/>
      <c r="B72" s="163"/>
      <c r="C72" s="458" t="s">
        <v>644</v>
      </c>
      <c r="D72" s="459"/>
      <c r="E72" s="473" t="s">
        <v>645</v>
      </c>
      <c r="F72" s="244">
        <v>1025000</v>
      </c>
      <c r="G72" s="462">
        <v>34</v>
      </c>
      <c r="H72" s="244">
        <v>30147.058823529413</v>
      </c>
      <c r="I72" s="218" t="s">
        <v>647</v>
      </c>
      <c r="J72" s="218"/>
      <c r="K72" s="218"/>
      <c r="L72" s="218"/>
      <c r="M72" s="218"/>
    </row>
    <row r="73" spans="1:13" x14ac:dyDescent="0.2">
      <c r="A73" s="163"/>
      <c r="B73" s="163"/>
      <c r="C73" s="505" t="s">
        <v>958</v>
      </c>
      <c r="D73" s="506"/>
      <c r="E73" s="672">
        <v>41076</v>
      </c>
      <c r="F73" s="673">
        <v>0</v>
      </c>
      <c r="G73" s="686">
        <v>0</v>
      </c>
      <c r="H73" s="673">
        <v>0</v>
      </c>
      <c r="I73" s="675" t="s">
        <v>940</v>
      </c>
      <c r="J73" s="675"/>
      <c r="K73" s="498"/>
      <c r="L73" s="498"/>
      <c r="M73" s="499"/>
    </row>
    <row r="74" spans="1:13" x14ac:dyDescent="0.2">
      <c r="A74" s="163"/>
      <c r="B74" s="163"/>
      <c r="C74" s="687" t="s">
        <v>708</v>
      </c>
      <c r="D74" s="688"/>
      <c r="E74" s="689">
        <v>41333</v>
      </c>
      <c r="F74" s="270">
        <v>2586350.9805555502</v>
      </c>
      <c r="G74" s="690">
        <f>+$H$60</f>
        <v>30</v>
      </c>
      <c r="H74" s="270">
        <f t="shared" ref="H74:H75" si="3">+F74/G74</f>
        <v>86211.699351851668</v>
      </c>
      <c r="I74" s="265" t="s">
        <v>709</v>
      </c>
      <c r="J74" s="265"/>
      <c r="K74" s="266"/>
      <c r="L74" s="266"/>
      <c r="M74" s="691"/>
    </row>
    <row r="75" spans="1:13" ht="13.5" thickBot="1" x14ac:dyDescent="0.25">
      <c r="A75" s="163"/>
      <c r="B75" s="163"/>
      <c r="C75" s="510" t="s">
        <v>710</v>
      </c>
      <c r="D75" s="511"/>
      <c r="E75" s="676">
        <v>41333</v>
      </c>
      <c r="F75" s="271">
        <v>2886865.9722222402</v>
      </c>
      <c r="G75" s="677">
        <f>+$H$60</f>
        <v>30</v>
      </c>
      <c r="H75" s="271">
        <f t="shared" si="3"/>
        <v>96228.865740741341</v>
      </c>
      <c r="I75" s="678" t="s">
        <v>709</v>
      </c>
      <c r="J75" s="678"/>
      <c r="K75" s="515"/>
      <c r="L75" s="515"/>
      <c r="M75" s="516"/>
    </row>
    <row r="76" spans="1:13" x14ac:dyDescent="0.2">
      <c r="A76" s="163"/>
      <c r="B76" s="163"/>
      <c r="C76" s="459" t="s">
        <v>635</v>
      </c>
      <c r="D76" s="459"/>
      <c r="E76" s="473"/>
      <c r="F76" s="244"/>
      <c r="G76" s="462"/>
      <c r="H76" s="244"/>
      <c r="I76" s="213"/>
      <c r="J76" s="218"/>
      <c r="K76" s="218"/>
      <c r="L76" s="218"/>
      <c r="M76" s="218"/>
    </row>
    <row r="77" spans="1:13" x14ac:dyDescent="0.2">
      <c r="A77" s="163"/>
      <c r="B77" s="163"/>
      <c r="C77" s="471"/>
      <c r="D77" s="471"/>
      <c r="E77" s="163"/>
      <c r="F77" s="163"/>
      <c r="G77" s="163"/>
      <c r="H77" s="504">
        <f>SUM(H70:H76)</f>
        <v>387908.21215141658</v>
      </c>
      <c r="I77" s="174" t="s">
        <v>648</v>
      </c>
      <c r="J77" s="163"/>
      <c r="K77" s="163"/>
      <c r="L77" s="163"/>
      <c r="M77" s="163"/>
    </row>
    <row r="78" spans="1:13" x14ac:dyDescent="0.2">
      <c r="A78" s="163"/>
      <c r="B78" s="163"/>
      <c r="C78" s="163"/>
      <c r="D78" s="163"/>
      <c r="E78" s="163"/>
      <c r="F78" s="163"/>
      <c r="G78" s="163"/>
      <c r="H78" s="163"/>
      <c r="I78" s="163"/>
      <c r="J78" s="163"/>
      <c r="K78" s="163"/>
      <c r="L78" s="163"/>
      <c r="M78" s="163"/>
    </row>
    <row r="79" spans="1:13" x14ac:dyDescent="0.2">
      <c r="A79" s="163"/>
      <c r="B79" s="174" t="s">
        <v>649</v>
      </c>
      <c r="C79" s="163"/>
      <c r="D79" s="163"/>
      <c r="E79" s="163"/>
      <c r="F79" s="163"/>
      <c r="G79" s="163"/>
      <c r="H79" s="163"/>
      <c r="I79" s="163"/>
      <c r="J79" s="163"/>
      <c r="K79" s="163"/>
      <c r="L79" s="163"/>
      <c r="M79" s="163"/>
    </row>
    <row r="80" spans="1:13" x14ac:dyDescent="0.2">
      <c r="A80" s="163"/>
      <c r="B80" s="174" t="s">
        <v>650</v>
      </c>
      <c r="C80" s="163"/>
      <c r="D80" s="163"/>
      <c r="E80" s="163"/>
      <c r="F80" s="163"/>
      <c r="G80" s="163"/>
      <c r="H80" s="163"/>
      <c r="I80" s="163"/>
      <c r="J80" s="163"/>
      <c r="K80" s="163"/>
      <c r="L80" s="163"/>
      <c r="M80" s="163"/>
    </row>
    <row r="81" spans="1:13" x14ac:dyDescent="0.2">
      <c r="A81" s="163"/>
      <c r="B81" s="174" t="s">
        <v>651</v>
      </c>
      <c r="C81" s="163"/>
      <c r="D81" s="163"/>
      <c r="E81" s="163"/>
      <c r="F81" s="163"/>
      <c r="G81" s="163"/>
      <c r="H81" s="163"/>
      <c r="I81" s="163"/>
      <c r="J81" s="163"/>
      <c r="K81" s="163"/>
      <c r="L81" s="163"/>
      <c r="M81" s="163"/>
    </row>
  </sheetData>
  <mergeCells count="1">
    <mergeCell ref="J61:M61"/>
  </mergeCells>
  <pageMargins left="0.7" right="0.7" top="0.75" bottom="0.75" header="0.3" footer="0.3"/>
  <pageSetup scale="57" fitToHeight="0" orientation="landscape" cellComments="asDisplayed" r:id="rId1"/>
  <headerFooter>
    <oddHeader>&amp;CSchedule 5 ROR-2
Return and Capitalization
(Revised 2015 True Up TRR)
&amp;RTO12 Draft Annual Update
Attachment 4
WP-Schedule 3-One Time Adj True Up Adj
Page &amp;P of &amp;N</oddHeader>
    <oddFooter>&amp;R5-ROR-2</oddFooter>
  </headerFooter>
  <rowBreaks count="1" manualBreakCount="1">
    <brk id="41" max="15" man="1"/>
  </rowBreaks>
  <legacy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2"/>
  <sheetViews>
    <sheetView zoomScale="110" zoomScaleNormal="110" workbookViewId="0">
      <selection activeCell="E30" sqref="E30"/>
    </sheetView>
  </sheetViews>
  <sheetFormatPr defaultRowHeight="12.75" x14ac:dyDescent="0.2"/>
  <cols>
    <col min="1" max="1" width="4.7109375" customWidth="1"/>
    <col min="2" max="2" width="10.7109375" customWidth="1"/>
    <col min="3" max="13" width="13.7109375" customWidth="1"/>
  </cols>
  <sheetData>
    <row r="1" spans="1:13" x14ac:dyDescent="0.2">
      <c r="A1" s="517" t="s">
        <v>711</v>
      </c>
      <c r="B1" s="518"/>
      <c r="C1" s="518"/>
      <c r="D1" s="518"/>
      <c r="E1" s="518"/>
      <c r="F1" s="518"/>
      <c r="G1" s="518"/>
      <c r="H1" s="518"/>
      <c r="I1" s="213" t="s">
        <v>164</v>
      </c>
      <c r="J1" s="519"/>
      <c r="K1" s="518"/>
      <c r="L1" s="518"/>
    </row>
    <row r="2" spans="1:13" x14ac:dyDescent="0.2">
      <c r="A2" s="517"/>
      <c r="B2" s="518"/>
      <c r="C2" s="518"/>
      <c r="D2" s="518"/>
      <c r="E2" s="518"/>
      <c r="F2" s="518"/>
      <c r="G2" s="518"/>
      <c r="H2" s="518"/>
      <c r="I2" s="518"/>
      <c r="J2" s="518"/>
      <c r="K2" s="518"/>
      <c r="L2" s="518"/>
    </row>
    <row r="3" spans="1:13" x14ac:dyDescent="0.2">
      <c r="A3" s="517"/>
      <c r="B3" s="517" t="s">
        <v>712</v>
      </c>
      <c r="C3" s="518"/>
      <c r="D3" s="518"/>
      <c r="E3" s="518"/>
      <c r="F3" s="518"/>
      <c r="G3" s="518"/>
      <c r="H3" s="518"/>
      <c r="I3" s="518"/>
      <c r="J3" s="518"/>
      <c r="K3" s="518"/>
      <c r="L3" s="518"/>
    </row>
    <row r="4" spans="1:13" x14ac:dyDescent="0.2">
      <c r="A4" s="517"/>
      <c r="B4" s="517"/>
      <c r="C4" s="518"/>
      <c r="D4" s="518"/>
      <c r="E4" s="518"/>
      <c r="F4" s="518"/>
      <c r="G4" s="518"/>
      <c r="H4" s="518"/>
      <c r="I4" s="518"/>
      <c r="J4" s="518"/>
      <c r="K4" s="518"/>
      <c r="L4" s="518"/>
    </row>
    <row r="5" spans="1:13" x14ac:dyDescent="0.2">
      <c r="A5" s="517"/>
      <c r="B5" s="223" t="s">
        <v>713</v>
      </c>
      <c r="C5" s="518"/>
      <c r="D5" s="518"/>
      <c r="E5" s="518"/>
      <c r="F5" s="518"/>
      <c r="G5" s="518"/>
      <c r="H5" s="223"/>
      <c r="I5" s="520" t="s">
        <v>295</v>
      </c>
      <c r="J5" s="521">
        <v>2015</v>
      </c>
      <c r="K5" s="518"/>
      <c r="L5" s="518"/>
    </row>
    <row r="6" spans="1:13" x14ac:dyDescent="0.2">
      <c r="A6" s="517"/>
      <c r="B6" s="223"/>
      <c r="C6" s="518"/>
      <c r="D6" s="518"/>
      <c r="E6" s="518"/>
      <c r="F6" s="518"/>
      <c r="G6" s="518"/>
      <c r="H6" s="518"/>
      <c r="I6" s="518"/>
      <c r="J6" s="518"/>
      <c r="K6" s="518"/>
      <c r="L6" s="518"/>
    </row>
    <row r="7" spans="1:13" x14ac:dyDescent="0.2">
      <c r="A7" s="517"/>
      <c r="B7" s="227" t="s">
        <v>152</v>
      </c>
      <c r="C7" s="227" t="s">
        <v>153</v>
      </c>
      <c r="D7" s="227" t="s">
        <v>154</v>
      </c>
      <c r="E7" s="227" t="s">
        <v>155</v>
      </c>
      <c r="F7" s="227" t="s">
        <v>371</v>
      </c>
      <c r="G7" s="227" t="s">
        <v>372</v>
      </c>
      <c r="H7" s="227" t="s">
        <v>386</v>
      </c>
      <c r="I7" s="227" t="s">
        <v>387</v>
      </c>
      <c r="J7" s="227" t="s">
        <v>388</v>
      </c>
      <c r="K7" s="227" t="s">
        <v>389</v>
      </c>
      <c r="L7" s="227" t="s">
        <v>390</v>
      </c>
      <c r="M7" s="227" t="s">
        <v>391</v>
      </c>
    </row>
    <row r="8" spans="1:13" x14ac:dyDescent="0.2">
      <c r="A8" s="518"/>
      <c r="B8" s="522"/>
      <c r="C8" s="518"/>
      <c r="D8" s="518"/>
      <c r="E8" s="518"/>
      <c r="F8" s="518"/>
      <c r="G8" s="518"/>
      <c r="H8" s="518"/>
      <c r="I8" s="518"/>
      <c r="J8" s="518"/>
      <c r="K8" s="518"/>
      <c r="M8" s="523" t="s">
        <v>714</v>
      </c>
    </row>
    <row r="9" spans="1:13" x14ac:dyDescent="0.2">
      <c r="A9" s="518"/>
      <c r="B9" s="171"/>
      <c r="C9" s="227"/>
      <c r="D9" s="227"/>
      <c r="E9" s="518"/>
      <c r="F9" s="518"/>
      <c r="G9" s="518"/>
      <c r="H9" s="518"/>
      <c r="I9" s="518"/>
      <c r="J9" s="518"/>
      <c r="K9" s="518"/>
      <c r="L9" s="518"/>
    </row>
    <row r="10" spans="1:13" x14ac:dyDescent="0.2">
      <c r="A10" s="169" t="s">
        <v>296</v>
      </c>
      <c r="B10" s="207" t="s">
        <v>715</v>
      </c>
      <c r="C10" s="227">
        <v>350.1</v>
      </c>
      <c r="D10" s="227">
        <v>350.2</v>
      </c>
      <c r="E10" s="227">
        <v>352</v>
      </c>
      <c r="F10" s="227">
        <v>353</v>
      </c>
      <c r="G10" s="227">
        <v>354</v>
      </c>
      <c r="H10" s="227">
        <v>355</v>
      </c>
      <c r="I10" s="227">
        <v>356</v>
      </c>
      <c r="J10" s="227">
        <v>357</v>
      </c>
      <c r="K10" s="227">
        <v>358</v>
      </c>
      <c r="L10" s="227">
        <v>359</v>
      </c>
      <c r="M10" s="170" t="s">
        <v>325</v>
      </c>
    </row>
    <row r="11" spans="1:13" x14ac:dyDescent="0.2">
      <c r="A11" s="166">
        <v>1</v>
      </c>
      <c r="B11" s="524" t="s">
        <v>955</v>
      </c>
      <c r="C11" s="243">
        <v>75785254.841655239</v>
      </c>
      <c r="D11" s="692">
        <v>158395946.88183823</v>
      </c>
      <c r="E11" s="526">
        <v>428326101.32161003</v>
      </c>
      <c r="F11" s="243">
        <v>2920111450.3465052</v>
      </c>
      <c r="G11" s="243">
        <v>1785929479.0087991</v>
      </c>
      <c r="H11" s="243">
        <v>230528300.50074962</v>
      </c>
      <c r="I11" s="243">
        <v>1044386520.5319836</v>
      </c>
      <c r="J11" s="243">
        <v>217200.87850578071</v>
      </c>
      <c r="K11" s="243">
        <v>12994313.505309969</v>
      </c>
      <c r="L11" s="243">
        <v>79700253.931008279</v>
      </c>
      <c r="M11" s="527">
        <f>SUM(C11:L11)</f>
        <v>6736374821.7479649</v>
      </c>
    </row>
    <row r="12" spans="1:13" x14ac:dyDescent="0.2">
      <c r="A12" s="166">
        <f>A11+1</f>
        <v>2</v>
      </c>
      <c r="B12" s="528" t="s">
        <v>959</v>
      </c>
      <c r="C12" s="529">
        <f t="shared" ref="C12:L22" si="0">C146+C94 +C11</f>
        <v>75785254.841655239</v>
      </c>
      <c r="D12" s="530">
        <f t="shared" si="0"/>
        <v>158393913.60788622</v>
      </c>
      <c r="E12" s="529">
        <f t="shared" si="0"/>
        <v>430854178.52382964</v>
      </c>
      <c r="F12" s="529">
        <f t="shared" si="0"/>
        <v>2923748335.3822737</v>
      </c>
      <c r="G12" s="573">
        <f t="shared" si="0"/>
        <v>1810645521.1000843</v>
      </c>
      <c r="H12" s="573">
        <f t="shared" si="0"/>
        <v>233272101.68288285</v>
      </c>
      <c r="I12" s="573">
        <f t="shared" si="0"/>
        <v>1071259145.9117891</v>
      </c>
      <c r="J12" s="529">
        <f t="shared" si="0"/>
        <v>222641.74806988557</v>
      </c>
      <c r="K12" s="529">
        <f t="shared" si="0"/>
        <v>12994563.570267964</v>
      </c>
      <c r="L12" s="573">
        <f t="shared" si="0"/>
        <v>80907571.712468445</v>
      </c>
      <c r="M12" s="573">
        <f t="shared" ref="M12:M23" si="1">SUM(C12:L12)</f>
        <v>6798083228.0812063</v>
      </c>
    </row>
    <row r="13" spans="1:13" x14ac:dyDescent="0.2">
      <c r="A13" s="166">
        <f t="shared" ref="A13:A24" si="2">A12+1</f>
        <v>3</v>
      </c>
      <c r="B13" s="531" t="s">
        <v>960</v>
      </c>
      <c r="C13" s="529">
        <f t="shared" si="0"/>
        <v>75783589.986705318</v>
      </c>
      <c r="D13" s="530">
        <f t="shared" si="0"/>
        <v>158530514.04414147</v>
      </c>
      <c r="E13" s="529">
        <f t="shared" si="0"/>
        <v>432978022.59871209</v>
      </c>
      <c r="F13" s="529">
        <f t="shared" si="0"/>
        <v>2928852611.5090098</v>
      </c>
      <c r="G13" s="573">
        <f t="shared" si="0"/>
        <v>1805242528.0559549</v>
      </c>
      <c r="H13" s="573">
        <f t="shared" si="0"/>
        <v>233521464.7370857</v>
      </c>
      <c r="I13" s="573">
        <f t="shared" si="0"/>
        <v>1071640903.3858298</v>
      </c>
      <c r="J13" s="529">
        <f t="shared" si="0"/>
        <v>223065.21123206863</v>
      </c>
      <c r="K13" s="529">
        <f t="shared" si="0"/>
        <v>12994592.202802476</v>
      </c>
      <c r="L13" s="573">
        <f t="shared" si="0"/>
        <v>81692354.220008358</v>
      </c>
      <c r="M13" s="573">
        <f t="shared" si="1"/>
        <v>6801459645.9514818</v>
      </c>
    </row>
    <row r="14" spans="1:13" x14ac:dyDescent="0.2">
      <c r="A14" s="166">
        <f t="shared" si="2"/>
        <v>4</v>
      </c>
      <c r="B14" s="531" t="s">
        <v>961</v>
      </c>
      <c r="C14" s="529">
        <f t="shared" si="0"/>
        <v>75783589.986705318</v>
      </c>
      <c r="D14" s="530">
        <f t="shared" si="0"/>
        <v>158542220.65136147</v>
      </c>
      <c r="E14" s="529">
        <f t="shared" si="0"/>
        <v>435911133.72726548</v>
      </c>
      <c r="F14" s="529">
        <f t="shared" si="0"/>
        <v>2934678810.63378</v>
      </c>
      <c r="G14" s="573">
        <f t="shared" si="0"/>
        <v>2024015841.4295835</v>
      </c>
      <c r="H14" s="573">
        <f t="shared" si="0"/>
        <v>293982340.98193371</v>
      </c>
      <c r="I14" s="573">
        <f t="shared" si="0"/>
        <v>1176569445.323566</v>
      </c>
      <c r="J14" s="529">
        <f t="shared" si="0"/>
        <v>223066.59221167566</v>
      </c>
      <c r="K14" s="529">
        <f t="shared" si="0"/>
        <v>12994568.957423186</v>
      </c>
      <c r="L14" s="573">
        <f t="shared" si="0"/>
        <v>105455882.69989932</v>
      </c>
      <c r="M14" s="573">
        <f t="shared" si="1"/>
        <v>7218156900.9837303</v>
      </c>
    </row>
    <row r="15" spans="1:13" x14ac:dyDescent="0.2">
      <c r="A15" s="166">
        <f t="shared" si="2"/>
        <v>5</v>
      </c>
      <c r="B15" s="528" t="s">
        <v>962</v>
      </c>
      <c r="C15" s="529">
        <f t="shared" si="0"/>
        <v>75783589.986705318</v>
      </c>
      <c r="D15" s="530">
        <f t="shared" si="0"/>
        <v>158545021.38209924</v>
      </c>
      <c r="E15" s="529">
        <f t="shared" si="0"/>
        <v>433536681.85036969</v>
      </c>
      <c r="F15" s="529">
        <f t="shared" si="0"/>
        <v>2936934027.8307748</v>
      </c>
      <c r="G15" s="573">
        <f t="shared" si="0"/>
        <v>2136378422.8270123</v>
      </c>
      <c r="H15" s="573">
        <f t="shared" si="0"/>
        <v>300674278.72283047</v>
      </c>
      <c r="I15" s="573">
        <f t="shared" si="0"/>
        <v>1213749149.4889641</v>
      </c>
      <c r="J15" s="529">
        <f t="shared" si="0"/>
        <v>223066.56988421237</v>
      </c>
      <c r="K15" s="529">
        <f t="shared" si="0"/>
        <v>12994564.413448175</v>
      </c>
      <c r="L15" s="573">
        <f t="shared" si="0"/>
        <v>180453600.46152323</v>
      </c>
      <c r="M15" s="573">
        <f t="shared" si="1"/>
        <v>7449272403.5336123</v>
      </c>
    </row>
    <row r="16" spans="1:13" x14ac:dyDescent="0.2">
      <c r="A16" s="166">
        <f t="shared" si="2"/>
        <v>6</v>
      </c>
      <c r="B16" s="531" t="s">
        <v>963</v>
      </c>
      <c r="C16" s="529">
        <f t="shared" si="0"/>
        <v>75783589.986705318</v>
      </c>
      <c r="D16" s="530">
        <f t="shared" si="0"/>
        <v>158559038.05464047</v>
      </c>
      <c r="E16" s="529">
        <f t="shared" si="0"/>
        <v>433951439.50348222</v>
      </c>
      <c r="F16" s="529">
        <f t="shared" si="0"/>
        <v>2943551475.1579118</v>
      </c>
      <c r="G16" s="573">
        <f t="shared" si="0"/>
        <v>2141825379.8129308</v>
      </c>
      <c r="H16" s="573">
        <f t="shared" si="0"/>
        <v>301752481.45530194</v>
      </c>
      <c r="I16" s="573">
        <f t="shared" si="0"/>
        <v>1215104142.6332049</v>
      </c>
      <c r="J16" s="529">
        <f t="shared" si="0"/>
        <v>223067.51660215104</v>
      </c>
      <c r="K16" s="529">
        <f t="shared" si="0"/>
        <v>12994463.817589644</v>
      </c>
      <c r="L16" s="573">
        <f t="shared" si="0"/>
        <v>181538151.18921638</v>
      </c>
      <c r="M16" s="573">
        <f t="shared" si="1"/>
        <v>7465283229.1275864</v>
      </c>
    </row>
    <row r="17" spans="1:15" x14ac:dyDescent="0.2">
      <c r="A17" s="166">
        <f t="shared" si="2"/>
        <v>7</v>
      </c>
      <c r="B17" s="531" t="s">
        <v>964</v>
      </c>
      <c r="C17" s="529">
        <f t="shared" si="0"/>
        <v>76940165.006705299</v>
      </c>
      <c r="D17" s="530">
        <f t="shared" si="0"/>
        <v>157454244.38424909</v>
      </c>
      <c r="E17" s="529">
        <f t="shared" si="0"/>
        <v>431926231.40199</v>
      </c>
      <c r="F17" s="529">
        <f t="shared" si="0"/>
        <v>2960227011.3396783</v>
      </c>
      <c r="G17" s="573">
        <f t="shared" si="0"/>
        <v>2142062184.6914613</v>
      </c>
      <c r="H17" s="573">
        <f t="shared" si="0"/>
        <v>302253841.35902375</v>
      </c>
      <c r="I17" s="573">
        <f t="shared" si="0"/>
        <v>1214709727.3606846</v>
      </c>
      <c r="J17" s="529">
        <f t="shared" si="0"/>
        <v>223054.77282125127</v>
      </c>
      <c r="K17" s="529">
        <f t="shared" si="0"/>
        <v>12994453.116703399</v>
      </c>
      <c r="L17" s="573">
        <f t="shared" si="0"/>
        <v>181870674.72394261</v>
      </c>
      <c r="M17" s="573">
        <f t="shared" si="1"/>
        <v>7480661588.1572599</v>
      </c>
    </row>
    <row r="18" spans="1:15" x14ac:dyDescent="0.2">
      <c r="A18" s="166">
        <f t="shared" si="2"/>
        <v>8</v>
      </c>
      <c r="B18" s="528" t="s">
        <v>965</v>
      </c>
      <c r="C18" s="529">
        <f t="shared" si="0"/>
        <v>77239552.742564961</v>
      </c>
      <c r="D18" s="530">
        <f t="shared" si="0"/>
        <v>163291285.83213547</v>
      </c>
      <c r="E18" s="529">
        <f t="shared" si="0"/>
        <v>433928451.39680159</v>
      </c>
      <c r="F18" s="529">
        <f t="shared" si="0"/>
        <v>2967188639.5644875</v>
      </c>
      <c r="G18" s="573">
        <f t="shared" si="0"/>
        <v>2143405658.239665</v>
      </c>
      <c r="H18" s="573">
        <f t="shared" si="0"/>
        <v>303364191.15868378</v>
      </c>
      <c r="I18" s="573">
        <f t="shared" si="0"/>
        <v>1215710154.670501</v>
      </c>
      <c r="J18" s="529">
        <f t="shared" si="0"/>
        <v>224236.97400203452</v>
      </c>
      <c r="K18" s="529">
        <f t="shared" si="0"/>
        <v>12995491.085082794</v>
      </c>
      <c r="L18" s="573">
        <f t="shared" si="0"/>
        <v>182253358.57831123</v>
      </c>
      <c r="M18" s="573">
        <f t="shared" si="1"/>
        <v>7499601020.2422352</v>
      </c>
    </row>
    <row r="19" spans="1:15" x14ac:dyDescent="0.2">
      <c r="A19" s="166">
        <f t="shared" si="2"/>
        <v>9</v>
      </c>
      <c r="B19" s="531" t="s">
        <v>966</v>
      </c>
      <c r="C19" s="529">
        <f t="shared" si="0"/>
        <v>77239552.742564961</v>
      </c>
      <c r="D19" s="530">
        <f t="shared" si="0"/>
        <v>163336309.8632524</v>
      </c>
      <c r="E19" s="529">
        <f t="shared" si="0"/>
        <v>435073003.50390124</v>
      </c>
      <c r="F19" s="529">
        <f t="shared" si="0"/>
        <v>2969788939.3177238</v>
      </c>
      <c r="G19" s="573">
        <f t="shared" si="0"/>
        <v>2153235094.4662213</v>
      </c>
      <c r="H19" s="573">
        <f t="shared" si="0"/>
        <v>304612335.74940538</v>
      </c>
      <c r="I19" s="573">
        <f t="shared" si="0"/>
        <v>1230687034.7115216</v>
      </c>
      <c r="J19" s="529">
        <f t="shared" si="0"/>
        <v>224237.9253564697</v>
      </c>
      <c r="K19" s="529">
        <f t="shared" si="0"/>
        <v>12995288.634380324</v>
      </c>
      <c r="L19" s="573">
        <f t="shared" si="0"/>
        <v>185175431.58761919</v>
      </c>
      <c r="M19" s="573">
        <f t="shared" si="1"/>
        <v>7532367228.5019455</v>
      </c>
    </row>
    <row r="20" spans="1:15" x14ac:dyDescent="0.2">
      <c r="A20" s="166">
        <f t="shared" si="2"/>
        <v>10</v>
      </c>
      <c r="B20" s="531" t="s">
        <v>967</v>
      </c>
      <c r="C20" s="529">
        <f t="shared" si="0"/>
        <v>77240122.456316486</v>
      </c>
      <c r="D20" s="530">
        <f t="shared" si="0"/>
        <v>163362164.67443866</v>
      </c>
      <c r="E20" s="529">
        <f t="shared" si="0"/>
        <v>435905860.94337583</v>
      </c>
      <c r="F20" s="529">
        <f t="shared" si="0"/>
        <v>2965706099.1937604</v>
      </c>
      <c r="G20" s="573">
        <f t="shared" si="0"/>
        <v>2154844406.1738486</v>
      </c>
      <c r="H20" s="573">
        <f t="shared" si="0"/>
        <v>305234605.44565696</v>
      </c>
      <c r="I20" s="573">
        <f t="shared" si="0"/>
        <v>1231643123.8051274</v>
      </c>
      <c r="J20" s="529">
        <f t="shared" si="0"/>
        <v>224520.79200639005</v>
      </c>
      <c r="K20" s="529">
        <f t="shared" si="0"/>
        <v>12995627.630158862</v>
      </c>
      <c r="L20" s="679">
        <f t="shared" si="0"/>
        <v>185617058.94252914</v>
      </c>
      <c r="M20" s="573">
        <f t="shared" si="1"/>
        <v>7532773590.0572176</v>
      </c>
    </row>
    <row r="21" spans="1:15" x14ac:dyDescent="0.2">
      <c r="A21" s="166">
        <f t="shared" si="2"/>
        <v>11</v>
      </c>
      <c r="B21" s="528" t="s">
        <v>968</v>
      </c>
      <c r="C21" s="529">
        <f t="shared" si="0"/>
        <v>79088202.881294325</v>
      </c>
      <c r="D21" s="530">
        <f t="shared" si="0"/>
        <v>163057904.7225121</v>
      </c>
      <c r="E21" s="529">
        <f t="shared" si="0"/>
        <v>454131466.06797838</v>
      </c>
      <c r="F21" s="529">
        <f t="shared" si="0"/>
        <v>3008870879.9730649</v>
      </c>
      <c r="G21" s="573">
        <f t="shared" si="0"/>
        <v>2155525184.0935035</v>
      </c>
      <c r="H21" s="573">
        <f t="shared" si="0"/>
        <v>306054505.14234155</v>
      </c>
      <c r="I21" s="573">
        <f t="shared" si="0"/>
        <v>1232109542.3667874</v>
      </c>
      <c r="J21" s="529">
        <f t="shared" si="0"/>
        <v>221513.03455308356</v>
      </c>
      <c r="K21" s="529">
        <f t="shared" si="0"/>
        <v>12992012.695824396</v>
      </c>
      <c r="L21" s="573">
        <f t="shared" si="0"/>
        <v>185716212.21491522</v>
      </c>
      <c r="M21" s="573">
        <f t="shared" si="1"/>
        <v>7597767423.1927757</v>
      </c>
    </row>
    <row r="22" spans="1:15" x14ac:dyDescent="0.2">
      <c r="A22" s="166">
        <f t="shared" si="2"/>
        <v>12</v>
      </c>
      <c r="B22" s="528" t="s">
        <v>969</v>
      </c>
      <c r="C22" s="529">
        <f t="shared" si="0"/>
        <v>77240122.456316486</v>
      </c>
      <c r="D22" s="530">
        <f t="shared" si="0"/>
        <v>163176954.84262165</v>
      </c>
      <c r="E22" s="529">
        <f t="shared" si="0"/>
        <v>455929657.24803406</v>
      </c>
      <c r="F22" s="529">
        <f t="shared" si="0"/>
        <v>3010610363.5731421</v>
      </c>
      <c r="G22" s="573">
        <f t="shared" si="0"/>
        <v>2156598959.8814416</v>
      </c>
      <c r="H22" s="573">
        <f t="shared" si="0"/>
        <v>306859091.69738138</v>
      </c>
      <c r="I22" s="573">
        <f t="shared" si="0"/>
        <v>1231899362.780426</v>
      </c>
      <c r="J22" s="529">
        <f t="shared" si="0"/>
        <v>221357.38372446425</v>
      </c>
      <c r="K22" s="529">
        <f t="shared" si="0"/>
        <v>13010565.592296176</v>
      </c>
      <c r="L22" s="573">
        <f t="shared" si="0"/>
        <v>185944059.08809501</v>
      </c>
      <c r="M22" s="573">
        <f t="shared" si="1"/>
        <v>7601490494.543479</v>
      </c>
    </row>
    <row r="23" spans="1:15" x14ac:dyDescent="0.2">
      <c r="A23" s="166">
        <f t="shared" si="2"/>
        <v>13</v>
      </c>
      <c r="B23" s="531" t="s">
        <v>970</v>
      </c>
      <c r="C23" s="555">
        <v>77976654.562520087</v>
      </c>
      <c r="D23" s="555">
        <v>163072480.04595727</v>
      </c>
      <c r="E23" s="534">
        <v>470458375.7060675</v>
      </c>
      <c r="F23" s="534">
        <v>3030177246.8090091</v>
      </c>
      <c r="G23" s="575">
        <v>2164385765.181572</v>
      </c>
      <c r="H23" s="575">
        <v>310509485.04568505</v>
      </c>
      <c r="I23" s="575">
        <v>1239444990.3695719</v>
      </c>
      <c r="J23" s="534">
        <v>221416.38459709552</v>
      </c>
      <c r="K23" s="534">
        <v>13011928.174370928</v>
      </c>
      <c r="L23" s="575">
        <v>187085635.94514531</v>
      </c>
      <c r="M23" s="575">
        <f t="shared" si="1"/>
        <v>7656343978.2244959</v>
      </c>
      <c r="O23" s="162"/>
    </row>
    <row r="24" spans="1:15" x14ac:dyDescent="0.2">
      <c r="A24" s="166">
        <f t="shared" si="2"/>
        <v>14</v>
      </c>
      <c r="B24" s="535" t="s">
        <v>729</v>
      </c>
      <c r="C24" s="527">
        <f t="shared" ref="C24:M24" si="3">AVERAGE(C11:C23)</f>
        <v>76743787.88295494</v>
      </c>
      <c r="D24" s="527">
        <f t="shared" si="3"/>
        <v>160593692.22977951</v>
      </c>
      <c r="E24" s="527">
        <f t="shared" si="3"/>
        <v>439454661.83026284</v>
      </c>
      <c r="F24" s="527">
        <f t="shared" si="3"/>
        <v>2961572760.8177786</v>
      </c>
      <c r="G24" s="573">
        <f t="shared" si="3"/>
        <v>2059545724.9970829</v>
      </c>
      <c r="H24" s="573">
        <f t="shared" si="3"/>
        <v>287124540.28299707</v>
      </c>
      <c r="I24" s="573">
        <f t="shared" si="3"/>
        <v>1183762557.1799967</v>
      </c>
      <c r="J24" s="527">
        <f t="shared" si="3"/>
        <v>222495.82950512023</v>
      </c>
      <c r="K24" s="527">
        <f t="shared" si="3"/>
        <v>12997110.261204483</v>
      </c>
      <c r="L24" s="573">
        <f t="shared" si="3"/>
        <v>154108480.40728325</v>
      </c>
      <c r="M24" s="573">
        <f t="shared" si="3"/>
        <v>7336125811.7188454</v>
      </c>
    </row>
    <row r="25" spans="1:15" x14ac:dyDescent="0.2">
      <c r="A25" s="223"/>
      <c r="B25" s="223"/>
      <c r="C25" s="223"/>
      <c r="D25" s="223"/>
      <c r="E25" s="223"/>
      <c r="F25" s="223"/>
      <c r="G25" s="223"/>
      <c r="H25" s="223"/>
      <c r="I25" s="223"/>
      <c r="J25" s="223"/>
      <c r="K25" s="223"/>
      <c r="L25" s="223"/>
    </row>
    <row r="26" spans="1:15" x14ac:dyDescent="0.2">
      <c r="A26" s="223"/>
      <c r="B26" s="517" t="s">
        <v>730</v>
      </c>
      <c r="C26" s="223"/>
      <c r="D26" s="223"/>
      <c r="E26" s="223"/>
      <c r="F26" s="223"/>
      <c r="G26" s="223"/>
      <c r="H26" s="223"/>
      <c r="I26" s="223"/>
      <c r="J26" s="223"/>
      <c r="K26" s="223"/>
      <c r="L26" s="223"/>
    </row>
    <row r="27" spans="1:15" x14ac:dyDescent="0.2">
      <c r="A27" s="223"/>
      <c r="B27" s="517"/>
      <c r="C27" s="223"/>
      <c r="D27" s="223"/>
      <c r="E27" s="223"/>
      <c r="F27" s="223"/>
      <c r="G27" s="223"/>
      <c r="H27" s="223"/>
      <c r="I27" s="223"/>
      <c r="J27" s="223"/>
      <c r="K27" s="223"/>
      <c r="L27" s="223"/>
    </row>
    <row r="28" spans="1:15" x14ac:dyDescent="0.2">
      <c r="A28" s="223"/>
      <c r="B28" s="536" t="s">
        <v>731</v>
      </c>
      <c r="C28" s="174"/>
      <c r="D28" s="174"/>
      <c r="E28" s="174"/>
      <c r="F28" s="174"/>
      <c r="G28" s="174"/>
      <c r="H28" s="174"/>
      <c r="I28" s="223"/>
      <c r="J28" s="223"/>
      <c r="K28" s="223"/>
      <c r="L28" s="223"/>
    </row>
    <row r="29" spans="1:15" x14ac:dyDescent="0.2">
      <c r="A29" s="223"/>
      <c r="B29" s="517"/>
      <c r="C29" s="223"/>
      <c r="D29" s="223"/>
      <c r="E29" s="223"/>
      <c r="F29" s="223"/>
      <c r="G29" s="223"/>
      <c r="H29" s="223"/>
      <c r="I29" s="223"/>
      <c r="J29" s="223"/>
      <c r="K29" s="223"/>
      <c r="L29" s="223"/>
    </row>
    <row r="30" spans="1:15" x14ac:dyDescent="0.2">
      <c r="A30" s="517"/>
      <c r="B30" s="227" t="s">
        <v>152</v>
      </c>
      <c r="C30" s="227" t="s">
        <v>153</v>
      </c>
      <c r="D30" s="227" t="s">
        <v>154</v>
      </c>
      <c r="E30" s="227" t="s">
        <v>155</v>
      </c>
      <c r="F30" s="227" t="s">
        <v>371</v>
      </c>
      <c r="G30" s="223"/>
      <c r="H30" s="223"/>
      <c r="I30" s="223"/>
      <c r="J30" s="223"/>
      <c r="K30" s="223"/>
      <c r="L30" s="223"/>
    </row>
    <row r="31" spans="1:15" x14ac:dyDescent="0.2">
      <c r="A31" s="518"/>
      <c r="B31" s="523"/>
      <c r="C31" s="518"/>
      <c r="D31" s="518"/>
      <c r="E31" s="518"/>
      <c r="F31" s="523" t="s">
        <v>732</v>
      </c>
      <c r="G31" s="223"/>
      <c r="H31" s="223"/>
      <c r="K31" s="223"/>
      <c r="L31" s="223"/>
    </row>
    <row r="32" spans="1:15" x14ac:dyDescent="0.2">
      <c r="A32" s="518"/>
      <c r="B32" s="171"/>
      <c r="C32" s="227"/>
      <c r="D32" s="227"/>
      <c r="E32" s="518"/>
      <c r="F32" s="518"/>
      <c r="G32" s="223"/>
      <c r="H32" s="223"/>
      <c r="K32" s="223"/>
      <c r="L32" s="223"/>
    </row>
    <row r="33" spans="1:12" ht="12.75" customHeight="1" x14ac:dyDescent="0.2">
      <c r="A33" s="169" t="s">
        <v>296</v>
      </c>
      <c r="B33" s="207" t="s">
        <v>715</v>
      </c>
      <c r="C33" s="537">
        <v>360</v>
      </c>
      <c r="D33" s="537">
        <v>361</v>
      </c>
      <c r="E33" s="537">
        <v>362</v>
      </c>
      <c r="F33" s="170" t="s">
        <v>325</v>
      </c>
      <c r="G33" s="223"/>
      <c r="H33" s="223"/>
      <c r="K33" s="223"/>
      <c r="L33" s="223"/>
    </row>
    <row r="34" spans="1:12" ht="12.75" customHeight="1" x14ac:dyDescent="0.2">
      <c r="A34" s="166">
        <f>A24+1</f>
        <v>15</v>
      </c>
      <c r="B34" s="531" t="s">
        <v>955</v>
      </c>
      <c r="C34" s="526">
        <v>0</v>
      </c>
      <c r="D34" s="526">
        <v>0</v>
      </c>
      <c r="E34" s="526">
        <v>0</v>
      </c>
      <c r="F34" s="527">
        <f>SUM(C34:E34)</f>
        <v>0</v>
      </c>
      <c r="G34" s="223"/>
      <c r="H34" s="223"/>
      <c r="K34" s="223"/>
      <c r="L34" s="223"/>
    </row>
    <row r="35" spans="1:12" ht="12.75" customHeight="1" x14ac:dyDescent="0.2">
      <c r="A35" s="166">
        <f>A34+1</f>
        <v>16</v>
      </c>
      <c r="B35" s="531" t="s">
        <v>970</v>
      </c>
      <c r="C35" s="538">
        <v>0</v>
      </c>
      <c r="D35" s="538">
        <v>0</v>
      </c>
      <c r="E35" s="538">
        <v>0</v>
      </c>
      <c r="F35" s="539">
        <f>SUM(C35:E35)</f>
        <v>0</v>
      </c>
      <c r="G35" s="223"/>
      <c r="H35" s="223"/>
      <c r="K35" s="223"/>
      <c r="L35" s="223"/>
    </row>
    <row r="36" spans="1:12" ht="12.75" customHeight="1" x14ac:dyDescent="0.2">
      <c r="A36" s="166">
        <f>A35+1</f>
        <v>17</v>
      </c>
      <c r="B36" s="535" t="s">
        <v>733</v>
      </c>
      <c r="C36" s="527">
        <f>AVERAGE(C34:C35)</f>
        <v>0</v>
      </c>
      <c r="D36" s="527">
        <f>AVERAGE(D34:D35)</f>
        <v>0</v>
      </c>
      <c r="E36" s="527">
        <f>AVERAGE(E34:E35)</f>
        <v>0</v>
      </c>
      <c r="F36" s="527">
        <f>AVERAGE(F34:F35)</f>
        <v>0</v>
      </c>
      <c r="G36" s="223"/>
      <c r="H36" s="223"/>
      <c r="K36" s="223"/>
      <c r="L36" s="223"/>
    </row>
    <row r="37" spans="1:12" ht="12.75" customHeight="1" x14ac:dyDescent="0.2">
      <c r="A37" s="223"/>
      <c r="B37" s="223"/>
      <c r="C37" s="223"/>
      <c r="D37" s="223"/>
      <c r="E37" s="223"/>
      <c r="F37" s="223"/>
      <c r="G37" s="223"/>
      <c r="H37" s="223"/>
      <c r="K37" s="223"/>
      <c r="L37" s="223"/>
    </row>
    <row r="38" spans="1:12" x14ac:dyDescent="0.2">
      <c r="A38" s="223"/>
      <c r="B38" s="162" t="s">
        <v>734</v>
      </c>
      <c r="C38" s="48"/>
      <c r="D38" s="48"/>
      <c r="E38" s="56"/>
      <c r="F38" s="540"/>
      <c r="G38" s="541"/>
      <c r="H38" s="223"/>
      <c r="K38" s="223"/>
      <c r="L38" s="223"/>
    </row>
    <row r="39" spans="1:12" x14ac:dyDescent="0.2">
      <c r="A39" s="223"/>
      <c r="B39" s="223" t="s">
        <v>735</v>
      </c>
      <c r="C39" s="48"/>
      <c r="D39" s="48"/>
      <c r="E39" s="56"/>
      <c r="F39" s="540"/>
      <c r="G39" s="541"/>
      <c r="H39" s="223"/>
      <c r="K39" s="223"/>
      <c r="L39" s="223"/>
    </row>
    <row r="40" spans="1:12" x14ac:dyDescent="0.2">
      <c r="A40" s="223"/>
      <c r="B40" s="223"/>
      <c r="C40" s="48"/>
      <c r="D40" s="48"/>
      <c r="E40" s="56"/>
      <c r="F40" s="540"/>
      <c r="G40" s="541"/>
      <c r="H40" s="223"/>
      <c r="K40" s="223"/>
      <c r="L40" s="223"/>
    </row>
    <row r="41" spans="1:12" x14ac:dyDescent="0.2">
      <c r="A41" s="223"/>
      <c r="B41" s="223"/>
      <c r="C41" s="48"/>
      <c r="D41" s="542" t="s">
        <v>34</v>
      </c>
      <c r="E41" s="543" t="s">
        <v>35</v>
      </c>
      <c r="F41" s="540"/>
      <c r="G41" s="541"/>
      <c r="H41" s="223"/>
      <c r="K41" s="223"/>
      <c r="L41" s="223"/>
    </row>
    <row r="42" spans="1:12" x14ac:dyDescent="0.2">
      <c r="A42" s="166">
        <f>A36+1</f>
        <v>18</v>
      </c>
      <c r="B42" s="223"/>
      <c r="C42" s="56" t="s">
        <v>736</v>
      </c>
      <c r="D42" s="587">
        <f>M24+F36</f>
        <v>7336125811.7188454</v>
      </c>
      <c r="E42" s="544" t="str">
        <f>"Sum of Line "&amp;A24&amp;", "&amp;M7&amp;" and Line "&amp;A36&amp;", "&amp;F30&amp;""</f>
        <v>Sum of Line 14, Col 12 and Line 17, Col 5</v>
      </c>
      <c r="F42" s="223"/>
      <c r="G42" s="223"/>
      <c r="H42" s="223"/>
      <c r="K42" s="223"/>
      <c r="L42" s="223"/>
    </row>
    <row r="43" spans="1:12" x14ac:dyDescent="0.2">
      <c r="A43" s="166">
        <f>A42+1</f>
        <v>19</v>
      </c>
      <c r="B43" s="223"/>
      <c r="C43" s="56" t="s">
        <v>737</v>
      </c>
      <c r="D43" s="587">
        <f>M23+F35</f>
        <v>7656343978.2244959</v>
      </c>
      <c r="E43" s="544" t="str">
        <f>"Sum of Line "&amp;A23&amp;", "&amp;M7&amp;" and Line "&amp;A35&amp;", "&amp;F30&amp;""</f>
        <v>Sum of Line 13, Col 12 and Line 16, Col 5</v>
      </c>
      <c r="F43" s="223"/>
      <c r="G43" s="223"/>
      <c r="H43" s="223"/>
      <c r="I43" s="223"/>
      <c r="J43" s="223"/>
      <c r="K43" s="223"/>
      <c r="L43" s="223"/>
    </row>
    <row r="44" spans="1:12" x14ac:dyDescent="0.2">
      <c r="A44" s="223"/>
      <c r="B44" s="223"/>
      <c r="C44" s="48"/>
      <c r="D44" s="48"/>
      <c r="E44" s="545"/>
      <c r="F44" s="546"/>
      <c r="G44" s="547"/>
      <c r="H44" s="223"/>
      <c r="I44" s="223"/>
      <c r="J44" s="223"/>
      <c r="K44" s="223"/>
      <c r="L44" s="223"/>
    </row>
    <row r="45" spans="1:12" x14ac:dyDescent="0.2">
      <c r="A45" s="223"/>
      <c r="B45" s="162" t="s">
        <v>738</v>
      </c>
      <c r="C45" s="223"/>
      <c r="D45" s="223"/>
      <c r="E45" s="545"/>
      <c r="F45" s="546"/>
      <c r="G45" s="547"/>
      <c r="H45" s="223"/>
      <c r="I45" s="223"/>
      <c r="J45" s="223"/>
      <c r="K45" s="223"/>
      <c r="L45" s="223"/>
    </row>
    <row r="46" spans="1:12" x14ac:dyDescent="0.2">
      <c r="A46" s="223"/>
      <c r="B46" s="247" t="s">
        <v>739</v>
      </c>
      <c r="C46" s="223"/>
      <c r="D46" s="223"/>
      <c r="E46" s="545"/>
      <c r="F46" s="546"/>
      <c r="G46" s="547"/>
      <c r="H46" s="223"/>
      <c r="I46" s="223"/>
      <c r="J46" s="223"/>
      <c r="K46" s="223"/>
      <c r="L46" s="223"/>
    </row>
    <row r="47" spans="1:12" ht="12.75" customHeight="1" x14ac:dyDescent="0.2">
      <c r="A47" s="223"/>
      <c r="B47" s="247"/>
      <c r="C47" s="223"/>
      <c r="D47" s="223"/>
      <c r="E47" s="545"/>
      <c r="F47" s="546"/>
      <c r="G47" s="547"/>
      <c r="H47" s="223"/>
      <c r="I47" s="223"/>
      <c r="J47" s="223"/>
      <c r="K47" s="223"/>
      <c r="L47" s="223"/>
    </row>
    <row r="48" spans="1:12" x14ac:dyDescent="0.2">
      <c r="A48" s="223"/>
      <c r="B48" s="162"/>
      <c r="C48" s="523" t="s">
        <v>349</v>
      </c>
      <c r="D48" s="223"/>
      <c r="E48" s="545"/>
      <c r="F48" s="227" t="s">
        <v>152</v>
      </c>
      <c r="G48" s="227" t="s">
        <v>153</v>
      </c>
      <c r="H48" s="227" t="s">
        <v>154</v>
      </c>
      <c r="I48" s="223"/>
      <c r="J48" s="223"/>
      <c r="K48" s="223"/>
      <c r="L48" s="223"/>
    </row>
    <row r="49" spans="1:12" x14ac:dyDescent="0.2">
      <c r="A49" s="223"/>
      <c r="B49" s="162"/>
      <c r="C49" s="166" t="s">
        <v>740</v>
      </c>
      <c r="D49" s="545"/>
      <c r="F49" s="166" t="s">
        <v>741</v>
      </c>
      <c r="G49" s="166" t="s">
        <v>742</v>
      </c>
      <c r="H49" s="548" t="s">
        <v>325</v>
      </c>
      <c r="I49" s="547"/>
      <c r="J49" s="223"/>
      <c r="K49" s="223"/>
      <c r="L49" s="223"/>
    </row>
    <row r="50" spans="1:12" x14ac:dyDescent="0.2">
      <c r="A50" s="223"/>
      <c r="B50" s="223"/>
      <c r="C50" s="166" t="s">
        <v>17</v>
      </c>
      <c r="D50" s="62" t="s">
        <v>165</v>
      </c>
      <c r="F50" s="62" t="s">
        <v>329</v>
      </c>
      <c r="G50" s="62" t="s">
        <v>329</v>
      </c>
      <c r="H50" s="62" t="s">
        <v>743</v>
      </c>
      <c r="I50" s="62"/>
      <c r="J50" s="223"/>
      <c r="K50" s="223"/>
      <c r="L50" s="223"/>
    </row>
    <row r="51" spans="1:12" x14ac:dyDescent="0.2">
      <c r="A51" s="223"/>
      <c r="B51" s="223"/>
      <c r="C51" s="170" t="s">
        <v>16</v>
      </c>
      <c r="D51" s="57" t="s">
        <v>35</v>
      </c>
      <c r="F51" s="438" t="s">
        <v>744</v>
      </c>
      <c r="G51" s="438" t="s">
        <v>744</v>
      </c>
      <c r="H51" s="438" t="s">
        <v>744</v>
      </c>
      <c r="I51" s="55" t="s">
        <v>45</v>
      </c>
      <c r="J51" s="223"/>
      <c r="K51" s="223"/>
      <c r="L51" s="223"/>
    </row>
    <row r="52" spans="1:12" x14ac:dyDescent="0.2">
      <c r="A52" s="166">
        <f>A43+1</f>
        <v>20</v>
      </c>
      <c r="B52" s="223"/>
      <c r="C52" s="549" t="s">
        <v>6</v>
      </c>
      <c r="D52" s="550" t="s">
        <v>745</v>
      </c>
      <c r="E52" s="163"/>
      <c r="F52" s="244">
        <v>2714243545</v>
      </c>
      <c r="G52" s="243">
        <v>1877243156</v>
      </c>
      <c r="H52" s="540">
        <f>SUM(F52:G52)</f>
        <v>4591486701</v>
      </c>
      <c r="I52" s="550" t="s">
        <v>746</v>
      </c>
      <c r="J52" s="174"/>
      <c r="K52" s="570"/>
      <c r="L52" s="570"/>
    </row>
    <row r="53" spans="1:12" ht="12.75" customHeight="1" x14ac:dyDescent="0.2">
      <c r="A53" s="166">
        <f>A52+1</f>
        <v>21</v>
      </c>
      <c r="B53" s="223"/>
      <c r="C53" s="53" t="s">
        <v>6</v>
      </c>
      <c r="D53" s="550" t="s">
        <v>747</v>
      </c>
      <c r="E53" s="163"/>
      <c r="F53" s="244">
        <v>2810955447</v>
      </c>
      <c r="G53" s="243">
        <v>1597954444</v>
      </c>
      <c r="H53" s="540">
        <f>SUM(F53:G53)</f>
        <v>4408909891</v>
      </c>
      <c r="I53" s="176" t="s">
        <v>748</v>
      </c>
      <c r="J53" s="174"/>
      <c r="K53" s="570"/>
      <c r="L53" s="570"/>
    </row>
    <row r="54" spans="1:12" ht="12.75" customHeight="1" x14ac:dyDescent="0.2">
      <c r="A54" s="223"/>
      <c r="B54" s="223"/>
      <c r="C54" s="53"/>
      <c r="D54" s="54"/>
      <c r="E54" s="551"/>
      <c r="F54" s="540"/>
      <c r="G54" s="247"/>
      <c r="H54" s="223"/>
      <c r="I54" s="223"/>
      <c r="J54" s="223"/>
      <c r="K54" s="223"/>
      <c r="L54" s="223"/>
    </row>
    <row r="55" spans="1:12" ht="12.75" customHeight="1" x14ac:dyDescent="0.2">
      <c r="A55" s="223"/>
      <c r="B55" s="223"/>
      <c r="C55" s="48" t="s">
        <v>749</v>
      </c>
      <c r="D55" s="48"/>
      <c r="E55" s="545"/>
      <c r="F55" s="543" t="s">
        <v>34</v>
      </c>
      <c r="G55" s="552" t="s">
        <v>35</v>
      </c>
      <c r="H55" s="223"/>
      <c r="I55" s="223"/>
      <c r="J55" s="223"/>
      <c r="K55" s="223"/>
      <c r="L55" s="223"/>
    </row>
    <row r="56" spans="1:12" x14ac:dyDescent="0.2">
      <c r="A56" s="166">
        <f>A53+1</f>
        <v>22</v>
      </c>
      <c r="B56" s="223"/>
      <c r="C56" s="48"/>
      <c r="D56" s="48"/>
      <c r="E56" s="56" t="s">
        <v>750</v>
      </c>
      <c r="F56" s="540">
        <f>(H52+H53)/2</f>
        <v>4500198296</v>
      </c>
      <c r="G56" s="553" t="str">
        <f>"Average of Line "&amp;A52&amp;" and "&amp;A53&amp;"."</f>
        <v>Average of Line 20 and 21.</v>
      </c>
      <c r="H56" s="223"/>
      <c r="I56" s="223"/>
      <c r="J56" s="223"/>
      <c r="K56" s="223"/>
      <c r="L56" s="223"/>
    </row>
    <row r="57" spans="1:12" x14ac:dyDescent="0.2">
      <c r="A57" s="166">
        <f>A56+1</f>
        <v>23</v>
      </c>
      <c r="B57" s="223"/>
      <c r="C57" s="48"/>
      <c r="D57" s="48"/>
      <c r="E57" s="440" t="s">
        <v>751</v>
      </c>
      <c r="F57" s="680">
        <v>6.0138983940459835E-2</v>
      </c>
      <c r="G57" s="553" t="s">
        <v>1058</v>
      </c>
      <c r="H57" s="223"/>
      <c r="I57" s="223"/>
      <c r="J57" s="223"/>
      <c r="K57" s="223"/>
      <c r="L57" s="223"/>
    </row>
    <row r="58" spans="1:12" x14ac:dyDescent="0.2">
      <c r="A58" s="166">
        <f>A57+1</f>
        <v>24</v>
      </c>
      <c r="B58" s="223"/>
      <c r="C58" s="48"/>
      <c r="D58" s="48"/>
      <c r="E58" s="440" t="s">
        <v>752</v>
      </c>
      <c r="F58" s="587">
        <f>F56*F57</f>
        <v>270637353.05202872</v>
      </c>
      <c r="G58" s="553" t="str">
        <f>"Line "&amp;A56&amp;" * Line "&amp;A57&amp;"."</f>
        <v>Line 22 * Line 23.</v>
      </c>
      <c r="H58" s="223"/>
      <c r="I58" s="223"/>
      <c r="J58" s="223"/>
      <c r="K58" s="223"/>
      <c r="L58" s="223"/>
    </row>
    <row r="59" spans="1:12" x14ac:dyDescent="0.2">
      <c r="A59" s="223"/>
      <c r="B59" s="223"/>
      <c r="C59" s="48"/>
      <c r="D59" s="48"/>
      <c r="E59" s="440"/>
      <c r="F59" s="540"/>
      <c r="G59" s="541"/>
      <c r="H59" s="223"/>
      <c r="I59" s="223"/>
      <c r="J59" s="223"/>
      <c r="K59" s="223"/>
      <c r="L59" s="223"/>
    </row>
    <row r="60" spans="1:12" x14ac:dyDescent="0.2">
      <c r="A60" s="223"/>
      <c r="B60" s="223"/>
      <c r="C60" s="48" t="s">
        <v>753</v>
      </c>
      <c r="D60" s="48"/>
      <c r="E60" s="545"/>
      <c r="F60" s="543" t="s">
        <v>34</v>
      </c>
      <c r="G60" s="552" t="s">
        <v>35</v>
      </c>
      <c r="H60" s="223"/>
      <c r="I60" s="223"/>
      <c r="J60" s="223"/>
      <c r="K60" s="223"/>
      <c r="L60" s="223"/>
    </row>
    <row r="61" spans="1:12" x14ac:dyDescent="0.2">
      <c r="A61" s="166">
        <f>A58+1</f>
        <v>25</v>
      </c>
      <c r="B61" s="223"/>
      <c r="C61" s="48"/>
      <c r="D61" s="48"/>
      <c r="E61" s="56" t="s">
        <v>737</v>
      </c>
      <c r="F61" s="540">
        <f>H53</f>
        <v>4408909891</v>
      </c>
      <c r="G61" s="553" t="str">
        <f>"Line "&amp;A53&amp;"."</f>
        <v>Line 21.</v>
      </c>
      <c r="H61" s="223"/>
      <c r="I61" s="223"/>
      <c r="J61" s="223"/>
      <c r="K61" s="223"/>
      <c r="L61" s="223"/>
    </row>
    <row r="62" spans="1:12" x14ac:dyDescent="0.2">
      <c r="A62" s="166">
        <f>A61+1</f>
        <v>26</v>
      </c>
      <c r="B62" s="223"/>
      <c r="C62" s="48"/>
      <c r="D62" s="48"/>
      <c r="E62" s="440" t="s">
        <v>751</v>
      </c>
      <c r="F62" s="680">
        <v>6.0138983940459835E-2</v>
      </c>
      <c r="G62" s="553" t="s">
        <v>1058</v>
      </c>
      <c r="H62" s="223"/>
      <c r="I62" s="223"/>
      <c r="J62" s="223"/>
      <c r="K62" s="223"/>
      <c r="L62" s="223"/>
    </row>
    <row r="63" spans="1:12" x14ac:dyDescent="0.2">
      <c r="A63" s="166">
        <f>A62+1</f>
        <v>27</v>
      </c>
      <c r="B63" s="223"/>
      <c r="C63" s="48"/>
      <c r="D63" s="48"/>
      <c r="E63" s="440" t="s">
        <v>752</v>
      </c>
      <c r="F63" s="587">
        <f>F61*F62</f>
        <v>265147361.12978351</v>
      </c>
      <c r="G63" s="553" t="str">
        <f>"Line "&amp;A61&amp;" * Line "&amp;A62&amp;"."</f>
        <v>Line 25 * Line 26.</v>
      </c>
      <c r="H63" s="223"/>
      <c r="I63" s="223"/>
      <c r="J63" s="223"/>
      <c r="K63" s="223"/>
      <c r="L63" s="223"/>
    </row>
    <row r="64" spans="1:12" x14ac:dyDescent="0.2">
      <c r="A64" s="223"/>
      <c r="B64" s="223"/>
      <c r="C64" s="223"/>
      <c r="D64" s="223"/>
      <c r="E64" s="223"/>
      <c r="F64" s="223"/>
      <c r="G64" s="223"/>
      <c r="H64" s="223"/>
      <c r="I64" s="223"/>
      <c r="J64" s="223"/>
      <c r="K64" s="223"/>
      <c r="L64" s="223"/>
    </row>
    <row r="65" spans="1:13" x14ac:dyDescent="0.2">
      <c r="A65" s="223"/>
      <c r="B65" s="223"/>
      <c r="C65" s="223"/>
      <c r="D65" s="223"/>
      <c r="E65" s="223"/>
      <c r="F65" s="223"/>
      <c r="G65" s="223"/>
      <c r="H65" s="223"/>
      <c r="I65" s="223"/>
      <c r="J65" s="223"/>
      <c r="K65" s="223"/>
      <c r="L65" s="223"/>
    </row>
    <row r="66" spans="1:13" x14ac:dyDescent="0.2">
      <c r="A66" s="223"/>
      <c r="B66" s="162" t="s">
        <v>754</v>
      </c>
      <c r="C66" s="223"/>
      <c r="D66" s="223"/>
      <c r="E66" s="223"/>
      <c r="F66" s="223"/>
      <c r="G66" s="223"/>
      <c r="H66" s="223"/>
      <c r="I66" s="223"/>
      <c r="J66" s="223"/>
      <c r="K66" s="223"/>
      <c r="L66" s="223"/>
    </row>
    <row r="67" spans="1:13" x14ac:dyDescent="0.2">
      <c r="A67" s="223"/>
      <c r="C67" s="223"/>
      <c r="D67" s="223"/>
      <c r="E67" s="223"/>
      <c r="F67" s="223"/>
      <c r="G67" s="223"/>
      <c r="H67" s="223"/>
      <c r="I67" s="223"/>
      <c r="J67" s="223"/>
      <c r="K67" s="223"/>
      <c r="L67" s="223"/>
    </row>
    <row r="68" spans="1:13" x14ac:dyDescent="0.2">
      <c r="B68" s="162" t="s">
        <v>755</v>
      </c>
      <c r="C68" s="223"/>
      <c r="D68" s="223"/>
      <c r="E68" s="223"/>
      <c r="F68" s="223"/>
      <c r="G68" s="223"/>
      <c r="H68" s="223"/>
      <c r="I68" s="223"/>
      <c r="J68" s="223"/>
      <c r="K68" s="223"/>
      <c r="L68" s="223"/>
    </row>
    <row r="69" spans="1:13" x14ac:dyDescent="0.2">
      <c r="A69" s="223"/>
      <c r="C69" s="223"/>
      <c r="D69" s="223"/>
      <c r="E69" s="223"/>
      <c r="F69" s="223"/>
      <c r="G69" s="223"/>
      <c r="H69" s="223"/>
      <c r="I69" s="223"/>
      <c r="J69" s="223"/>
      <c r="K69" s="223"/>
      <c r="L69" s="223"/>
    </row>
    <row r="70" spans="1:13" x14ac:dyDescent="0.2">
      <c r="A70" s="517"/>
      <c r="B70" s="227" t="s">
        <v>152</v>
      </c>
      <c r="C70" s="227" t="s">
        <v>153</v>
      </c>
      <c r="D70" s="227" t="s">
        <v>154</v>
      </c>
      <c r="E70" s="227" t="s">
        <v>155</v>
      </c>
      <c r="F70" s="227" t="s">
        <v>371</v>
      </c>
      <c r="G70" s="227" t="s">
        <v>372</v>
      </c>
      <c r="H70" s="227" t="s">
        <v>386</v>
      </c>
      <c r="I70" s="227" t="s">
        <v>387</v>
      </c>
      <c r="J70" s="227" t="s">
        <v>388</v>
      </c>
      <c r="K70" s="227" t="s">
        <v>389</v>
      </c>
      <c r="L70" s="227" t="s">
        <v>390</v>
      </c>
      <c r="M70" s="227" t="s">
        <v>391</v>
      </c>
    </row>
    <row r="71" spans="1:13" x14ac:dyDescent="0.2">
      <c r="A71" s="518"/>
      <c r="B71" s="523"/>
      <c r="C71" s="518"/>
      <c r="D71" s="518"/>
      <c r="E71" s="518"/>
      <c r="F71" s="518"/>
      <c r="G71" s="518"/>
      <c r="H71" s="518"/>
      <c r="I71" s="518"/>
      <c r="J71" s="518"/>
      <c r="K71" s="518"/>
      <c r="M71" s="523" t="s">
        <v>714</v>
      </c>
    </row>
    <row r="72" spans="1:13" x14ac:dyDescent="0.2">
      <c r="A72" s="518"/>
      <c r="B72" s="171"/>
      <c r="C72" s="227"/>
      <c r="D72" s="227"/>
      <c r="E72" s="518"/>
      <c r="F72" s="518"/>
      <c r="G72" s="518"/>
      <c r="H72" s="518"/>
      <c r="I72" s="518"/>
      <c r="J72" s="518"/>
      <c r="K72" s="518"/>
      <c r="L72" s="518"/>
    </row>
    <row r="73" spans="1:13" x14ac:dyDescent="0.2">
      <c r="A73" s="169"/>
      <c r="B73" s="207" t="s">
        <v>715</v>
      </c>
      <c r="C73" s="227">
        <v>350.1</v>
      </c>
      <c r="D73" s="227">
        <v>350.2</v>
      </c>
      <c r="E73" s="227">
        <v>352</v>
      </c>
      <c r="F73" s="227">
        <v>353</v>
      </c>
      <c r="G73" s="227">
        <v>354</v>
      </c>
      <c r="H73" s="227">
        <v>355</v>
      </c>
      <c r="I73" s="227">
        <v>356</v>
      </c>
      <c r="J73" s="227">
        <v>357</v>
      </c>
      <c r="K73" s="227">
        <v>358</v>
      </c>
      <c r="L73" s="227">
        <v>359</v>
      </c>
      <c r="M73" s="170" t="s">
        <v>325</v>
      </c>
    </row>
    <row r="74" spans="1:13" x14ac:dyDescent="0.2">
      <c r="A74" s="166">
        <f>A63+1</f>
        <v>28</v>
      </c>
      <c r="B74" s="528" t="s">
        <v>959</v>
      </c>
      <c r="C74" s="243">
        <v>0</v>
      </c>
      <c r="D74" s="243">
        <v>-2837.6299999952316</v>
      </c>
      <c r="E74" s="526">
        <v>3560802.5499999523</v>
      </c>
      <c r="F74" s="526">
        <v>8432114.0900011063</v>
      </c>
      <c r="G74" s="526">
        <v>24372158.930000067</v>
      </c>
      <c r="H74" s="526">
        <v>12932404.410000086</v>
      </c>
      <c r="I74" s="526">
        <v>28539529.779999971</v>
      </c>
      <c r="J74" s="526">
        <v>6172542.9499999955</v>
      </c>
      <c r="K74" s="526">
        <v>285947.33000001311</v>
      </c>
      <c r="L74" s="526">
        <v>1194100.8299999833</v>
      </c>
      <c r="M74" s="527">
        <f t="shared" ref="M74:M85" si="4">SUM(C74:L74)</f>
        <v>85486763.240001172</v>
      </c>
    </row>
    <row r="75" spans="1:13" x14ac:dyDescent="0.2">
      <c r="A75" s="166">
        <f t="shared" ref="A75:A86" si="5">A74+1</f>
        <v>29</v>
      </c>
      <c r="B75" s="531" t="s">
        <v>960</v>
      </c>
      <c r="C75" s="243">
        <v>-349.4299999922514</v>
      </c>
      <c r="D75" s="243">
        <v>190639.09000000358</v>
      </c>
      <c r="E75" s="526">
        <v>2345863.9200000763</v>
      </c>
      <c r="F75" s="526">
        <v>9924867.6400003433</v>
      </c>
      <c r="G75" s="526">
        <v>-5270015.8900001049</v>
      </c>
      <c r="H75" s="526">
        <v>5198777.2000000477</v>
      </c>
      <c r="I75" s="526">
        <v>745804.09999990463</v>
      </c>
      <c r="J75" s="526">
        <v>480409.34000000358</v>
      </c>
      <c r="K75" s="526">
        <v>32741.079999983311</v>
      </c>
      <c r="L75" s="526">
        <v>782112.1400000006</v>
      </c>
      <c r="M75" s="527">
        <f t="shared" si="4"/>
        <v>14430849.190000266</v>
      </c>
    </row>
    <row r="76" spans="1:13" x14ac:dyDescent="0.2">
      <c r="A76" s="166">
        <f t="shared" si="5"/>
        <v>30</v>
      </c>
      <c r="B76" s="531" t="s">
        <v>961</v>
      </c>
      <c r="C76" s="243">
        <v>0</v>
      </c>
      <c r="D76" s="243">
        <v>16337.700000017881</v>
      </c>
      <c r="E76" s="526">
        <v>4178996.689999938</v>
      </c>
      <c r="F76" s="526">
        <v>13257711.189998627</v>
      </c>
      <c r="G76" s="526">
        <v>218586025.99000001</v>
      </c>
      <c r="H76" s="526">
        <v>64533694.449999928</v>
      </c>
      <c r="I76" s="526">
        <v>105108242.92000008</v>
      </c>
      <c r="J76" s="526">
        <v>1566.6899999976158</v>
      </c>
      <c r="K76" s="526">
        <v>-26580.909999996424</v>
      </c>
      <c r="L76" s="526">
        <v>23762074.580000013</v>
      </c>
      <c r="M76" s="527">
        <f t="shared" si="4"/>
        <v>429418069.29999864</v>
      </c>
    </row>
    <row r="77" spans="1:13" x14ac:dyDescent="0.2">
      <c r="A77" s="166">
        <f t="shared" si="5"/>
        <v>31</v>
      </c>
      <c r="B77" s="528" t="s">
        <v>962</v>
      </c>
      <c r="C77" s="243">
        <v>0</v>
      </c>
      <c r="D77" s="243">
        <v>3908.6899999976158</v>
      </c>
      <c r="E77" s="526">
        <v>-3390986.3400000334</v>
      </c>
      <c r="F77" s="526">
        <v>5063861.7600011826</v>
      </c>
      <c r="G77" s="526">
        <v>112328865.76000023</v>
      </c>
      <c r="H77" s="526">
        <v>12534694.769999981</v>
      </c>
      <c r="I77" s="526">
        <v>37402854.960000515</v>
      </c>
      <c r="J77" s="526">
        <v>-25.329999998211861</v>
      </c>
      <c r="K77" s="526">
        <v>-5196</v>
      </c>
      <c r="L77" s="526">
        <v>74996170.389999986</v>
      </c>
      <c r="M77" s="527">
        <f t="shared" si="4"/>
        <v>238934148.66000187</v>
      </c>
    </row>
    <row r="78" spans="1:13" x14ac:dyDescent="0.2">
      <c r="A78" s="166">
        <f t="shared" si="5"/>
        <v>32</v>
      </c>
      <c r="B78" s="531" t="s">
        <v>963</v>
      </c>
      <c r="C78" s="243">
        <v>0</v>
      </c>
      <c r="D78" s="243">
        <v>19657.840000033379</v>
      </c>
      <c r="E78" s="526">
        <v>588513.89999985695</v>
      </c>
      <c r="F78" s="526">
        <v>15283448.809999466</v>
      </c>
      <c r="G78" s="526">
        <v>5051672.8699998856</v>
      </c>
      <c r="H78" s="526">
        <v>7281782.6699999571</v>
      </c>
      <c r="I78" s="526">
        <v>1522432.4699997902</v>
      </c>
      <c r="J78" s="526">
        <v>1074.0300000011921</v>
      </c>
      <c r="K78" s="526">
        <v>-115030.57999998331</v>
      </c>
      <c r="L78" s="526">
        <v>1083872.5900000334</v>
      </c>
      <c r="M78" s="527">
        <f t="shared" si="4"/>
        <v>30717424.59999904</v>
      </c>
    </row>
    <row r="79" spans="1:13" x14ac:dyDescent="0.2">
      <c r="A79" s="166">
        <f t="shared" si="5"/>
        <v>33</v>
      </c>
      <c r="B79" s="531" t="s">
        <v>964</v>
      </c>
      <c r="C79" s="243">
        <v>1156575.0199999958</v>
      </c>
      <c r="D79" s="243">
        <v>-1084309.1500000358</v>
      </c>
      <c r="E79" s="526">
        <v>-1853042.2999998331</v>
      </c>
      <c r="F79" s="526">
        <v>34753868.269999504</v>
      </c>
      <c r="G79" s="526">
        <v>182592.71000003815</v>
      </c>
      <c r="H79" s="526">
        <v>5739969.9000000954</v>
      </c>
      <c r="I79" s="526">
        <v>-154220.40000009537</v>
      </c>
      <c r="J79" s="526">
        <v>-14457.530000001192</v>
      </c>
      <c r="K79" s="526">
        <v>-12236.380000025034</v>
      </c>
      <c r="L79" s="526">
        <v>332114.66999998689</v>
      </c>
      <c r="M79" s="527">
        <f t="shared" si="4"/>
        <v>39046854.80999963</v>
      </c>
    </row>
    <row r="80" spans="1:13" x14ac:dyDescent="0.2">
      <c r="A80" s="166">
        <f t="shared" si="5"/>
        <v>34</v>
      </c>
      <c r="B80" s="528" t="s">
        <v>965</v>
      </c>
      <c r="C80" s="243">
        <v>62837.339999988675</v>
      </c>
      <c r="D80" s="243">
        <v>8006826.9499999881</v>
      </c>
      <c r="E80" s="526">
        <v>2620571.7700001001</v>
      </c>
      <c r="F80" s="526">
        <v>15425026.200000763</v>
      </c>
      <c r="G80" s="526">
        <v>1410692.2699995041</v>
      </c>
      <c r="H80" s="526">
        <v>7756882.2099999189</v>
      </c>
      <c r="I80" s="526">
        <v>1229547.259999752</v>
      </c>
      <c r="J80" s="526">
        <v>1341180.3900000006</v>
      </c>
      <c r="K80" s="526">
        <v>1186908.75</v>
      </c>
      <c r="L80" s="526">
        <v>382423.91999998689</v>
      </c>
      <c r="M80" s="527">
        <f t="shared" si="4"/>
        <v>39422897.060000002</v>
      </c>
    </row>
    <row r="81" spans="1:13" x14ac:dyDescent="0.2">
      <c r="A81" s="166">
        <f t="shared" si="5"/>
        <v>35</v>
      </c>
      <c r="B81" s="531" t="s">
        <v>966</v>
      </c>
      <c r="C81" s="243">
        <v>0</v>
      </c>
      <c r="D81" s="243">
        <v>62835.379999995232</v>
      </c>
      <c r="E81" s="526">
        <v>1184222.6399999857</v>
      </c>
      <c r="F81" s="526">
        <v>5928133.7700004578</v>
      </c>
      <c r="G81" s="526">
        <v>8858401.1900005341</v>
      </c>
      <c r="H81" s="526">
        <v>8206517.8800001144</v>
      </c>
      <c r="I81" s="526">
        <v>21939932.639999866</v>
      </c>
      <c r="J81" s="526">
        <v>1079.2899999991059</v>
      </c>
      <c r="K81" s="526">
        <v>-231500.79999998212</v>
      </c>
      <c r="L81" s="526">
        <v>2881594.599999994</v>
      </c>
      <c r="M81" s="527">
        <f t="shared" si="4"/>
        <v>48831216.590000965</v>
      </c>
    </row>
    <row r="82" spans="1:13" x14ac:dyDescent="0.2">
      <c r="A82" s="166">
        <f t="shared" si="5"/>
        <v>36</v>
      </c>
      <c r="B82" s="531" t="s">
        <v>967</v>
      </c>
      <c r="C82" s="243">
        <v>1182.609999999404</v>
      </c>
      <c r="D82" s="243">
        <v>45668.270000010729</v>
      </c>
      <c r="E82" s="526">
        <v>1167662.8999998569</v>
      </c>
      <c r="F82" s="526">
        <v>-9448556.9300003052</v>
      </c>
      <c r="G82" s="526">
        <v>1555773.0199995041</v>
      </c>
      <c r="H82" s="526">
        <v>4823531.9199999571</v>
      </c>
      <c r="I82" s="526">
        <v>1207087.9900000095</v>
      </c>
      <c r="J82" s="526">
        <v>320905.78999999911</v>
      </c>
      <c r="K82" s="526">
        <v>387639.03000000119</v>
      </c>
      <c r="L82" s="526">
        <v>441322</v>
      </c>
      <c r="M82" s="527">
        <f t="shared" si="4"/>
        <v>502216.59999903291</v>
      </c>
    </row>
    <row r="83" spans="1:13" x14ac:dyDescent="0.2">
      <c r="A83" s="166">
        <f t="shared" si="5"/>
        <v>37</v>
      </c>
      <c r="B83" s="528" t="s">
        <v>968</v>
      </c>
      <c r="C83" s="243">
        <v>387886.49000000954</v>
      </c>
      <c r="D83" s="243">
        <v>-289863.5</v>
      </c>
      <c r="E83" s="526">
        <v>24403404.929999948</v>
      </c>
      <c r="F83" s="526">
        <v>104813286.57999706</v>
      </c>
      <c r="G83" s="526">
        <v>661129.13000011444</v>
      </c>
      <c r="H83" s="526">
        <v>6329501.310000062</v>
      </c>
      <c r="I83" s="526">
        <v>412046.25000023842</v>
      </c>
      <c r="J83" s="526">
        <v>-3412232.5200000033</v>
      </c>
      <c r="K83" s="526">
        <v>-4133649.2300000191</v>
      </c>
      <c r="L83" s="526">
        <v>99112.57000002265</v>
      </c>
      <c r="M83" s="527">
        <f t="shared" si="4"/>
        <v>129270622.00999743</v>
      </c>
    </row>
    <row r="84" spans="1:13" x14ac:dyDescent="0.2">
      <c r="A84" s="166">
        <f t="shared" si="5"/>
        <v>38</v>
      </c>
      <c r="B84" s="528" t="s">
        <v>969</v>
      </c>
      <c r="C84" s="243">
        <v>-387886.49000000954</v>
      </c>
      <c r="D84" s="243">
        <v>119123.80000001192</v>
      </c>
      <c r="E84" s="526">
        <v>2559555.8200000525</v>
      </c>
      <c r="F84" s="526">
        <v>3949535.0900030136</v>
      </c>
      <c r="G84" s="526">
        <v>1097957.3999996185</v>
      </c>
      <c r="H84" s="526">
        <v>8300983.2899999619</v>
      </c>
      <c r="I84" s="526">
        <v>-148257.13999986649</v>
      </c>
      <c r="J84" s="526">
        <v>-176582.32999999821</v>
      </c>
      <c r="K84" s="526">
        <v>21215092.480000019</v>
      </c>
      <c r="L84" s="526">
        <v>227853.31999999285</v>
      </c>
      <c r="M84" s="527">
        <f t="shared" si="4"/>
        <v>36757375.240002796</v>
      </c>
    </row>
    <row r="85" spans="1:13" x14ac:dyDescent="0.2">
      <c r="A85" s="166">
        <f t="shared" si="5"/>
        <v>39</v>
      </c>
      <c r="B85" s="531" t="s">
        <v>970</v>
      </c>
      <c r="C85" s="243">
        <v>154587.8900000006</v>
      </c>
      <c r="D85" s="243">
        <v>-145804.65999999642</v>
      </c>
      <c r="E85" s="526">
        <v>20503732.2900002</v>
      </c>
      <c r="F85" s="526">
        <v>44300689.039999008</v>
      </c>
      <c r="G85" s="526">
        <v>7635247.3600001335</v>
      </c>
      <c r="H85" s="526">
        <v>26258521.579999924</v>
      </c>
      <c r="I85" s="526">
        <v>8874793.8399999142</v>
      </c>
      <c r="J85" s="526">
        <v>66935.14999999851</v>
      </c>
      <c r="K85" s="526">
        <v>1558101.9799999595</v>
      </c>
      <c r="L85" s="526">
        <v>1139739.1899999976</v>
      </c>
      <c r="M85" s="539">
        <f t="shared" si="4"/>
        <v>110346543.65999913</v>
      </c>
    </row>
    <row r="86" spans="1:13" x14ac:dyDescent="0.2">
      <c r="A86" s="166">
        <f t="shared" si="5"/>
        <v>40</v>
      </c>
      <c r="B86" s="535" t="s">
        <v>166</v>
      </c>
      <c r="C86" s="527">
        <f>SUM(C74:C85)</f>
        <v>1374833.4299999923</v>
      </c>
      <c r="D86" s="527">
        <f t="shared" ref="D86:L86" si="6">SUM(D74:D85)</f>
        <v>6942182.780000031</v>
      </c>
      <c r="E86" s="527">
        <f t="shared" si="6"/>
        <v>57869298.7700001</v>
      </c>
      <c r="F86" s="527">
        <f t="shared" si="6"/>
        <v>251683985.51000023</v>
      </c>
      <c r="G86" s="527">
        <f t="shared" si="6"/>
        <v>376470500.73999953</v>
      </c>
      <c r="H86" s="527">
        <f t="shared" si="6"/>
        <v>169897261.59000003</v>
      </c>
      <c r="I86" s="527">
        <f t="shared" si="6"/>
        <v>206679794.67000008</v>
      </c>
      <c r="J86" s="527">
        <f t="shared" si="6"/>
        <v>4782395.9199999943</v>
      </c>
      <c r="K86" s="527">
        <f t="shared" si="6"/>
        <v>20142236.74999997</v>
      </c>
      <c r="L86" s="527">
        <f t="shared" si="6"/>
        <v>107322490.8</v>
      </c>
      <c r="M86" s="527">
        <f>SUM(M74:M85)</f>
        <v>1203164980.96</v>
      </c>
    </row>
    <row r="88" spans="1:13" x14ac:dyDescent="0.2">
      <c r="B88" s="183" t="s">
        <v>757</v>
      </c>
      <c r="C88" s="163"/>
      <c r="D88" s="163"/>
      <c r="E88" s="163"/>
    </row>
    <row r="89" spans="1:13" x14ac:dyDescent="0.2">
      <c r="B89" s="163"/>
      <c r="C89" s="163"/>
      <c r="D89" s="163"/>
    </row>
    <row r="90" spans="1:13" x14ac:dyDescent="0.2">
      <c r="A90" s="517"/>
      <c r="B90" s="241" t="s">
        <v>152</v>
      </c>
      <c r="C90" s="241" t="s">
        <v>153</v>
      </c>
      <c r="D90" s="241" t="s">
        <v>154</v>
      </c>
      <c r="E90" s="227" t="s">
        <v>155</v>
      </c>
      <c r="F90" s="227" t="s">
        <v>371</v>
      </c>
      <c r="G90" s="227" t="s">
        <v>372</v>
      </c>
      <c r="H90" s="227" t="s">
        <v>386</v>
      </c>
      <c r="I90" s="227" t="s">
        <v>387</v>
      </c>
      <c r="J90" s="227" t="s">
        <v>388</v>
      </c>
      <c r="K90" s="227" t="s">
        <v>389</v>
      </c>
      <c r="L90" s="227" t="s">
        <v>390</v>
      </c>
      <c r="M90" s="227" t="s">
        <v>391</v>
      </c>
    </row>
    <row r="91" spans="1:13" x14ac:dyDescent="0.2">
      <c r="A91" s="518"/>
      <c r="B91" s="556"/>
      <c r="C91" s="536"/>
      <c r="D91" s="536"/>
      <c r="E91" s="518"/>
      <c r="F91" s="518"/>
      <c r="G91" s="518"/>
      <c r="H91" s="518"/>
      <c r="I91" s="518"/>
      <c r="J91" s="518"/>
      <c r="K91" s="518"/>
      <c r="M91" s="523" t="s">
        <v>714</v>
      </c>
    </row>
    <row r="92" spans="1:13" x14ac:dyDescent="0.2">
      <c r="A92" s="518"/>
      <c r="B92" s="171"/>
      <c r="C92" s="241"/>
      <c r="D92" s="241"/>
      <c r="E92" s="518"/>
      <c r="F92" s="518"/>
      <c r="G92" s="518"/>
      <c r="H92" s="518"/>
      <c r="I92" s="518"/>
      <c r="J92" s="518"/>
      <c r="K92" s="518"/>
      <c r="L92" s="518"/>
    </row>
    <row r="93" spans="1:13" x14ac:dyDescent="0.2">
      <c r="A93" s="169"/>
      <c r="B93" s="207" t="s">
        <v>715</v>
      </c>
      <c r="C93" s="241">
        <v>350.1</v>
      </c>
      <c r="D93" s="241">
        <v>350.2</v>
      </c>
      <c r="E93" s="227">
        <v>352</v>
      </c>
      <c r="F93" s="227">
        <v>353</v>
      </c>
      <c r="G93" s="227">
        <v>354</v>
      </c>
      <c r="H93" s="227">
        <v>355</v>
      </c>
      <c r="I93" s="227">
        <v>356</v>
      </c>
      <c r="J93" s="227">
        <v>357</v>
      </c>
      <c r="K93" s="227">
        <v>358</v>
      </c>
      <c r="L93" s="227">
        <v>359</v>
      </c>
      <c r="M93" s="170" t="s">
        <v>325</v>
      </c>
    </row>
    <row r="94" spans="1:13" x14ac:dyDescent="0.2">
      <c r="A94" s="166">
        <f>A86+1</f>
        <v>41</v>
      </c>
      <c r="B94" s="528" t="s">
        <v>959</v>
      </c>
      <c r="C94" s="243">
        <v>0</v>
      </c>
      <c r="D94" s="243">
        <v>0</v>
      </c>
      <c r="E94" s="526">
        <v>107745.21000000834</v>
      </c>
      <c r="F94" s="526">
        <v>-103507.61999988556</v>
      </c>
      <c r="G94" s="526">
        <v>22239936.070000172</v>
      </c>
      <c r="H94" s="526">
        <v>1495060.3900000155</v>
      </c>
      <c r="I94" s="526">
        <v>23529619.870000005</v>
      </c>
      <c r="J94" s="526">
        <v>0</v>
      </c>
      <c r="K94" s="526">
        <v>0</v>
      </c>
      <c r="L94" s="526">
        <v>409569.75</v>
      </c>
      <c r="M94" s="527">
        <f t="shared" ref="M94:M105" si="7">SUM(C94:L94)</f>
        <v>47678423.670000315</v>
      </c>
    </row>
    <row r="95" spans="1:13" x14ac:dyDescent="0.2">
      <c r="A95" s="166">
        <f t="shared" ref="A95:A106" si="8">A94+1</f>
        <v>42</v>
      </c>
      <c r="B95" s="531" t="s">
        <v>960</v>
      </c>
      <c r="C95" s="243">
        <v>0</v>
      </c>
      <c r="D95" s="243">
        <v>0</v>
      </c>
      <c r="E95" s="526">
        <v>1603510.4399999976</v>
      </c>
      <c r="F95" s="526">
        <v>1344100.1499998569</v>
      </c>
      <c r="G95" s="526">
        <v>-4445500.5900001526</v>
      </c>
      <c r="H95" s="526">
        <v>-357249.57000000775</v>
      </c>
      <c r="I95" s="526">
        <v>-348344.30999994278</v>
      </c>
      <c r="J95" s="526">
        <v>0</v>
      </c>
      <c r="K95" s="526">
        <v>0</v>
      </c>
      <c r="L95" s="526">
        <v>623604.6099999994</v>
      </c>
      <c r="M95" s="527">
        <f t="shared" si="7"/>
        <v>-1579879.2700002491</v>
      </c>
    </row>
    <row r="96" spans="1:13" x14ac:dyDescent="0.2">
      <c r="A96" s="166">
        <f t="shared" si="8"/>
        <v>43</v>
      </c>
      <c r="B96" s="531" t="s">
        <v>961</v>
      </c>
      <c r="C96" s="243">
        <v>0</v>
      </c>
      <c r="D96" s="243">
        <v>0</v>
      </c>
      <c r="E96" s="526">
        <v>13209.25</v>
      </c>
      <c r="F96" s="526">
        <v>29443.050000190735</v>
      </c>
      <c r="G96" s="526">
        <v>217424764.01000023</v>
      </c>
      <c r="H96" s="526">
        <v>59961701.420000002</v>
      </c>
      <c r="I96" s="526">
        <v>104568148.51999998</v>
      </c>
      <c r="J96" s="526">
        <v>0</v>
      </c>
      <c r="K96" s="526">
        <v>0</v>
      </c>
      <c r="L96" s="526">
        <v>23675774.069999993</v>
      </c>
      <c r="M96" s="527">
        <f t="shared" si="7"/>
        <v>405673040.32000041</v>
      </c>
    </row>
    <row r="97" spans="1:13" x14ac:dyDescent="0.2">
      <c r="A97" s="166">
        <f t="shared" si="8"/>
        <v>44</v>
      </c>
      <c r="B97" s="528" t="s">
        <v>962</v>
      </c>
      <c r="C97" s="243">
        <v>0</v>
      </c>
      <c r="D97" s="243">
        <v>0</v>
      </c>
      <c r="E97" s="526">
        <v>7934.5799999833107</v>
      </c>
      <c r="F97" s="526">
        <v>64407.669999837875</v>
      </c>
      <c r="G97" s="526">
        <v>112119814.36999989</v>
      </c>
      <c r="H97" s="526">
        <v>5975834.7699999809</v>
      </c>
      <c r="I97" s="526">
        <v>36732171.399999976</v>
      </c>
      <c r="J97" s="526">
        <v>0</v>
      </c>
      <c r="K97" s="526">
        <v>0</v>
      </c>
      <c r="L97" s="526">
        <v>74904321.589999989</v>
      </c>
      <c r="M97" s="527">
        <f t="shared" si="7"/>
        <v>229804484.37999964</v>
      </c>
    </row>
    <row r="98" spans="1:13" x14ac:dyDescent="0.2">
      <c r="A98" s="166">
        <f t="shared" si="8"/>
        <v>45</v>
      </c>
      <c r="B98" s="531" t="s">
        <v>963</v>
      </c>
      <c r="C98" s="243">
        <v>0</v>
      </c>
      <c r="D98" s="243">
        <v>-243.23000000417233</v>
      </c>
      <c r="E98" s="526">
        <v>7536.3100000023842</v>
      </c>
      <c r="F98" s="526">
        <v>-142239.84000015259</v>
      </c>
      <c r="G98" s="526">
        <v>2600742.0800001621</v>
      </c>
      <c r="H98" s="526">
        <v>317876.40000000596</v>
      </c>
      <c r="I98" s="526">
        <v>1019190.6900000572</v>
      </c>
      <c r="J98" s="526">
        <v>0</v>
      </c>
      <c r="K98" s="526">
        <v>0</v>
      </c>
      <c r="L98" s="526">
        <v>1043619.7300000191</v>
      </c>
      <c r="M98" s="527">
        <f t="shared" si="7"/>
        <v>4846482.14000009</v>
      </c>
    </row>
    <row r="99" spans="1:13" x14ac:dyDescent="0.2">
      <c r="A99" s="166">
        <f t="shared" si="8"/>
        <v>46</v>
      </c>
      <c r="B99" s="531" t="s">
        <v>964</v>
      </c>
      <c r="C99" s="243">
        <v>1156575.0199999996</v>
      </c>
      <c r="D99" s="243">
        <v>-1156575.0199999958</v>
      </c>
      <c r="E99" s="526">
        <v>-2428702.0200000405</v>
      </c>
      <c r="F99" s="526">
        <v>2574007.3900003433</v>
      </c>
      <c r="G99" s="526">
        <v>-153545.95000004768</v>
      </c>
      <c r="H99" s="526">
        <v>-140697.29000002146</v>
      </c>
      <c r="I99" s="526">
        <v>-876130.23000001907</v>
      </c>
      <c r="J99" s="526">
        <v>0</v>
      </c>
      <c r="K99" s="526">
        <v>0</v>
      </c>
      <c r="L99" s="526">
        <v>307845.29999998212</v>
      </c>
      <c r="M99" s="527">
        <f t="shared" si="7"/>
        <v>-717222.79999979958</v>
      </c>
    </row>
    <row r="100" spans="1:13" x14ac:dyDescent="0.2">
      <c r="A100" s="166">
        <f t="shared" si="8"/>
        <v>47</v>
      </c>
      <c r="B100" s="528" t="s">
        <v>965</v>
      </c>
      <c r="C100" s="243">
        <v>0</v>
      </c>
      <c r="D100" s="243">
        <v>352196.32999999821</v>
      </c>
      <c r="E100" s="526">
        <v>553028.70000001788</v>
      </c>
      <c r="F100" s="526">
        <v>359976.6099998951</v>
      </c>
      <c r="G100" s="526">
        <v>1827477.1300001144</v>
      </c>
      <c r="H100" s="526">
        <v>295734.10000002384</v>
      </c>
      <c r="I100" s="526">
        <v>540923.29999995232</v>
      </c>
      <c r="J100" s="526">
        <v>0</v>
      </c>
      <c r="K100" s="526">
        <v>0</v>
      </c>
      <c r="L100" s="526">
        <v>366994.75</v>
      </c>
      <c r="M100" s="527">
        <f t="shared" si="7"/>
        <v>4296330.9200000018</v>
      </c>
    </row>
    <row r="101" spans="1:13" x14ac:dyDescent="0.2">
      <c r="A101" s="166">
        <f t="shared" si="8"/>
        <v>48</v>
      </c>
      <c r="B101" s="531" t="s">
        <v>966</v>
      </c>
      <c r="C101" s="243">
        <v>0</v>
      </c>
      <c r="D101" s="243">
        <v>0</v>
      </c>
      <c r="E101" s="526">
        <v>1051578.8299999833</v>
      </c>
      <c r="F101" s="526">
        <v>4510.1099998950958</v>
      </c>
      <c r="G101" s="526">
        <v>2837568.1399998665</v>
      </c>
      <c r="H101" s="526">
        <v>395308.88999998569</v>
      </c>
      <c r="I101" s="526">
        <v>1012358.0200001001</v>
      </c>
      <c r="J101" s="526">
        <v>0</v>
      </c>
      <c r="K101" s="526">
        <v>0</v>
      </c>
      <c r="L101" s="526">
        <v>478879.40000003576</v>
      </c>
      <c r="M101" s="527">
        <f t="shared" si="7"/>
        <v>5780203.3899998665</v>
      </c>
    </row>
    <row r="102" spans="1:13" x14ac:dyDescent="0.2">
      <c r="A102" s="166">
        <f t="shared" si="8"/>
        <v>49</v>
      </c>
      <c r="B102" s="531" t="s">
        <v>967</v>
      </c>
      <c r="C102" s="243">
        <v>1345.4199999999255</v>
      </c>
      <c r="D102" s="243">
        <v>-24230.209999993443</v>
      </c>
      <c r="E102" s="526">
        <v>48195.409999966621</v>
      </c>
      <c r="F102" s="526">
        <v>102546.53999996185</v>
      </c>
      <c r="G102" s="526">
        <v>1223810.2300000191</v>
      </c>
      <c r="H102" s="526">
        <v>107352.45000001788</v>
      </c>
      <c r="I102" s="526">
        <v>452706.48000001907</v>
      </c>
      <c r="J102" s="526">
        <v>0</v>
      </c>
      <c r="K102" s="526">
        <v>0</v>
      </c>
      <c r="L102" s="526">
        <v>423196.75999999046</v>
      </c>
      <c r="M102" s="527">
        <f t="shared" si="7"/>
        <v>2334923.0799999814</v>
      </c>
    </row>
    <row r="103" spans="1:13" x14ac:dyDescent="0.2">
      <c r="A103" s="166">
        <f t="shared" si="8"/>
        <v>50</v>
      </c>
      <c r="B103" s="528" t="s">
        <v>968</v>
      </c>
      <c r="C103" s="243">
        <v>0</v>
      </c>
      <c r="D103" s="243">
        <v>-340651.70999999344</v>
      </c>
      <c r="E103" s="526">
        <v>3747092.9600000083</v>
      </c>
      <c r="F103" s="526">
        <v>-4922519.2699999809</v>
      </c>
      <c r="G103" s="526">
        <v>539298.22000026703</v>
      </c>
      <c r="H103" s="526">
        <v>144629.09000000358</v>
      </c>
      <c r="I103" s="526">
        <v>575463.16999995708</v>
      </c>
      <c r="J103" s="526">
        <v>0</v>
      </c>
      <c r="K103" s="526">
        <v>0</v>
      </c>
      <c r="L103" s="526">
        <v>96696.560000002384</v>
      </c>
      <c r="M103" s="527">
        <f t="shared" si="7"/>
        <v>-159990.97999973595</v>
      </c>
    </row>
    <row r="104" spans="1:13" x14ac:dyDescent="0.2">
      <c r="A104" s="166">
        <f t="shared" si="8"/>
        <v>51</v>
      </c>
      <c r="B104" s="528" t="s">
        <v>969</v>
      </c>
      <c r="C104" s="243">
        <v>0</v>
      </c>
      <c r="D104" s="243">
        <v>118863.87000000477</v>
      </c>
      <c r="E104" s="526">
        <v>13829.830000013113</v>
      </c>
      <c r="F104" s="526">
        <v>15590.900000095367</v>
      </c>
      <c r="G104" s="526">
        <v>1247893.7499997616</v>
      </c>
      <c r="H104" s="526">
        <v>-114190.64999997616</v>
      </c>
      <c r="I104" s="526">
        <v>-334366.12000000477</v>
      </c>
      <c r="J104" s="526">
        <v>0</v>
      </c>
      <c r="K104" s="526">
        <v>0</v>
      </c>
      <c r="L104" s="526">
        <v>228235.98999997973</v>
      </c>
      <c r="M104" s="527">
        <f t="shared" si="7"/>
        <v>1175857.5699998736</v>
      </c>
    </row>
    <row r="105" spans="1:13" x14ac:dyDescent="0.2">
      <c r="A105" s="166">
        <f t="shared" si="8"/>
        <v>52</v>
      </c>
      <c r="B105" s="531" t="s">
        <v>970</v>
      </c>
      <c r="C105" s="243">
        <v>0</v>
      </c>
      <c r="D105" s="243">
        <v>0</v>
      </c>
      <c r="E105" s="526">
        <v>525462.73999997973</v>
      </c>
      <c r="F105" s="526">
        <v>273926.72999978065</v>
      </c>
      <c r="G105" s="526">
        <v>6695523.2300000191</v>
      </c>
      <c r="H105" s="526">
        <v>879484.38999998569</v>
      </c>
      <c r="I105" s="526">
        <v>4879961.7600001097</v>
      </c>
      <c r="J105" s="526">
        <v>0</v>
      </c>
      <c r="K105" s="526">
        <v>0</v>
      </c>
      <c r="L105" s="526">
        <v>1030659.0500000119</v>
      </c>
      <c r="M105" s="539">
        <f t="shared" si="7"/>
        <v>14285017.899999887</v>
      </c>
    </row>
    <row r="106" spans="1:13" x14ac:dyDescent="0.2">
      <c r="A106" s="166">
        <f t="shared" si="8"/>
        <v>53</v>
      </c>
      <c r="B106" s="535" t="s">
        <v>166</v>
      </c>
      <c r="C106" s="527">
        <f>SUM(C94:C105)</f>
        <v>1157920.4399999995</v>
      </c>
      <c r="D106" s="527">
        <f t="shared" ref="D106:L106" si="9">SUM(D94:D105)</f>
        <v>-1050639.9699999839</v>
      </c>
      <c r="E106" s="527">
        <f t="shared" si="9"/>
        <v>5250422.2399999201</v>
      </c>
      <c r="F106" s="527">
        <f t="shared" si="9"/>
        <v>-399757.58000016212</v>
      </c>
      <c r="G106" s="527">
        <f t="shared" si="9"/>
        <v>364157780.6900003</v>
      </c>
      <c r="H106" s="527">
        <f t="shared" si="9"/>
        <v>68960844.390000015</v>
      </c>
      <c r="I106" s="527">
        <f t="shared" si="9"/>
        <v>171751702.55000019</v>
      </c>
      <c r="J106" s="527">
        <f t="shared" si="9"/>
        <v>0</v>
      </c>
      <c r="K106" s="527">
        <f t="shared" si="9"/>
        <v>0</v>
      </c>
      <c r="L106" s="527">
        <f t="shared" si="9"/>
        <v>103589397.56</v>
      </c>
      <c r="M106" s="527">
        <f>SUM(M94:M105)</f>
        <v>713417670.32000017</v>
      </c>
    </row>
    <row r="108" spans="1:13" x14ac:dyDescent="0.2">
      <c r="B108" s="183" t="s">
        <v>758</v>
      </c>
      <c r="C108" s="163"/>
      <c r="D108" s="163"/>
      <c r="E108" s="163"/>
      <c r="F108" s="163"/>
      <c r="G108" s="163"/>
    </row>
    <row r="109" spans="1:13" x14ac:dyDescent="0.2">
      <c r="B109" s="163"/>
      <c r="C109" s="163"/>
      <c r="D109" s="163"/>
      <c r="E109" s="163"/>
      <c r="F109" s="163"/>
      <c r="G109" s="163"/>
    </row>
    <row r="110" spans="1:13" x14ac:dyDescent="0.2">
      <c r="A110" s="517"/>
      <c r="B110" s="241" t="s">
        <v>152</v>
      </c>
      <c r="C110" s="241" t="s">
        <v>153</v>
      </c>
      <c r="D110" s="241" t="s">
        <v>154</v>
      </c>
      <c r="E110" s="241" t="s">
        <v>155</v>
      </c>
      <c r="F110" s="241" t="s">
        <v>371</v>
      </c>
      <c r="G110" s="241" t="s">
        <v>372</v>
      </c>
      <c r="H110" s="227" t="s">
        <v>386</v>
      </c>
      <c r="I110" s="227" t="s">
        <v>387</v>
      </c>
      <c r="J110" s="227" t="s">
        <v>388</v>
      </c>
      <c r="K110" s="227" t="s">
        <v>389</v>
      </c>
      <c r="L110" s="227" t="s">
        <v>390</v>
      </c>
      <c r="M110" s="227" t="s">
        <v>391</v>
      </c>
    </row>
    <row r="111" spans="1:13" x14ac:dyDescent="0.2">
      <c r="A111" s="518"/>
      <c r="B111" s="556"/>
      <c r="C111" s="536"/>
      <c r="D111" s="536"/>
      <c r="E111" s="536"/>
      <c r="F111" s="536"/>
      <c r="G111" s="536"/>
      <c r="H111" s="518"/>
      <c r="I111" s="518"/>
      <c r="J111" s="518"/>
      <c r="K111" s="518"/>
      <c r="M111" s="523" t="s">
        <v>714</v>
      </c>
    </row>
    <row r="112" spans="1:13" x14ac:dyDescent="0.2">
      <c r="A112" s="518"/>
      <c r="B112" s="171"/>
      <c r="C112" s="241"/>
      <c r="D112" s="241"/>
      <c r="E112" s="536"/>
      <c r="F112" s="536"/>
      <c r="G112" s="536"/>
      <c r="H112" s="518"/>
      <c r="I112" s="518"/>
      <c r="J112" s="518"/>
      <c r="K112" s="518"/>
      <c r="L112" s="518"/>
    </row>
    <row r="113" spans="1:13" x14ac:dyDescent="0.2">
      <c r="A113" s="169"/>
      <c r="B113" s="207" t="s">
        <v>715</v>
      </c>
      <c r="C113" s="241">
        <v>350.1</v>
      </c>
      <c r="D113" s="241">
        <v>350.2</v>
      </c>
      <c r="E113" s="241">
        <v>352</v>
      </c>
      <c r="F113" s="241">
        <v>353</v>
      </c>
      <c r="G113" s="241">
        <v>354</v>
      </c>
      <c r="H113" s="227">
        <v>355</v>
      </c>
      <c r="I113" s="227">
        <v>356</v>
      </c>
      <c r="J113" s="227">
        <v>357</v>
      </c>
      <c r="K113" s="227">
        <v>358</v>
      </c>
      <c r="L113" s="227">
        <v>359</v>
      </c>
      <c r="M113" s="170" t="s">
        <v>325</v>
      </c>
    </row>
    <row r="114" spans="1:13" x14ac:dyDescent="0.2">
      <c r="A114" s="166">
        <f>A106+1</f>
        <v>54</v>
      </c>
      <c r="B114" s="528" t="s">
        <v>959</v>
      </c>
      <c r="C114" s="188">
        <f t="shared" ref="C114:L125" si="10">C74-C94</f>
        <v>0</v>
      </c>
      <c r="D114" s="188">
        <f t="shared" si="10"/>
        <v>-2837.6299999952316</v>
      </c>
      <c r="E114" s="188">
        <f t="shared" si="10"/>
        <v>3453057.339999944</v>
      </c>
      <c r="F114" s="188">
        <f t="shared" si="10"/>
        <v>8535621.7100009918</v>
      </c>
      <c r="G114" s="188">
        <f t="shared" si="10"/>
        <v>2132222.8599998951</v>
      </c>
      <c r="H114" s="188">
        <f t="shared" si="10"/>
        <v>11437344.02000007</v>
      </c>
      <c r="I114" s="188">
        <f t="shared" si="10"/>
        <v>5009909.9099999666</v>
      </c>
      <c r="J114" s="188">
        <f t="shared" si="10"/>
        <v>6172542.9499999955</v>
      </c>
      <c r="K114" s="188">
        <f t="shared" si="10"/>
        <v>285947.33000001311</v>
      </c>
      <c r="L114" s="188">
        <f t="shared" si="10"/>
        <v>784531.07999998331</v>
      </c>
      <c r="M114" s="527">
        <f t="shared" ref="M114:M125" si="11">SUM(C114:L114)</f>
        <v>37808339.570000865</v>
      </c>
    </row>
    <row r="115" spans="1:13" x14ac:dyDescent="0.2">
      <c r="A115" s="166">
        <f t="shared" ref="A115:A126" si="12">A114+1</f>
        <v>55</v>
      </c>
      <c r="B115" s="531" t="s">
        <v>960</v>
      </c>
      <c r="C115" s="188">
        <f t="shared" si="10"/>
        <v>-349.4299999922514</v>
      </c>
      <c r="D115" s="188">
        <f t="shared" si="10"/>
        <v>190639.09000000358</v>
      </c>
      <c r="E115" s="188">
        <f t="shared" si="10"/>
        <v>742353.48000007868</v>
      </c>
      <c r="F115" s="188">
        <f t="shared" si="10"/>
        <v>8580767.4900004864</v>
      </c>
      <c r="G115" s="188">
        <f t="shared" si="10"/>
        <v>-824515.29999995232</v>
      </c>
      <c r="H115" s="188">
        <f t="shared" si="10"/>
        <v>5556026.7700000554</v>
      </c>
      <c r="I115" s="188">
        <f t="shared" si="10"/>
        <v>1094148.4099998474</v>
      </c>
      <c r="J115" s="188">
        <f t="shared" si="10"/>
        <v>480409.34000000358</v>
      </c>
      <c r="K115" s="188">
        <f t="shared" si="10"/>
        <v>32741.079999983311</v>
      </c>
      <c r="L115" s="188">
        <f t="shared" si="10"/>
        <v>158507.53000000119</v>
      </c>
      <c r="M115" s="527">
        <f t="shared" si="11"/>
        <v>16010728.460000515</v>
      </c>
    </row>
    <row r="116" spans="1:13" x14ac:dyDescent="0.2">
      <c r="A116" s="166">
        <f t="shared" si="12"/>
        <v>56</v>
      </c>
      <c r="B116" s="531" t="s">
        <v>961</v>
      </c>
      <c r="C116" s="188">
        <f t="shared" si="10"/>
        <v>0</v>
      </c>
      <c r="D116" s="188">
        <f t="shared" si="10"/>
        <v>16337.700000017881</v>
      </c>
      <c r="E116" s="188">
        <f t="shared" si="10"/>
        <v>4165787.439999938</v>
      </c>
      <c r="F116" s="188">
        <f t="shared" si="10"/>
        <v>13228268.139998436</v>
      </c>
      <c r="G116" s="188">
        <f t="shared" si="10"/>
        <v>1161261.9799997807</v>
      </c>
      <c r="H116" s="188">
        <f t="shared" si="10"/>
        <v>4571993.0299999267</v>
      </c>
      <c r="I116" s="188">
        <f t="shared" si="10"/>
        <v>540094.40000009537</v>
      </c>
      <c r="J116" s="188">
        <f t="shared" si="10"/>
        <v>1566.6899999976158</v>
      </c>
      <c r="K116" s="188">
        <f t="shared" si="10"/>
        <v>-26580.909999996424</v>
      </c>
      <c r="L116" s="188">
        <f t="shared" si="10"/>
        <v>86300.510000020266</v>
      </c>
      <c r="M116" s="527">
        <f t="shared" si="11"/>
        <v>23745028.979998216</v>
      </c>
    </row>
    <row r="117" spans="1:13" x14ac:dyDescent="0.2">
      <c r="A117" s="166">
        <f t="shared" si="12"/>
        <v>57</v>
      </c>
      <c r="B117" s="528" t="s">
        <v>962</v>
      </c>
      <c r="C117" s="188">
        <f t="shared" si="10"/>
        <v>0</v>
      </c>
      <c r="D117" s="188">
        <f t="shared" si="10"/>
        <v>3908.6899999976158</v>
      </c>
      <c r="E117" s="188">
        <f t="shared" si="10"/>
        <v>-3398920.9200000167</v>
      </c>
      <c r="F117" s="188">
        <f t="shared" si="10"/>
        <v>4999454.0900013447</v>
      </c>
      <c r="G117" s="188">
        <f t="shared" si="10"/>
        <v>209051.39000034332</v>
      </c>
      <c r="H117" s="188">
        <f t="shared" si="10"/>
        <v>6558860</v>
      </c>
      <c r="I117" s="188">
        <f t="shared" si="10"/>
        <v>670683.56000053883</v>
      </c>
      <c r="J117" s="188">
        <f t="shared" si="10"/>
        <v>-25.329999998211861</v>
      </c>
      <c r="K117" s="188">
        <f t="shared" si="10"/>
        <v>-5196</v>
      </c>
      <c r="L117" s="188">
        <f t="shared" si="10"/>
        <v>91848.79999999702</v>
      </c>
      <c r="M117" s="527">
        <f t="shared" si="11"/>
        <v>9129664.2800022066</v>
      </c>
    </row>
    <row r="118" spans="1:13" x14ac:dyDescent="0.2">
      <c r="A118" s="166">
        <f t="shared" si="12"/>
        <v>58</v>
      </c>
      <c r="B118" s="531" t="s">
        <v>963</v>
      </c>
      <c r="C118" s="188">
        <f t="shared" si="10"/>
        <v>0</v>
      </c>
      <c r="D118" s="188">
        <f t="shared" si="10"/>
        <v>19901.070000037551</v>
      </c>
      <c r="E118" s="188">
        <f t="shared" si="10"/>
        <v>580977.58999985456</v>
      </c>
      <c r="F118" s="188">
        <f t="shared" si="10"/>
        <v>15425688.649999619</v>
      </c>
      <c r="G118" s="188">
        <f t="shared" si="10"/>
        <v>2450930.7899997234</v>
      </c>
      <c r="H118" s="188">
        <f t="shared" si="10"/>
        <v>6963906.2699999511</v>
      </c>
      <c r="I118" s="188">
        <f t="shared" si="10"/>
        <v>503241.77999973297</v>
      </c>
      <c r="J118" s="188">
        <f t="shared" si="10"/>
        <v>1074.0300000011921</v>
      </c>
      <c r="K118" s="188">
        <f t="shared" si="10"/>
        <v>-115030.57999998331</v>
      </c>
      <c r="L118" s="188">
        <f t="shared" si="10"/>
        <v>40252.860000014305</v>
      </c>
      <c r="M118" s="527">
        <f t="shared" si="11"/>
        <v>25870942.45999895</v>
      </c>
    </row>
    <row r="119" spans="1:13" x14ac:dyDescent="0.2">
      <c r="A119" s="166">
        <f t="shared" si="12"/>
        <v>59</v>
      </c>
      <c r="B119" s="531" t="s">
        <v>964</v>
      </c>
      <c r="C119" s="188">
        <f t="shared" si="10"/>
        <v>-3.7252902984619141E-9</v>
      </c>
      <c r="D119" s="188">
        <f t="shared" si="10"/>
        <v>72265.869999960065</v>
      </c>
      <c r="E119" s="188">
        <f t="shared" si="10"/>
        <v>575659.72000020742</v>
      </c>
      <c r="F119" s="188">
        <f t="shared" si="10"/>
        <v>32179860.879999161</v>
      </c>
      <c r="G119" s="188">
        <f t="shared" si="10"/>
        <v>336138.66000008583</v>
      </c>
      <c r="H119" s="188">
        <f t="shared" si="10"/>
        <v>5880667.1900001168</v>
      </c>
      <c r="I119" s="188">
        <f t="shared" si="10"/>
        <v>721909.82999992371</v>
      </c>
      <c r="J119" s="188">
        <f t="shared" si="10"/>
        <v>-14457.530000001192</v>
      </c>
      <c r="K119" s="188">
        <f t="shared" si="10"/>
        <v>-12236.380000025034</v>
      </c>
      <c r="L119" s="188">
        <f t="shared" si="10"/>
        <v>24269.370000004768</v>
      </c>
      <c r="M119" s="527">
        <f t="shared" si="11"/>
        <v>39764077.609999433</v>
      </c>
    </row>
    <row r="120" spans="1:13" x14ac:dyDescent="0.2">
      <c r="A120" s="166">
        <f t="shared" si="12"/>
        <v>60</v>
      </c>
      <c r="B120" s="528" t="s">
        <v>965</v>
      </c>
      <c r="C120" s="188">
        <f t="shared" si="10"/>
        <v>62837.339999988675</v>
      </c>
      <c r="D120" s="188">
        <f t="shared" si="10"/>
        <v>7654630.6199999899</v>
      </c>
      <c r="E120" s="188">
        <f t="shared" si="10"/>
        <v>2067543.0700000823</v>
      </c>
      <c r="F120" s="188">
        <f t="shared" si="10"/>
        <v>15065049.590000868</v>
      </c>
      <c r="G120" s="188">
        <f t="shared" si="10"/>
        <v>-416784.86000061035</v>
      </c>
      <c r="H120" s="188">
        <f t="shared" si="10"/>
        <v>7461148.1099998951</v>
      </c>
      <c r="I120" s="188">
        <f t="shared" si="10"/>
        <v>688623.95999979973</v>
      </c>
      <c r="J120" s="188">
        <f t="shared" si="10"/>
        <v>1341180.3900000006</v>
      </c>
      <c r="K120" s="188">
        <f t="shared" si="10"/>
        <v>1186908.75</v>
      </c>
      <c r="L120" s="188">
        <f t="shared" si="10"/>
        <v>15429.169999986887</v>
      </c>
      <c r="M120" s="527">
        <f t="shared" si="11"/>
        <v>35126566.140000001</v>
      </c>
    </row>
    <row r="121" spans="1:13" x14ac:dyDescent="0.2">
      <c r="A121" s="166">
        <f t="shared" si="12"/>
        <v>61</v>
      </c>
      <c r="B121" s="531" t="s">
        <v>966</v>
      </c>
      <c r="C121" s="188">
        <f t="shared" si="10"/>
        <v>0</v>
      </c>
      <c r="D121" s="188">
        <f t="shared" si="10"/>
        <v>62835.379999995232</v>
      </c>
      <c r="E121" s="188">
        <f t="shared" si="10"/>
        <v>132643.81000000238</v>
      </c>
      <c r="F121" s="188">
        <f t="shared" si="10"/>
        <v>5923623.6600005627</v>
      </c>
      <c r="G121" s="188">
        <f t="shared" si="10"/>
        <v>6020833.0500006676</v>
      </c>
      <c r="H121" s="188">
        <f t="shared" si="10"/>
        <v>7811208.9900001287</v>
      </c>
      <c r="I121" s="188">
        <f t="shared" si="10"/>
        <v>20927574.619999766</v>
      </c>
      <c r="J121" s="188">
        <f t="shared" si="10"/>
        <v>1079.2899999991059</v>
      </c>
      <c r="K121" s="188">
        <f t="shared" si="10"/>
        <v>-231500.79999998212</v>
      </c>
      <c r="L121" s="188">
        <f t="shared" si="10"/>
        <v>2402715.1999999583</v>
      </c>
      <c r="M121" s="527">
        <f t="shared" si="11"/>
        <v>43051013.200001098</v>
      </c>
    </row>
    <row r="122" spans="1:13" x14ac:dyDescent="0.2">
      <c r="A122" s="166">
        <f t="shared" si="12"/>
        <v>62</v>
      </c>
      <c r="B122" s="531" t="s">
        <v>967</v>
      </c>
      <c r="C122" s="188">
        <f t="shared" si="10"/>
        <v>-162.81000000052154</v>
      </c>
      <c r="D122" s="188">
        <f t="shared" si="10"/>
        <v>69898.480000004172</v>
      </c>
      <c r="E122" s="188">
        <f t="shared" si="10"/>
        <v>1119467.4899998903</v>
      </c>
      <c r="F122" s="188">
        <f t="shared" si="10"/>
        <v>-9551103.470000267</v>
      </c>
      <c r="G122" s="188">
        <f t="shared" si="10"/>
        <v>331962.78999948502</v>
      </c>
      <c r="H122" s="188">
        <f t="shared" si="10"/>
        <v>4716179.4699999392</v>
      </c>
      <c r="I122" s="188">
        <f t="shared" si="10"/>
        <v>754381.50999999046</v>
      </c>
      <c r="J122" s="188">
        <f t="shared" si="10"/>
        <v>320905.78999999911</v>
      </c>
      <c r="K122" s="188">
        <f t="shared" si="10"/>
        <v>387639.03000000119</v>
      </c>
      <c r="L122" s="188">
        <f t="shared" si="10"/>
        <v>18125.240000009537</v>
      </c>
      <c r="M122" s="527">
        <f t="shared" si="11"/>
        <v>-1832706.4800009485</v>
      </c>
    </row>
    <row r="123" spans="1:13" x14ac:dyDescent="0.2">
      <c r="A123" s="166">
        <f t="shared" si="12"/>
        <v>63</v>
      </c>
      <c r="B123" s="528" t="s">
        <v>968</v>
      </c>
      <c r="C123" s="188">
        <f t="shared" si="10"/>
        <v>387886.49000000954</v>
      </c>
      <c r="D123" s="188">
        <f t="shared" si="10"/>
        <v>50788.209999993443</v>
      </c>
      <c r="E123" s="188">
        <f t="shared" si="10"/>
        <v>20656311.969999939</v>
      </c>
      <c r="F123" s="188">
        <f t="shared" si="10"/>
        <v>109735805.84999704</v>
      </c>
      <c r="G123" s="188">
        <f t="shared" si="10"/>
        <v>121830.90999984741</v>
      </c>
      <c r="H123" s="188">
        <f t="shared" si="10"/>
        <v>6184872.2200000584</v>
      </c>
      <c r="I123" s="188">
        <f t="shared" si="10"/>
        <v>-163416.91999971867</v>
      </c>
      <c r="J123" s="188">
        <f t="shared" si="10"/>
        <v>-3412232.5200000033</v>
      </c>
      <c r="K123" s="188">
        <f t="shared" si="10"/>
        <v>-4133649.2300000191</v>
      </c>
      <c r="L123" s="188">
        <f t="shared" si="10"/>
        <v>2416.0100000202656</v>
      </c>
      <c r="M123" s="527">
        <f t="shared" si="11"/>
        <v>129430612.98999715</v>
      </c>
    </row>
    <row r="124" spans="1:13" x14ac:dyDescent="0.2">
      <c r="A124" s="166">
        <f t="shared" si="12"/>
        <v>64</v>
      </c>
      <c r="B124" s="528" t="s">
        <v>969</v>
      </c>
      <c r="C124" s="188">
        <f t="shared" si="10"/>
        <v>-387886.49000000954</v>
      </c>
      <c r="D124" s="188">
        <f t="shared" si="10"/>
        <v>259.93000000715256</v>
      </c>
      <c r="E124" s="188">
        <f t="shared" si="10"/>
        <v>2545725.9900000393</v>
      </c>
      <c r="F124" s="188">
        <f t="shared" si="10"/>
        <v>3933944.1900029182</v>
      </c>
      <c r="G124" s="188">
        <f t="shared" si="10"/>
        <v>-149936.35000014305</v>
      </c>
      <c r="H124" s="188">
        <f t="shared" si="10"/>
        <v>8415173.939999938</v>
      </c>
      <c r="I124" s="188">
        <f t="shared" si="10"/>
        <v>186108.98000013828</v>
      </c>
      <c r="J124" s="188">
        <f t="shared" si="10"/>
        <v>-176582.32999999821</v>
      </c>
      <c r="K124" s="188">
        <f t="shared" si="10"/>
        <v>21215092.480000019</v>
      </c>
      <c r="L124" s="188">
        <f t="shared" si="10"/>
        <v>-382.66999998688698</v>
      </c>
      <c r="M124" s="527">
        <f t="shared" si="11"/>
        <v>35581517.670002922</v>
      </c>
    </row>
    <row r="125" spans="1:13" x14ac:dyDescent="0.2">
      <c r="A125" s="166">
        <f t="shared" si="12"/>
        <v>65</v>
      </c>
      <c r="B125" s="531" t="s">
        <v>970</v>
      </c>
      <c r="C125" s="181">
        <f t="shared" si="10"/>
        <v>154587.8900000006</v>
      </c>
      <c r="D125" s="181">
        <f t="shared" si="10"/>
        <v>-145804.65999999642</v>
      </c>
      <c r="E125" s="181">
        <f t="shared" si="10"/>
        <v>19978269.550000221</v>
      </c>
      <c r="F125" s="181">
        <f t="shared" si="10"/>
        <v>44026762.309999228</v>
      </c>
      <c r="G125" s="181">
        <f t="shared" si="10"/>
        <v>939724.13000011444</v>
      </c>
      <c r="H125" s="181">
        <f t="shared" si="10"/>
        <v>25379037.189999938</v>
      </c>
      <c r="I125" s="181">
        <f t="shared" si="10"/>
        <v>3994832.0799998045</v>
      </c>
      <c r="J125" s="181">
        <f t="shared" si="10"/>
        <v>66935.14999999851</v>
      </c>
      <c r="K125" s="181">
        <f t="shared" si="10"/>
        <v>1558101.9799999595</v>
      </c>
      <c r="L125" s="181">
        <f t="shared" si="10"/>
        <v>109080.13999998569</v>
      </c>
      <c r="M125" s="539">
        <f t="shared" si="11"/>
        <v>96061525.759999245</v>
      </c>
    </row>
    <row r="126" spans="1:13" x14ac:dyDescent="0.2">
      <c r="A126" s="166">
        <f t="shared" si="12"/>
        <v>66</v>
      </c>
      <c r="B126" s="535" t="s">
        <v>166</v>
      </c>
      <c r="C126" s="527">
        <f>SUM(C114:C125)</f>
        <v>216912.98999999277</v>
      </c>
      <c r="D126" s="527">
        <f t="shared" ref="D126:L126" si="13">SUM(D114:D125)</f>
        <v>7992822.7500000149</v>
      </c>
      <c r="E126" s="527">
        <f t="shared" si="13"/>
        <v>52618876.53000018</v>
      </c>
      <c r="F126" s="527">
        <f t="shared" si="13"/>
        <v>252083743.09000039</v>
      </c>
      <c r="G126" s="527">
        <f t="shared" si="13"/>
        <v>12312720.049999237</v>
      </c>
      <c r="H126" s="527">
        <f t="shared" si="13"/>
        <v>100936417.20000002</v>
      </c>
      <c r="I126" s="527">
        <f t="shared" si="13"/>
        <v>34928092.119999886</v>
      </c>
      <c r="J126" s="527">
        <f t="shared" si="13"/>
        <v>4782395.9199999943</v>
      </c>
      <c r="K126" s="527">
        <f t="shared" si="13"/>
        <v>20142236.74999997</v>
      </c>
      <c r="L126" s="527">
        <f t="shared" si="13"/>
        <v>3733093.2399999946</v>
      </c>
      <c r="M126" s="527">
        <f>SUM(M114:M125)</f>
        <v>489747310.63999963</v>
      </c>
    </row>
    <row r="128" spans="1:13" x14ac:dyDescent="0.2">
      <c r="B128" s="162" t="s">
        <v>759</v>
      </c>
    </row>
    <row r="129" spans="1:13" x14ac:dyDescent="0.2">
      <c r="B129" s="247" t="s">
        <v>760</v>
      </c>
    </row>
    <row r="130" spans="1:13" x14ac:dyDescent="0.2">
      <c r="B130" s="168"/>
      <c r="C130" s="227">
        <v>350.1</v>
      </c>
      <c r="D130" s="227">
        <v>350.2</v>
      </c>
      <c r="E130" s="227">
        <v>352</v>
      </c>
      <c r="F130" s="227">
        <v>353</v>
      </c>
      <c r="G130" s="227">
        <v>354</v>
      </c>
      <c r="H130" s="227">
        <v>355</v>
      </c>
      <c r="I130" s="227">
        <v>356</v>
      </c>
      <c r="J130" s="227">
        <v>357</v>
      </c>
      <c r="K130" s="227">
        <v>358</v>
      </c>
      <c r="L130" s="227">
        <v>359</v>
      </c>
      <c r="M130" s="170" t="s">
        <v>325</v>
      </c>
    </row>
    <row r="131" spans="1:13" x14ac:dyDescent="0.2">
      <c r="A131" s="166">
        <f>A126+1</f>
        <v>67</v>
      </c>
      <c r="B131" s="168"/>
      <c r="C131" s="221">
        <f t="shared" ref="C131:M131" si="14">C23-C11</f>
        <v>2191399.7208648473</v>
      </c>
      <c r="D131" s="221">
        <f t="shared" si="14"/>
        <v>4676533.164119035</v>
      </c>
      <c r="E131" s="221">
        <f t="shared" si="14"/>
        <v>42132274.384457469</v>
      </c>
      <c r="F131" s="221">
        <f t="shared" si="14"/>
        <v>110065796.46250391</v>
      </c>
      <c r="G131" s="179">
        <f t="shared" si="14"/>
        <v>378456286.17277288</v>
      </c>
      <c r="H131" s="179">
        <f t="shared" si="14"/>
        <v>79981184.544935435</v>
      </c>
      <c r="I131" s="179">
        <f t="shared" si="14"/>
        <v>195058469.83758831</v>
      </c>
      <c r="J131" s="221">
        <f t="shared" si="14"/>
        <v>4215.5060913148045</v>
      </c>
      <c r="K131" s="221">
        <f t="shared" si="14"/>
        <v>17614.669060958549</v>
      </c>
      <c r="L131" s="179">
        <f t="shared" si="14"/>
        <v>107385382.01413703</v>
      </c>
      <c r="M131" s="179">
        <f t="shared" si="14"/>
        <v>919969156.47653103</v>
      </c>
    </row>
    <row r="132" spans="1:13" x14ac:dyDescent="0.2">
      <c r="B132" s="168"/>
      <c r="C132" s="221"/>
      <c r="D132" s="221"/>
      <c r="E132" s="221"/>
      <c r="F132" s="221"/>
      <c r="G132" s="221"/>
      <c r="H132" s="221"/>
      <c r="I132" s="221"/>
      <c r="J132" s="221"/>
      <c r="K132" s="221"/>
      <c r="L132" s="221"/>
      <c r="M132" s="221"/>
    </row>
    <row r="133" spans="1:13" x14ac:dyDescent="0.2">
      <c r="B133" s="247" t="s">
        <v>761</v>
      </c>
      <c r="C133" s="221"/>
      <c r="D133" s="221"/>
      <c r="E133" s="221"/>
      <c r="F133" s="221"/>
      <c r="G133" s="221"/>
      <c r="H133" s="221"/>
      <c r="I133" s="221"/>
      <c r="J133" s="221"/>
      <c r="K133" s="221"/>
      <c r="L133" s="221"/>
      <c r="M133" s="221"/>
    </row>
    <row r="134" spans="1:13" x14ac:dyDescent="0.2">
      <c r="B134" s="168"/>
      <c r="C134" s="227">
        <v>350.1</v>
      </c>
      <c r="D134" s="227">
        <v>350.2</v>
      </c>
      <c r="E134" s="227">
        <v>352</v>
      </c>
      <c r="F134" s="227">
        <v>353</v>
      </c>
      <c r="G134" s="227">
        <v>354</v>
      </c>
      <c r="H134" s="227">
        <v>355</v>
      </c>
      <c r="I134" s="227">
        <v>356</v>
      </c>
      <c r="J134" s="227">
        <v>357</v>
      </c>
      <c r="K134" s="227">
        <v>358</v>
      </c>
      <c r="L134" s="227">
        <v>359</v>
      </c>
      <c r="M134" s="170" t="s">
        <v>325</v>
      </c>
    </row>
    <row r="135" spans="1:13" x14ac:dyDescent="0.2">
      <c r="A135" s="166">
        <f>A131+1</f>
        <v>68</v>
      </c>
      <c r="B135" s="168"/>
      <c r="C135" s="221">
        <f t="shared" ref="C135:M135" si="15">C106</f>
        <v>1157920.4399999995</v>
      </c>
      <c r="D135" s="221">
        <f t="shared" si="15"/>
        <v>-1050639.9699999839</v>
      </c>
      <c r="E135" s="221">
        <f t="shared" si="15"/>
        <v>5250422.2399999201</v>
      </c>
      <c r="F135" s="221">
        <f t="shared" si="15"/>
        <v>-399757.58000016212</v>
      </c>
      <c r="G135" s="221">
        <f t="shared" si="15"/>
        <v>364157780.6900003</v>
      </c>
      <c r="H135" s="221">
        <f t="shared" si="15"/>
        <v>68960844.390000015</v>
      </c>
      <c r="I135" s="221">
        <f t="shared" si="15"/>
        <v>171751702.55000019</v>
      </c>
      <c r="J135" s="221">
        <f t="shared" si="15"/>
        <v>0</v>
      </c>
      <c r="K135" s="221">
        <f t="shared" si="15"/>
        <v>0</v>
      </c>
      <c r="L135" s="221">
        <f t="shared" si="15"/>
        <v>103589397.56</v>
      </c>
      <c r="M135" s="221">
        <f t="shared" si="15"/>
        <v>713417670.32000017</v>
      </c>
    </row>
    <row r="136" spans="1:13" x14ac:dyDescent="0.2">
      <c r="B136" s="168"/>
      <c r="C136" s="221"/>
      <c r="D136" s="221"/>
      <c r="E136" s="221"/>
      <c r="F136" s="221"/>
      <c r="G136" s="221"/>
      <c r="H136" s="221"/>
      <c r="I136" s="221"/>
      <c r="J136" s="221"/>
      <c r="K136" s="221"/>
      <c r="L136" s="221"/>
      <c r="M136" s="221"/>
    </row>
    <row r="137" spans="1:13" x14ac:dyDescent="0.2">
      <c r="B137" s="247" t="s">
        <v>762</v>
      </c>
      <c r="C137" s="221"/>
      <c r="D137" s="221"/>
      <c r="E137" s="221"/>
      <c r="F137" s="221"/>
      <c r="G137" s="221"/>
      <c r="H137" s="221"/>
      <c r="I137" s="221"/>
      <c r="J137" s="221"/>
      <c r="K137" s="221"/>
      <c r="L137" s="221"/>
      <c r="M137" s="221"/>
    </row>
    <row r="138" spans="1:13" x14ac:dyDescent="0.2">
      <c r="C138" s="227">
        <v>350.1</v>
      </c>
      <c r="D138" s="227">
        <v>350.2</v>
      </c>
      <c r="E138" s="227">
        <v>352</v>
      </c>
      <c r="F138" s="227">
        <v>353</v>
      </c>
      <c r="G138" s="227">
        <v>354</v>
      </c>
      <c r="H138" s="227">
        <v>355</v>
      </c>
      <c r="I138" s="227">
        <v>356</v>
      </c>
      <c r="J138" s="227">
        <v>357</v>
      </c>
      <c r="K138" s="227">
        <v>358</v>
      </c>
      <c r="L138" s="227">
        <v>359</v>
      </c>
      <c r="M138" s="170" t="s">
        <v>325</v>
      </c>
    </row>
    <row r="139" spans="1:13" x14ac:dyDescent="0.2">
      <c r="A139" s="166">
        <f>A135+1</f>
        <v>69</v>
      </c>
      <c r="C139" s="221">
        <f t="shared" ref="C139:M139" si="16">C131-C135</f>
        <v>1033479.2808648478</v>
      </c>
      <c r="D139" s="221">
        <f t="shared" si="16"/>
        <v>5727173.1341190189</v>
      </c>
      <c r="E139" s="221">
        <f t="shared" si="16"/>
        <v>36881852.144457549</v>
      </c>
      <c r="F139" s="221">
        <f t="shared" si="16"/>
        <v>110465554.04250407</v>
      </c>
      <c r="G139" s="179">
        <f t="shared" si="16"/>
        <v>14298505.482772589</v>
      </c>
      <c r="H139" s="179">
        <f t="shared" si="16"/>
        <v>11020340.15493542</v>
      </c>
      <c r="I139" s="179">
        <f t="shared" si="16"/>
        <v>23306767.28758812</v>
      </c>
      <c r="J139" s="221">
        <f t="shared" si="16"/>
        <v>4215.5060913148045</v>
      </c>
      <c r="K139" s="221">
        <f t="shared" si="16"/>
        <v>17614.669060958549</v>
      </c>
      <c r="L139" s="179">
        <f t="shared" si="16"/>
        <v>3795984.4541370273</v>
      </c>
      <c r="M139" s="179">
        <f t="shared" si="16"/>
        <v>206551486.15653086</v>
      </c>
    </row>
    <row r="141" spans="1:13" x14ac:dyDescent="0.2">
      <c r="B141" s="183" t="s">
        <v>763</v>
      </c>
      <c r="C141" s="163"/>
      <c r="D141" s="163"/>
      <c r="E141" s="163"/>
      <c r="F141" s="163"/>
      <c r="G141" s="163"/>
    </row>
    <row r="142" spans="1:13" x14ac:dyDescent="0.2">
      <c r="A142" s="517"/>
      <c r="B142" s="241" t="s">
        <v>152</v>
      </c>
      <c r="C142" s="241" t="s">
        <v>153</v>
      </c>
      <c r="D142" s="241" t="s">
        <v>154</v>
      </c>
      <c r="E142" s="241" t="s">
        <v>155</v>
      </c>
      <c r="F142" s="241" t="s">
        <v>371</v>
      </c>
      <c r="G142" s="241" t="s">
        <v>372</v>
      </c>
      <c r="H142" s="227" t="s">
        <v>386</v>
      </c>
      <c r="I142" s="227" t="s">
        <v>387</v>
      </c>
      <c r="J142" s="227" t="s">
        <v>388</v>
      </c>
      <c r="K142" s="227" t="s">
        <v>389</v>
      </c>
      <c r="L142" s="227" t="s">
        <v>390</v>
      </c>
      <c r="M142" s="227" t="s">
        <v>391</v>
      </c>
    </row>
    <row r="143" spans="1:13" x14ac:dyDescent="0.2">
      <c r="A143" s="518"/>
      <c r="B143" s="522"/>
      <c r="C143" s="536"/>
      <c r="D143" s="536"/>
      <c r="E143" s="536"/>
      <c r="F143" s="562"/>
      <c r="G143" s="536"/>
      <c r="H143" s="518"/>
      <c r="I143" s="518"/>
      <c r="J143" s="518"/>
      <c r="K143" s="518"/>
      <c r="L143" s="518"/>
      <c r="M143" s="523" t="s">
        <v>714</v>
      </c>
    </row>
    <row r="144" spans="1:13" x14ac:dyDescent="0.2">
      <c r="A144" s="518"/>
      <c r="B144" s="171"/>
      <c r="C144" s="241"/>
      <c r="D144" s="241"/>
      <c r="E144" s="536"/>
      <c r="F144" s="536"/>
      <c r="G144" s="536"/>
      <c r="H144" s="518"/>
      <c r="I144" s="518"/>
      <c r="J144" s="518"/>
      <c r="K144" s="518"/>
      <c r="L144" s="518"/>
    </row>
    <row r="145" spans="1:13" x14ac:dyDescent="0.2">
      <c r="A145" s="169"/>
      <c r="B145" s="207" t="s">
        <v>715</v>
      </c>
      <c r="C145" s="241">
        <v>350.1</v>
      </c>
      <c r="D145" s="241">
        <v>350.2</v>
      </c>
      <c r="E145" s="241">
        <v>352</v>
      </c>
      <c r="F145" s="241">
        <v>353</v>
      </c>
      <c r="G145" s="241">
        <v>354</v>
      </c>
      <c r="H145" s="227">
        <v>355</v>
      </c>
      <c r="I145" s="227">
        <v>356</v>
      </c>
      <c r="J145" s="227">
        <v>357</v>
      </c>
      <c r="K145" s="227">
        <v>358</v>
      </c>
      <c r="L145" s="227">
        <v>359</v>
      </c>
      <c r="M145" s="170" t="s">
        <v>325</v>
      </c>
    </row>
    <row r="146" spans="1:13" x14ac:dyDescent="0.2">
      <c r="A146" s="166">
        <f>A139+1</f>
        <v>70</v>
      </c>
      <c r="B146" s="528" t="s">
        <v>959</v>
      </c>
      <c r="C146" s="188">
        <f t="shared" ref="C146:C157" si="17">C114*($C$139/$C$126)</f>
        <v>0</v>
      </c>
      <c r="D146" s="188">
        <f t="shared" ref="D146:D157" si="18">D114*($D$139/$D$126)</f>
        <v>-2033.2739520018522</v>
      </c>
      <c r="E146" s="188">
        <f t="shared" ref="E146:E157" si="19">E114*($E$139/$E$126)</f>
        <v>2420331.9922195873</v>
      </c>
      <c r="F146" s="188">
        <f t="shared" ref="F146:F157" si="20">F114*($F$139/$F$126)</f>
        <v>3740392.6557685584</v>
      </c>
      <c r="G146" s="186">
        <f t="shared" ref="G146:G157" si="21">G114*($G$139/$G$126)</f>
        <v>2476106.0212851535</v>
      </c>
      <c r="H146" s="186">
        <f t="shared" ref="H146:H157" si="22">H114*($H$139/$H$126)</f>
        <v>1248740.7921332207</v>
      </c>
      <c r="I146" s="186">
        <f t="shared" ref="I146:I157" si="23">I114*($I$139/$I$126)</f>
        <v>3343005.5098054162</v>
      </c>
      <c r="J146" s="188">
        <f t="shared" ref="J146:J157" si="24">J114*($J$139/$J$126)</f>
        <v>5440.8695641048607</v>
      </c>
      <c r="K146" s="188">
        <f t="shared" ref="K146:K157" si="25">K114*($K$139/$K$126)</f>
        <v>250.06495799504208</v>
      </c>
      <c r="L146" s="186">
        <f t="shared" ref="L146:L157" si="26">L114*($L$139/$L$126)</f>
        <v>797748.03146017145</v>
      </c>
      <c r="M146" s="573">
        <f t="shared" ref="M146:M157" si="27">SUM(C146:L146)</f>
        <v>14029982.663242208</v>
      </c>
    </row>
    <row r="147" spans="1:13" x14ac:dyDescent="0.2">
      <c r="A147" s="166">
        <f t="shared" ref="A147:A158" si="28">A146+1</f>
        <v>71</v>
      </c>
      <c r="B147" s="531" t="s">
        <v>960</v>
      </c>
      <c r="C147" s="188">
        <f t="shared" si="17"/>
        <v>-1664.8549499253493</v>
      </c>
      <c r="D147" s="188">
        <f t="shared" si="18"/>
        <v>136600.43625525365</v>
      </c>
      <c r="E147" s="188">
        <f t="shared" si="19"/>
        <v>520333.63488246128</v>
      </c>
      <c r="F147" s="188">
        <f t="shared" si="20"/>
        <v>3760175.9767364031</v>
      </c>
      <c r="G147" s="186">
        <f t="shared" si="21"/>
        <v>-957492.45412916981</v>
      </c>
      <c r="H147" s="186">
        <f t="shared" si="22"/>
        <v>606612.62420287041</v>
      </c>
      <c r="I147" s="186">
        <f t="shared" si="23"/>
        <v>730101.78404073336</v>
      </c>
      <c r="J147" s="188">
        <f t="shared" si="24"/>
        <v>423.46316218305537</v>
      </c>
      <c r="K147" s="188">
        <f t="shared" si="25"/>
        <v>28.632534512239594</v>
      </c>
      <c r="L147" s="186">
        <f t="shared" si="26"/>
        <v>161177.89753991354</v>
      </c>
      <c r="M147" s="573">
        <f t="shared" si="27"/>
        <v>4956297.1402752353</v>
      </c>
    </row>
    <row r="148" spans="1:13" x14ac:dyDescent="0.2">
      <c r="A148" s="166">
        <f t="shared" si="28"/>
        <v>72</v>
      </c>
      <c r="B148" s="531" t="s">
        <v>961</v>
      </c>
      <c r="C148" s="188">
        <f t="shared" si="17"/>
        <v>0</v>
      </c>
      <c r="D148" s="188">
        <f t="shared" si="18"/>
        <v>11706.607220008544</v>
      </c>
      <c r="E148" s="188">
        <f t="shared" si="19"/>
        <v>2919901.8785533831</v>
      </c>
      <c r="F148" s="188">
        <f t="shared" si="20"/>
        <v>5796756.0747700483</v>
      </c>
      <c r="G148" s="186">
        <f t="shared" si="21"/>
        <v>1348549.3636284897</v>
      </c>
      <c r="H148" s="186">
        <f t="shared" si="22"/>
        <v>499174.82484798407</v>
      </c>
      <c r="I148" s="186">
        <f t="shared" si="23"/>
        <v>360393.41773620463</v>
      </c>
      <c r="J148" s="188">
        <f t="shared" si="24"/>
        <v>1.3809796070150437</v>
      </c>
      <c r="K148" s="188">
        <f t="shared" si="25"/>
        <v>-23.245379289321551</v>
      </c>
      <c r="L148" s="186">
        <f t="shared" si="26"/>
        <v>87754.409890971394</v>
      </c>
      <c r="M148" s="573">
        <f t="shared" si="27"/>
        <v>11024214.712247407</v>
      </c>
    </row>
    <row r="149" spans="1:13" x14ac:dyDescent="0.2">
      <c r="A149" s="166">
        <f t="shared" si="28"/>
        <v>73</v>
      </c>
      <c r="B149" s="528" t="s">
        <v>962</v>
      </c>
      <c r="C149" s="188">
        <f t="shared" si="17"/>
        <v>0</v>
      </c>
      <c r="D149" s="188">
        <f t="shared" si="18"/>
        <v>2800.7307377842167</v>
      </c>
      <c r="E149" s="188">
        <f t="shared" si="19"/>
        <v>-2382386.4568957915</v>
      </c>
      <c r="F149" s="188">
        <f t="shared" si="20"/>
        <v>2190809.5269947173</v>
      </c>
      <c r="G149" s="186">
        <f t="shared" si="21"/>
        <v>242767.02742878694</v>
      </c>
      <c r="H149" s="186">
        <f t="shared" si="22"/>
        <v>716102.97089680843</v>
      </c>
      <c r="I149" s="186">
        <f t="shared" si="23"/>
        <v>447532.76539811626</v>
      </c>
      <c r="J149" s="188">
        <f t="shared" si="24"/>
        <v>-2.2327463278169202E-2</v>
      </c>
      <c r="K149" s="188">
        <f t="shared" si="25"/>
        <v>-4.5439750101607146</v>
      </c>
      <c r="L149" s="186">
        <f t="shared" si="26"/>
        <v>93396.171623918548</v>
      </c>
      <c r="M149" s="573">
        <f t="shared" si="27"/>
        <v>1311018.169881867</v>
      </c>
    </row>
    <row r="150" spans="1:13" x14ac:dyDescent="0.2">
      <c r="A150" s="166">
        <f t="shared" si="28"/>
        <v>74</v>
      </c>
      <c r="B150" s="531" t="s">
        <v>963</v>
      </c>
      <c r="C150" s="188">
        <f t="shared" si="17"/>
        <v>0</v>
      </c>
      <c r="D150" s="188">
        <f t="shared" si="18"/>
        <v>14259.902541243873</v>
      </c>
      <c r="E150" s="188">
        <f t="shared" si="19"/>
        <v>407221.3431125083</v>
      </c>
      <c r="F150" s="188">
        <f t="shared" si="20"/>
        <v>6759687.1671371525</v>
      </c>
      <c r="G150" s="186">
        <f t="shared" si="21"/>
        <v>2846214.9059183206</v>
      </c>
      <c r="H150" s="186">
        <f t="shared" si="22"/>
        <v>760326.3324714778</v>
      </c>
      <c r="I150" s="186">
        <f t="shared" si="23"/>
        <v>335802.45424081961</v>
      </c>
      <c r="J150" s="188">
        <f t="shared" si="24"/>
        <v>0.94671793866449061</v>
      </c>
      <c r="K150" s="188">
        <f t="shared" si="25"/>
        <v>-100.59585853044977</v>
      </c>
      <c r="L150" s="186">
        <f t="shared" si="26"/>
        <v>40930.997693111116</v>
      </c>
      <c r="M150" s="573">
        <f t="shared" si="27"/>
        <v>11164343.45397404</v>
      </c>
    </row>
    <row r="151" spans="1:13" x14ac:dyDescent="0.2">
      <c r="A151" s="166">
        <f t="shared" si="28"/>
        <v>75</v>
      </c>
      <c r="B151" s="531" t="s">
        <v>964</v>
      </c>
      <c r="C151" s="188">
        <f t="shared" si="17"/>
        <v>-1.7749099944025212E-8</v>
      </c>
      <c r="D151" s="188">
        <f t="shared" si="18"/>
        <v>51781.349608623328</v>
      </c>
      <c r="E151" s="188">
        <f t="shared" si="19"/>
        <v>403493.9185077924</v>
      </c>
      <c r="F151" s="188">
        <f t="shared" si="20"/>
        <v>14101528.791766103</v>
      </c>
      <c r="G151" s="186">
        <f t="shared" si="21"/>
        <v>390350.82853064267</v>
      </c>
      <c r="H151" s="186">
        <f t="shared" si="22"/>
        <v>642057.19372184644</v>
      </c>
      <c r="I151" s="186">
        <f t="shared" si="23"/>
        <v>481714.95747963508</v>
      </c>
      <c r="J151" s="188">
        <f t="shared" si="24"/>
        <v>-12.743780899756961</v>
      </c>
      <c r="K151" s="188">
        <f t="shared" si="25"/>
        <v>-10.700886246140129</v>
      </c>
      <c r="L151" s="186">
        <f t="shared" si="26"/>
        <v>24678.23472625553</v>
      </c>
      <c r="M151" s="573">
        <f t="shared" si="27"/>
        <v>16095581.829673735</v>
      </c>
    </row>
    <row r="152" spans="1:13" x14ac:dyDescent="0.2">
      <c r="A152" s="166">
        <f t="shared" si="28"/>
        <v>76</v>
      </c>
      <c r="B152" s="528" t="s">
        <v>965</v>
      </c>
      <c r="C152" s="188">
        <f t="shared" si="17"/>
        <v>299387.73585966608</v>
      </c>
      <c r="D152" s="188">
        <f t="shared" si="18"/>
        <v>5484845.1178863775</v>
      </c>
      <c r="E152" s="188">
        <f t="shared" si="19"/>
        <v>1449191.2948115659</v>
      </c>
      <c r="F152" s="188">
        <f t="shared" si="20"/>
        <v>6601651.6148091843</v>
      </c>
      <c r="G152" s="186">
        <f t="shared" si="21"/>
        <v>-484003.58179634745</v>
      </c>
      <c r="H152" s="186">
        <f t="shared" si="22"/>
        <v>814615.69966000679</v>
      </c>
      <c r="I152" s="186">
        <f t="shared" si="23"/>
        <v>459504.0098162904</v>
      </c>
      <c r="J152" s="188">
        <f t="shared" si="24"/>
        <v>1182.2011807832453</v>
      </c>
      <c r="K152" s="188">
        <f t="shared" si="25"/>
        <v>1037.9683793958989</v>
      </c>
      <c r="L152" s="186">
        <f t="shared" si="26"/>
        <v>15689.104368630155</v>
      </c>
      <c r="M152" s="573">
        <f t="shared" si="27"/>
        <v>14643101.164975552</v>
      </c>
    </row>
    <row r="153" spans="1:13" x14ac:dyDescent="0.2">
      <c r="A153" s="166">
        <f t="shared" si="28"/>
        <v>77</v>
      </c>
      <c r="B153" s="531" t="s">
        <v>966</v>
      </c>
      <c r="C153" s="188">
        <f t="shared" si="17"/>
        <v>0</v>
      </c>
      <c r="D153" s="188">
        <f t="shared" si="18"/>
        <v>45024.031116933198</v>
      </c>
      <c r="E153" s="188">
        <f t="shared" si="19"/>
        <v>92973.277099681</v>
      </c>
      <c r="F153" s="188">
        <f t="shared" si="20"/>
        <v>2595789.6432362394</v>
      </c>
      <c r="G153" s="186">
        <f t="shared" si="21"/>
        <v>6991868.0865564132</v>
      </c>
      <c r="H153" s="186">
        <f t="shared" si="22"/>
        <v>852835.70072161185</v>
      </c>
      <c r="I153" s="186">
        <f t="shared" si="23"/>
        <v>13964522.021020468</v>
      </c>
      <c r="J153" s="188">
        <f t="shared" si="24"/>
        <v>0.95135443518264617</v>
      </c>
      <c r="K153" s="188">
        <f t="shared" si="25"/>
        <v>-202.45070246961745</v>
      </c>
      <c r="L153" s="186">
        <f t="shared" si="26"/>
        <v>2443193.6093079187</v>
      </c>
      <c r="M153" s="573">
        <f t="shared" si="27"/>
        <v>26986004.869711235</v>
      </c>
    </row>
    <row r="154" spans="1:13" x14ac:dyDescent="0.2">
      <c r="A154" s="166">
        <f t="shared" si="28"/>
        <v>78</v>
      </c>
      <c r="B154" s="531" t="s">
        <v>967</v>
      </c>
      <c r="C154" s="188">
        <f t="shared" si="17"/>
        <v>-775.70624847387182</v>
      </c>
      <c r="D154" s="188">
        <f t="shared" si="18"/>
        <v>50085.021186260979</v>
      </c>
      <c r="E154" s="188">
        <f t="shared" si="19"/>
        <v>784662.02947459288</v>
      </c>
      <c r="F154" s="188">
        <f t="shared" si="20"/>
        <v>-4185386.6639633966</v>
      </c>
      <c r="G154" s="186">
        <f t="shared" si="21"/>
        <v>385501.47762714839</v>
      </c>
      <c r="H154" s="186">
        <f t="shared" si="22"/>
        <v>514917.24625155772</v>
      </c>
      <c r="I154" s="186">
        <f t="shared" si="23"/>
        <v>503382.61360578332</v>
      </c>
      <c r="J154" s="188">
        <f t="shared" si="24"/>
        <v>282.86664992035776</v>
      </c>
      <c r="K154" s="188">
        <f t="shared" si="25"/>
        <v>338.99577853790316</v>
      </c>
      <c r="L154" s="186">
        <f t="shared" si="26"/>
        <v>18430.594909957006</v>
      </c>
      <c r="M154" s="573">
        <f t="shared" si="27"/>
        <v>-1928561.5247281119</v>
      </c>
    </row>
    <row r="155" spans="1:13" x14ac:dyDescent="0.2">
      <c r="A155" s="166">
        <f t="shared" si="28"/>
        <v>79</v>
      </c>
      <c r="B155" s="528" t="s">
        <v>968</v>
      </c>
      <c r="C155" s="188">
        <f t="shared" si="17"/>
        <v>1848080.4249778364</v>
      </c>
      <c r="D155" s="188">
        <f t="shared" si="18"/>
        <v>36391.758073448684</v>
      </c>
      <c r="E155" s="188">
        <f t="shared" si="19"/>
        <v>14478512.164602535</v>
      </c>
      <c r="F155" s="188">
        <f t="shared" si="20"/>
        <v>48087300.049304277</v>
      </c>
      <c r="G155" s="186">
        <f t="shared" si="21"/>
        <v>141479.69965451298</v>
      </c>
      <c r="H155" s="186">
        <f t="shared" si="22"/>
        <v>675270.60668457334</v>
      </c>
      <c r="I155" s="186">
        <f t="shared" si="23"/>
        <v>-109044.60833997194</v>
      </c>
      <c r="J155" s="188">
        <f t="shared" si="24"/>
        <v>-3007.757453306479</v>
      </c>
      <c r="K155" s="188">
        <f t="shared" si="25"/>
        <v>-3614.9343344669296</v>
      </c>
      <c r="L155" s="186">
        <f t="shared" si="26"/>
        <v>2456.7123860845595</v>
      </c>
      <c r="M155" s="573">
        <f t="shared" si="27"/>
        <v>65153824.115555525</v>
      </c>
    </row>
    <row r="156" spans="1:13" x14ac:dyDescent="0.2">
      <c r="A156" s="166">
        <f t="shared" si="28"/>
        <v>80</v>
      </c>
      <c r="B156" s="528" t="s">
        <v>969</v>
      </c>
      <c r="C156" s="188">
        <f t="shared" si="17"/>
        <v>-1848080.4249778364</v>
      </c>
      <c r="D156" s="188">
        <f t="shared" si="18"/>
        <v>186.25010954890973</v>
      </c>
      <c r="E156" s="188">
        <f t="shared" si="19"/>
        <v>1784361.3500556801</v>
      </c>
      <c r="F156" s="188">
        <f t="shared" si="20"/>
        <v>1723892.7000770981</v>
      </c>
      <c r="G156" s="186">
        <f t="shared" si="21"/>
        <v>-174117.96206185067</v>
      </c>
      <c r="H156" s="186">
        <f t="shared" si="22"/>
        <v>918777.20503980212</v>
      </c>
      <c r="I156" s="186">
        <f t="shared" si="23"/>
        <v>124186.53363863233</v>
      </c>
      <c r="J156" s="188">
        <f t="shared" si="24"/>
        <v>-155.65082861929889</v>
      </c>
      <c r="K156" s="188">
        <f t="shared" si="25"/>
        <v>18552.896471779943</v>
      </c>
      <c r="L156" s="188">
        <f t="shared" si="26"/>
        <v>-389.11682018819369</v>
      </c>
      <c r="M156" s="573">
        <f t="shared" si="27"/>
        <v>2547213.7807040466</v>
      </c>
    </row>
    <row r="157" spans="1:13" x14ac:dyDescent="0.2">
      <c r="A157" s="166">
        <f t="shared" si="28"/>
        <v>81</v>
      </c>
      <c r="B157" s="531" t="s">
        <v>970</v>
      </c>
      <c r="C157" s="181">
        <f t="shared" si="17"/>
        <v>736532.10620359867</v>
      </c>
      <c r="D157" s="181">
        <f t="shared" si="18"/>
        <v>-104474.796664462</v>
      </c>
      <c r="E157" s="181">
        <f t="shared" si="19"/>
        <v>14003255.718033554</v>
      </c>
      <c r="F157" s="181">
        <f t="shared" si="20"/>
        <v>19292956.505867686</v>
      </c>
      <c r="G157" s="178">
        <f t="shared" si="21"/>
        <v>1091282.0701304884</v>
      </c>
      <c r="H157" s="178">
        <f t="shared" si="22"/>
        <v>2770908.9583036602</v>
      </c>
      <c r="I157" s="178">
        <f t="shared" si="23"/>
        <v>2665665.8291459908</v>
      </c>
      <c r="J157" s="181">
        <f t="shared" si="24"/>
        <v>59.000872631236305</v>
      </c>
      <c r="K157" s="181">
        <f t="shared" si="25"/>
        <v>1362.5820747501434</v>
      </c>
      <c r="L157" s="178">
        <f t="shared" si="26"/>
        <v>110917.80705028326</v>
      </c>
      <c r="M157" s="575">
        <f t="shared" si="27"/>
        <v>40568465.781018183</v>
      </c>
    </row>
    <row r="158" spans="1:13" x14ac:dyDescent="0.2">
      <c r="A158" s="166">
        <f t="shared" si="28"/>
        <v>82</v>
      </c>
      <c r="B158" s="535" t="s">
        <v>166</v>
      </c>
      <c r="C158" s="527">
        <f>SUM(C146:C157)</f>
        <v>1033479.2808648478</v>
      </c>
      <c r="D158" s="527">
        <f t="shared" ref="D158:L158" si="29">SUM(D146:D157)</f>
        <v>5727173.1341190198</v>
      </c>
      <c r="E158" s="527">
        <f t="shared" si="29"/>
        <v>36881852.144457549</v>
      </c>
      <c r="F158" s="527">
        <f t="shared" si="29"/>
        <v>110465554.04250409</v>
      </c>
      <c r="G158" s="573">
        <f t="shared" si="29"/>
        <v>14298505.482772589</v>
      </c>
      <c r="H158" s="573">
        <f t="shared" si="29"/>
        <v>11020340.15493542</v>
      </c>
      <c r="I158" s="573">
        <f t="shared" si="29"/>
        <v>23306767.28758812</v>
      </c>
      <c r="J158" s="529">
        <f t="shared" si="29"/>
        <v>4215.5060913148054</v>
      </c>
      <c r="K158" s="527">
        <f t="shared" si="29"/>
        <v>17614.669060958549</v>
      </c>
      <c r="L158" s="573">
        <f t="shared" si="29"/>
        <v>3795984.4541370268</v>
      </c>
      <c r="M158" s="573">
        <f>SUM(M146:M157)</f>
        <v>206551486.15653092</v>
      </c>
    </row>
    <row r="160" spans="1:13" x14ac:dyDescent="0.2">
      <c r="B160" s="563" t="s">
        <v>297</v>
      </c>
    </row>
    <row r="161" spans="2:44" x14ac:dyDescent="0.2">
      <c r="B161" s="174" t="s">
        <v>764</v>
      </c>
      <c r="C161" s="163"/>
      <c r="D161" s="163"/>
      <c r="E161" s="163"/>
      <c r="F161" s="163"/>
      <c r="G161" s="163"/>
      <c r="H161" s="163"/>
      <c r="I161" s="163"/>
      <c r="J161" s="163"/>
      <c r="K161" s="163"/>
      <c r="L161" s="163"/>
    </row>
    <row r="162" spans="2:44" x14ac:dyDescent="0.2">
      <c r="B162" s="564" t="s">
        <v>765</v>
      </c>
      <c r="C162" s="174"/>
      <c r="D162" s="174"/>
      <c r="E162" s="174"/>
      <c r="F162" s="174"/>
      <c r="G162" s="174"/>
      <c r="H162" s="174"/>
      <c r="I162" s="163"/>
      <c r="J162" s="174"/>
      <c r="K162" s="174"/>
      <c r="L162" s="174"/>
      <c r="M162" s="174"/>
      <c r="N162" s="223"/>
      <c r="O162" s="223"/>
      <c r="P162" s="223"/>
      <c r="Q162" s="223"/>
      <c r="R162" s="223"/>
      <c r="S162" s="223"/>
      <c r="T162" s="223"/>
      <c r="U162" s="223"/>
      <c r="V162" s="223"/>
      <c r="W162" s="223"/>
      <c r="X162" s="223"/>
      <c r="Y162" s="223"/>
      <c r="Z162" s="223"/>
      <c r="AA162" s="223"/>
      <c r="AB162" s="223"/>
      <c r="AC162" s="223"/>
      <c r="AD162" s="223"/>
      <c r="AE162" s="223"/>
      <c r="AF162" s="223"/>
      <c r="AG162" s="223"/>
      <c r="AH162" s="223"/>
      <c r="AI162" s="223"/>
      <c r="AJ162" s="223"/>
      <c r="AK162" s="223"/>
      <c r="AL162" s="223"/>
      <c r="AM162" s="223"/>
      <c r="AN162" s="223"/>
      <c r="AO162" s="223"/>
      <c r="AP162" s="223"/>
      <c r="AQ162" s="223"/>
      <c r="AR162" s="223"/>
    </row>
    <row r="163" spans="2:44" x14ac:dyDescent="0.2">
      <c r="B163" s="163" t="s">
        <v>766</v>
      </c>
      <c r="C163" s="163"/>
      <c r="D163" s="163"/>
      <c r="E163" s="163"/>
      <c r="F163" s="163"/>
      <c r="G163" s="163"/>
      <c r="H163" s="163"/>
      <c r="I163" s="163"/>
      <c r="J163" s="163"/>
      <c r="K163" s="163"/>
      <c r="L163" s="163"/>
      <c r="M163" s="163"/>
    </row>
    <row r="164" spans="2:44" x14ac:dyDescent="0.2">
      <c r="B164" s="176" t="s">
        <v>767</v>
      </c>
      <c r="C164" s="163"/>
      <c r="D164" s="163"/>
      <c r="E164" s="163"/>
      <c r="F164" s="163"/>
      <c r="G164" s="163"/>
      <c r="H164" s="163"/>
      <c r="I164" s="163"/>
      <c r="J164" s="163"/>
      <c r="K164" s="163"/>
      <c r="L164" s="163"/>
      <c r="M164" s="163"/>
    </row>
    <row r="165" spans="2:44" x14ac:dyDescent="0.2">
      <c r="B165" s="176" t="s">
        <v>768</v>
      </c>
      <c r="C165" s="163"/>
      <c r="D165" s="163"/>
      <c r="E165" s="163"/>
      <c r="F165" s="163"/>
      <c r="G165" s="163"/>
      <c r="H165" s="163"/>
      <c r="I165" s="163"/>
      <c r="J165" s="163"/>
      <c r="K165" s="163"/>
      <c r="L165" s="163"/>
      <c r="M165" s="163"/>
    </row>
    <row r="166" spans="2:44" x14ac:dyDescent="0.2">
      <c r="B166" s="177" t="s">
        <v>769</v>
      </c>
      <c r="C166" s="163"/>
      <c r="D166" s="163"/>
      <c r="E166" s="163"/>
      <c r="F166" s="163"/>
      <c r="G166" s="163"/>
      <c r="H166" s="163"/>
      <c r="I166" s="163"/>
      <c r="J166" s="163"/>
      <c r="K166" s="163"/>
      <c r="L166" s="163"/>
      <c r="M166" s="163"/>
    </row>
    <row r="167" spans="2:44" x14ac:dyDescent="0.2">
      <c r="B167" s="174" t="s">
        <v>770</v>
      </c>
      <c r="C167" s="163"/>
      <c r="D167" s="163"/>
      <c r="E167" s="163"/>
      <c r="F167" s="163"/>
      <c r="G167" s="163"/>
      <c r="H167" s="163"/>
      <c r="I167" s="163"/>
      <c r="J167" s="163"/>
      <c r="K167" s="163"/>
      <c r="L167" s="163"/>
      <c r="M167" s="163"/>
    </row>
    <row r="168" spans="2:44" x14ac:dyDescent="0.2">
      <c r="B168" s="176" t="s">
        <v>771</v>
      </c>
      <c r="C168" s="163"/>
      <c r="D168" s="163"/>
      <c r="E168" s="163"/>
      <c r="F168" s="163"/>
      <c r="G168" s="163"/>
      <c r="H168" s="163"/>
      <c r="I168" s="163"/>
      <c r="J168" s="163"/>
      <c r="K168" s="163"/>
      <c r="L168" s="163"/>
      <c r="M168" s="163"/>
    </row>
    <row r="169" spans="2:44" x14ac:dyDescent="0.2">
      <c r="B169" s="176" t="s">
        <v>772</v>
      </c>
      <c r="C169" s="163"/>
      <c r="D169" s="163"/>
      <c r="E169" s="163"/>
      <c r="F169" s="163"/>
      <c r="G169" s="163"/>
      <c r="H169" s="163"/>
      <c r="I169" s="163"/>
      <c r="J169" s="163"/>
      <c r="K169" s="163"/>
      <c r="L169" s="163"/>
      <c r="M169" s="163"/>
    </row>
    <row r="170" spans="2:44" x14ac:dyDescent="0.2">
      <c r="B170" s="176" t="s">
        <v>773</v>
      </c>
      <c r="C170" s="163"/>
      <c r="D170" s="163"/>
      <c r="E170" s="163"/>
      <c r="F170" s="163"/>
      <c r="G170" s="163"/>
      <c r="H170" s="163"/>
      <c r="I170" s="163"/>
      <c r="J170" s="163"/>
      <c r="K170" s="163"/>
      <c r="L170" s="163"/>
      <c r="M170" s="163"/>
    </row>
    <row r="171" spans="2:44" x14ac:dyDescent="0.2">
      <c r="B171" s="174" t="str">
        <f>"2) Amounts on Line "&amp;A34&amp;" must match 6-Plant Study amounts for Distribution Plant - ISO for previous year."</f>
        <v>2) Amounts on Line 15 must match 6-Plant Study amounts for Distribution Plant - ISO for previous year.</v>
      </c>
      <c r="C171" s="163"/>
      <c r="D171" s="163"/>
      <c r="E171" s="163"/>
      <c r="F171" s="163"/>
      <c r="G171" s="163"/>
      <c r="H171" s="163"/>
      <c r="I171" s="163"/>
      <c r="J171" s="163"/>
      <c r="K171" s="163"/>
      <c r="L171" s="163"/>
    </row>
    <row r="172" spans="2:44" x14ac:dyDescent="0.2">
      <c r="B172" s="176" t="str">
        <f>"Amounts on Line "&amp;A35&amp;" must match amounts on 6-PlantStudy for Distribution Plant - ISO."</f>
        <v>Amounts on Line 16 must match amounts on 6-PlantStudy for Distribution Plant - ISO.</v>
      </c>
      <c r="C172" s="163"/>
      <c r="D172" s="163"/>
      <c r="E172" s="163"/>
      <c r="F172" s="163"/>
      <c r="G172" s="163"/>
      <c r="H172" s="163"/>
      <c r="I172" s="163"/>
      <c r="J172" s="163"/>
      <c r="K172" s="163"/>
      <c r="L172" s="163"/>
    </row>
    <row r="173" spans="2:44" x14ac:dyDescent="0.2">
      <c r="B173" s="174" t="s">
        <v>774</v>
      </c>
      <c r="C173" s="163"/>
      <c r="D173" s="163"/>
      <c r="E173" s="163"/>
      <c r="F173" s="163"/>
      <c r="G173" s="163"/>
      <c r="H173" s="163"/>
      <c r="I173" s="163"/>
      <c r="J173" s="163"/>
      <c r="K173" s="163"/>
      <c r="L173" s="163"/>
    </row>
    <row r="174" spans="2:44" x14ac:dyDescent="0.2">
      <c r="B174" s="163" t="s">
        <v>1039</v>
      </c>
      <c r="C174" s="163"/>
      <c r="D174" s="163"/>
      <c r="E174" s="163"/>
      <c r="F174" s="163"/>
      <c r="G174" s="163"/>
      <c r="H174" s="163"/>
      <c r="I174" s="163"/>
      <c r="J174" s="163"/>
      <c r="K174" s="163"/>
      <c r="L174" s="163"/>
    </row>
    <row r="175" spans="2:44" x14ac:dyDescent="0.2">
      <c r="B175" s="174" t="str">
        <f>"5) Amount in matrix on lines "&amp;A74&amp;" to "&amp;A85&amp;" minus amount in matrix on lines "&amp;A94&amp;" to "&amp;A105&amp;""</f>
        <v>5) Amount in matrix on lines 28 to 39 minus amount in matrix on lines 41 to 52</v>
      </c>
      <c r="C175" s="163"/>
      <c r="D175" s="163"/>
      <c r="E175" s="163"/>
      <c r="F175" s="163"/>
      <c r="G175" s="163"/>
      <c r="H175" s="163"/>
      <c r="I175" s="163"/>
      <c r="J175" s="163"/>
      <c r="K175" s="163"/>
      <c r="L175" s="163"/>
    </row>
    <row r="176" spans="2:44" x14ac:dyDescent="0.2">
      <c r="B176" s="163" t="str">
        <f>"6) Amount on Line "&amp;A23&amp;" less amount on Line "&amp;A11&amp;" for each account."</f>
        <v>6) Amount on Line 13 less amount on Line 1 for each account.</v>
      </c>
      <c r="C176" s="163"/>
      <c r="D176" s="163"/>
      <c r="E176" s="163"/>
      <c r="F176" s="163"/>
      <c r="G176" s="163"/>
      <c r="H176" s="163"/>
      <c r="I176" s="163"/>
      <c r="J176" s="163"/>
      <c r="K176" s="163"/>
      <c r="L176" s="163"/>
    </row>
    <row r="177" spans="2:12" x14ac:dyDescent="0.2">
      <c r="B177" s="163" t="str">
        <f>"7) Line "&amp;A106&amp;""</f>
        <v>7) Line 53</v>
      </c>
      <c r="C177" s="163"/>
      <c r="D177" s="163"/>
      <c r="E177" s="163"/>
      <c r="F177" s="163"/>
      <c r="G177" s="163"/>
      <c r="H177" s="163"/>
      <c r="I177" s="163"/>
      <c r="J177" s="163"/>
      <c r="K177" s="163"/>
      <c r="L177" s="163"/>
    </row>
    <row r="178" spans="2:12" x14ac:dyDescent="0.2">
      <c r="B178" s="163" t="str">
        <f>"8) Amount on Line "&amp;A131&amp;" less amount on Line "&amp;A135&amp;" for each account."</f>
        <v>8) Amount on Line 67 less amount on Line 68 for each account.</v>
      </c>
      <c r="C178" s="163"/>
      <c r="D178" s="163"/>
      <c r="E178" s="163"/>
      <c r="F178" s="163"/>
      <c r="G178" s="163"/>
      <c r="H178" s="163"/>
      <c r="I178" s="163"/>
      <c r="J178" s="163"/>
      <c r="K178" s="163"/>
      <c r="L178" s="163"/>
    </row>
    <row r="179" spans="2:12" x14ac:dyDescent="0.2">
      <c r="B179" s="174" t="str">
        <f>"9) For each column (FERC Account) divide Line "&amp;A139&amp;" by Line "&amp;A126&amp;" to arrive at a ratio for each column."</f>
        <v>9) For each column (FERC Account) divide Line 69 by Line 66 to arrive at a ratio for each column.</v>
      </c>
      <c r="C179" s="163"/>
      <c r="D179" s="163"/>
      <c r="E179" s="163"/>
      <c r="F179" s="163"/>
      <c r="G179" s="163"/>
      <c r="H179" s="163"/>
      <c r="I179" s="163"/>
      <c r="J179" s="163"/>
      <c r="K179" s="163"/>
      <c r="L179" s="163"/>
    </row>
    <row r="180" spans="2:12" x14ac:dyDescent="0.2">
      <c r="B180" s="174" t="str">
        <f>"Apply the ratio of each column to each monthly value from Lines "&amp;A114&amp;"-"&amp;A125&amp;" to calculate the values for"</f>
        <v>Apply the ratio of each column to each monthly value from Lines 54-65 to calculate the values for</v>
      </c>
      <c r="C180" s="163"/>
      <c r="D180" s="163"/>
      <c r="E180" s="163"/>
      <c r="F180" s="163"/>
      <c r="G180" s="163"/>
      <c r="H180" s="163"/>
      <c r="I180" s="163"/>
      <c r="J180" s="163"/>
      <c r="K180" s="163"/>
      <c r="L180" s="163"/>
    </row>
    <row r="181" spans="2:12" x14ac:dyDescent="0.2">
      <c r="B181" s="174" t="str">
        <f>"the corresponsing months listed in Lines "&amp;A146&amp;"-"&amp;A157&amp;"."</f>
        <v>the corresponsing months listed in Lines 70-81.</v>
      </c>
      <c r="C181" s="163"/>
      <c r="D181" s="163"/>
      <c r="E181" s="163"/>
      <c r="F181" s="163"/>
      <c r="G181" s="163"/>
      <c r="H181" s="163"/>
      <c r="I181" s="163"/>
      <c r="J181" s="163"/>
      <c r="K181" s="163"/>
      <c r="L181" s="163"/>
    </row>
    <row r="182" spans="2:12" x14ac:dyDescent="0.2">
      <c r="B182" s="163"/>
      <c r="C182" s="163"/>
      <c r="D182" s="163"/>
      <c r="E182" s="163"/>
      <c r="F182" s="163"/>
      <c r="G182" s="163"/>
      <c r="H182" s="163"/>
      <c r="I182" s="163"/>
      <c r="J182" s="163"/>
      <c r="K182" s="163"/>
      <c r="L182" s="163"/>
    </row>
  </sheetData>
  <pageMargins left="0.75" right="0.75" top="1" bottom="1" header="0.5" footer="0.5"/>
  <pageSetup scale="70" orientation="landscape" cellComments="asDisplayed" r:id="rId1"/>
  <headerFooter alignWithMargins="0">
    <oddHeader>&amp;CSchedule 6
Plant In Service
(Revised 2015 True Up TRR)&amp;RTO12 Draft Annual Update
Attachment 4
WP-Schedule 3-One Time Adj True Up Adj
Page &amp;P of &amp;N</oddHeader>
    <oddFooter>&amp;R&amp;A</oddFooter>
  </headerFooter>
  <rowBreaks count="3" manualBreakCount="3">
    <brk id="37" max="16383" man="1"/>
    <brk id="87" max="16383" man="1"/>
    <brk id="127" max="16383" man="1"/>
  </rowBreaks>
</worksheet>
</file>

<file path=xl/worksheets/sheet3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4"/>
  <sheetViews>
    <sheetView topLeftCell="A16" zoomScaleNormal="100" workbookViewId="0">
      <selection activeCell="B2" sqref="B2"/>
    </sheetView>
  </sheetViews>
  <sheetFormatPr defaultRowHeight="12.75" x14ac:dyDescent="0.2"/>
  <cols>
    <col min="1" max="1" width="4.7109375" customWidth="1"/>
    <col min="2" max="2" width="25.7109375" style="309" customWidth="1"/>
    <col min="3" max="5" width="15.7109375" style="309" customWidth="1"/>
    <col min="6" max="6" width="12.28515625" style="309" customWidth="1"/>
    <col min="8" max="8" width="15.5703125" customWidth="1"/>
  </cols>
  <sheetData>
    <row r="1" spans="1:8" x14ac:dyDescent="0.2">
      <c r="A1" s="162" t="s">
        <v>322</v>
      </c>
      <c r="B1" s="306"/>
      <c r="C1" s="306"/>
      <c r="D1" s="306"/>
      <c r="E1" s="307" t="s">
        <v>323</v>
      </c>
      <c r="F1" s="308"/>
      <c r="G1" s="223"/>
    </row>
    <row r="2" spans="1:8" x14ac:dyDescent="0.2">
      <c r="B2" s="306"/>
      <c r="C2" s="306"/>
      <c r="G2" s="223"/>
    </row>
    <row r="3" spans="1:8" x14ac:dyDescent="0.2">
      <c r="A3" s="310" t="s">
        <v>324</v>
      </c>
      <c r="B3" s="311"/>
      <c r="C3" s="311"/>
      <c r="D3" s="311"/>
      <c r="E3" s="312" t="s">
        <v>295</v>
      </c>
      <c r="F3" s="307">
        <v>2015</v>
      </c>
      <c r="G3" s="223"/>
    </row>
    <row r="4" spans="1:8" x14ac:dyDescent="0.2">
      <c r="A4" s="313"/>
      <c r="B4" s="306"/>
      <c r="C4" s="306"/>
      <c r="D4" s="306"/>
      <c r="E4" s="306"/>
      <c r="F4" s="306"/>
      <c r="G4" s="223"/>
    </row>
    <row r="5" spans="1:8" x14ac:dyDescent="0.2">
      <c r="B5" s="313"/>
      <c r="C5" s="227" t="s">
        <v>152</v>
      </c>
      <c r="E5" s="227" t="s">
        <v>153</v>
      </c>
      <c r="F5" s="227" t="s">
        <v>154</v>
      </c>
      <c r="G5" s="223"/>
    </row>
    <row r="6" spans="1:8" x14ac:dyDescent="0.2">
      <c r="B6" s="313"/>
      <c r="C6" s="227"/>
      <c r="E6" s="227"/>
      <c r="F6" s="227"/>
      <c r="G6" s="223"/>
    </row>
    <row r="7" spans="1:8" x14ac:dyDescent="0.2">
      <c r="A7" s="169" t="s">
        <v>296</v>
      </c>
      <c r="B7" s="313"/>
      <c r="C7" s="314" t="s">
        <v>325</v>
      </c>
      <c r="D7" s="314"/>
      <c r="E7" s="314" t="s">
        <v>326</v>
      </c>
      <c r="F7" s="314" t="s">
        <v>327</v>
      </c>
      <c r="G7" s="223"/>
    </row>
    <row r="8" spans="1:8" x14ac:dyDescent="0.2">
      <c r="A8" s="166">
        <v>1</v>
      </c>
      <c r="B8" s="315" t="s">
        <v>328</v>
      </c>
      <c r="C8" s="315" t="s">
        <v>329</v>
      </c>
      <c r="D8" s="315" t="s">
        <v>330</v>
      </c>
      <c r="E8" s="315" t="s">
        <v>331</v>
      </c>
      <c r="F8" s="315" t="s">
        <v>332</v>
      </c>
      <c r="G8" s="316" t="s">
        <v>45</v>
      </c>
    </row>
    <row r="9" spans="1:8" ht="12.75" customHeight="1" x14ac:dyDescent="0.2">
      <c r="A9" s="166">
        <f>A8+1</f>
        <v>2</v>
      </c>
      <c r="B9" s="317" t="s">
        <v>333</v>
      </c>
      <c r="C9" s="318"/>
      <c r="D9" s="318"/>
      <c r="E9" s="318"/>
      <c r="F9" s="319"/>
      <c r="G9" s="223"/>
    </row>
    <row r="10" spans="1:8" x14ac:dyDescent="0.2">
      <c r="A10" s="166">
        <f t="shared" ref="A10:A28" si="0">A9+1</f>
        <v>3</v>
      </c>
      <c r="B10" s="320">
        <v>352</v>
      </c>
      <c r="C10" s="243">
        <v>686827403</v>
      </c>
      <c r="D10" s="647" t="s">
        <v>334</v>
      </c>
      <c r="E10" s="566">
        <v>470458375.7060675</v>
      </c>
      <c r="F10" s="323">
        <f>E10/C10</f>
        <v>0.68497321692633095</v>
      </c>
      <c r="G10" s="223"/>
      <c r="H10" s="268"/>
    </row>
    <row r="11" spans="1:8" x14ac:dyDescent="0.2">
      <c r="A11" s="166">
        <f t="shared" si="0"/>
        <v>4</v>
      </c>
      <c r="B11" s="320">
        <v>353</v>
      </c>
      <c r="C11" s="555">
        <v>5247711806</v>
      </c>
      <c r="D11" s="647" t="s">
        <v>335</v>
      </c>
      <c r="E11" s="555">
        <v>3030177246.8090091</v>
      </c>
      <c r="F11" s="327">
        <f>E11/C11</f>
        <v>0.57742828852461736</v>
      </c>
      <c r="G11" s="223"/>
      <c r="H11" s="223"/>
    </row>
    <row r="12" spans="1:8" x14ac:dyDescent="0.2">
      <c r="A12" s="166">
        <f t="shared" si="0"/>
        <v>5</v>
      </c>
      <c r="B12" s="328" t="s">
        <v>336</v>
      </c>
      <c r="C12" s="329">
        <f>SUM(C10:C11)</f>
        <v>5934539209</v>
      </c>
      <c r="D12" s="247" t="str">
        <f>"L "&amp;A10&amp;" + L "&amp;A11&amp;""</f>
        <v>L 3 + L 4</v>
      </c>
      <c r="E12" s="329">
        <f>SUM(E10:E11)</f>
        <v>3500635622.5150766</v>
      </c>
      <c r="F12" s="323">
        <f>E12/C12</f>
        <v>0.589874883159623</v>
      </c>
      <c r="G12" s="223"/>
    </row>
    <row r="13" spans="1:8" x14ac:dyDescent="0.2">
      <c r="A13" s="166">
        <f t="shared" si="0"/>
        <v>6</v>
      </c>
      <c r="B13" s="330"/>
      <c r="C13" s="331"/>
      <c r="D13" s="331"/>
      <c r="E13" s="331"/>
      <c r="F13" s="323"/>
      <c r="G13" s="223"/>
    </row>
    <row r="14" spans="1:8" ht="13.5" thickBot="1" x14ac:dyDescent="0.25">
      <c r="A14" s="166">
        <f t="shared" si="0"/>
        <v>7</v>
      </c>
      <c r="B14" s="332" t="s">
        <v>337</v>
      </c>
      <c r="C14" s="333"/>
      <c r="D14" s="333"/>
      <c r="E14" s="333"/>
      <c r="F14" s="334"/>
      <c r="G14" s="223"/>
    </row>
    <row r="15" spans="1:8" ht="13.5" thickBot="1" x14ac:dyDescent="0.25">
      <c r="A15" s="166">
        <f t="shared" si="0"/>
        <v>8</v>
      </c>
      <c r="B15" s="320">
        <v>350</v>
      </c>
      <c r="C15" s="335">
        <v>328430727</v>
      </c>
      <c r="D15" s="647" t="s">
        <v>338</v>
      </c>
      <c r="E15" s="336">
        <v>241041870.01831067</v>
      </c>
      <c r="F15" s="341">
        <f>E15/C15</f>
        <v>0.73391997216603511</v>
      </c>
      <c r="G15" s="223"/>
      <c r="H15" s="223"/>
    </row>
    <row r="16" spans="1:8" x14ac:dyDescent="0.2">
      <c r="A16" s="166">
        <f t="shared" si="0"/>
        <v>9</v>
      </c>
      <c r="B16" s="320"/>
      <c r="C16" s="329"/>
      <c r="D16" s="329"/>
      <c r="E16" s="329"/>
      <c r="F16" s="323"/>
      <c r="G16" s="223"/>
    </row>
    <row r="17" spans="1:8" x14ac:dyDescent="0.2">
      <c r="A17" s="166">
        <f t="shared" si="0"/>
        <v>10</v>
      </c>
      <c r="B17" s="332" t="s">
        <v>339</v>
      </c>
      <c r="C17" s="329">
        <f>C12+C15</f>
        <v>6262969936</v>
      </c>
      <c r="D17" s="247" t="str">
        <f>"L "&amp;A12&amp;" + L "&amp;A15&amp;""</f>
        <v>L 5 + L 8</v>
      </c>
      <c r="E17" s="338">
        <f>E12+E15</f>
        <v>3741677492.5333872</v>
      </c>
      <c r="F17" s="323">
        <f>E17/C17</f>
        <v>0.59742862104861094</v>
      </c>
      <c r="G17" s="223"/>
    </row>
    <row r="18" spans="1:8" x14ac:dyDescent="0.2">
      <c r="A18" s="166">
        <f t="shared" si="0"/>
        <v>11</v>
      </c>
      <c r="B18" s="330"/>
      <c r="C18" s="331"/>
      <c r="D18" s="331"/>
      <c r="E18" s="331"/>
      <c r="F18" s="323"/>
      <c r="G18" s="223"/>
    </row>
    <row r="19" spans="1:8" ht="13.5" thickBot="1" x14ac:dyDescent="0.25">
      <c r="A19" s="166">
        <f t="shared" si="0"/>
        <v>12</v>
      </c>
      <c r="B19" s="332" t="s">
        <v>340</v>
      </c>
      <c r="C19" s="331"/>
      <c r="D19" s="331"/>
      <c r="E19" s="331"/>
      <c r="F19" s="323"/>
      <c r="G19" s="223"/>
    </row>
    <row r="20" spans="1:8" ht="13.5" thickBot="1" x14ac:dyDescent="0.25">
      <c r="A20" s="166">
        <f t="shared" si="0"/>
        <v>13</v>
      </c>
      <c r="B20" s="693">
        <v>354</v>
      </c>
      <c r="C20" s="339">
        <v>2259972825</v>
      </c>
      <c r="D20" s="647" t="s">
        <v>341</v>
      </c>
      <c r="E20" s="340">
        <v>2164385765.181572</v>
      </c>
      <c r="F20" s="337">
        <f>E20/C20</f>
        <v>0.9577043322109734</v>
      </c>
      <c r="G20" s="223"/>
      <c r="H20" s="223"/>
    </row>
    <row r="21" spans="1:8" ht="13.5" thickBot="1" x14ac:dyDescent="0.25">
      <c r="A21" s="166">
        <f t="shared" si="0"/>
        <v>14</v>
      </c>
      <c r="B21" s="693">
        <v>355</v>
      </c>
      <c r="C21" s="339">
        <v>1008567359</v>
      </c>
      <c r="D21" s="647" t="s">
        <v>342</v>
      </c>
      <c r="E21" s="340">
        <v>310509485.04568505</v>
      </c>
      <c r="F21" s="337">
        <f t="shared" ref="F21:F26" si="1">E21/C21</f>
        <v>0.30787183649643085</v>
      </c>
      <c r="G21" s="223"/>
      <c r="H21" s="223"/>
    </row>
    <row r="22" spans="1:8" ht="13.5" thickBot="1" x14ac:dyDescent="0.25">
      <c r="A22" s="166">
        <f t="shared" si="0"/>
        <v>15</v>
      </c>
      <c r="B22" s="693">
        <v>356</v>
      </c>
      <c r="C22" s="339">
        <v>1482107625</v>
      </c>
      <c r="D22" s="647" t="s">
        <v>343</v>
      </c>
      <c r="E22" s="340">
        <v>1239444990.3695719</v>
      </c>
      <c r="F22" s="337">
        <f t="shared" si="1"/>
        <v>0.83627192078549084</v>
      </c>
      <c r="G22" s="223"/>
      <c r="H22" s="223"/>
    </row>
    <row r="23" spans="1:8" x14ac:dyDescent="0.2">
      <c r="A23" s="166">
        <f t="shared" si="0"/>
        <v>16</v>
      </c>
      <c r="B23" s="693">
        <v>357</v>
      </c>
      <c r="C23" s="339">
        <v>61087062</v>
      </c>
      <c r="D23" s="647" t="s">
        <v>344</v>
      </c>
      <c r="E23" s="339">
        <v>221416.38459709552</v>
      </c>
      <c r="F23" s="341">
        <f t="shared" si="1"/>
        <v>3.624603596046173E-3</v>
      </c>
      <c r="G23" s="223"/>
      <c r="H23" s="223"/>
    </row>
    <row r="24" spans="1:8" ht="13.5" thickBot="1" x14ac:dyDescent="0.25">
      <c r="A24" s="166">
        <f t="shared" si="0"/>
        <v>17</v>
      </c>
      <c r="B24" s="693">
        <v>358</v>
      </c>
      <c r="C24" s="339">
        <v>268612323</v>
      </c>
      <c r="D24" s="647" t="s">
        <v>345</v>
      </c>
      <c r="E24" s="339">
        <v>13011928.174370928</v>
      </c>
      <c r="F24" s="341">
        <f t="shared" si="1"/>
        <v>4.8441292748772839E-2</v>
      </c>
      <c r="G24" s="223"/>
      <c r="H24" s="223"/>
    </row>
    <row r="25" spans="1:8" ht="13.5" thickBot="1" x14ac:dyDescent="0.25">
      <c r="A25" s="166">
        <f t="shared" si="0"/>
        <v>18</v>
      </c>
      <c r="B25" s="693">
        <v>359</v>
      </c>
      <c r="C25" s="342">
        <v>194018041</v>
      </c>
      <c r="D25" s="647" t="s">
        <v>346</v>
      </c>
      <c r="E25" s="343">
        <v>187085635.94514531</v>
      </c>
      <c r="F25" s="681">
        <f t="shared" si="1"/>
        <v>0.96426927609863511</v>
      </c>
      <c r="G25" s="223"/>
      <c r="H25" s="223"/>
    </row>
    <row r="26" spans="1:8" x14ac:dyDescent="0.2">
      <c r="A26" s="166">
        <f t="shared" si="0"/>
        <v>19</v>
      </c>
      <c r="B26" s="328" t="s">
        <v>347</v>
      </c>
      <c r="C26" s="329">
        <f>SUM(C20:C25)</f>
        <v>5274365235</v>
      </c>
      <c r="D26" s="345" t="str">
        <f>"Sum L"&amp;A20&amp;" to L"&amp;A25&amp;""</f>
        <v>Sum L13 to L18</v>
      </c>
      <c r="E26" s="338">
        <f>SUM(E20:E25)</f>
        <v>3914659221.1009417</v>
      </c>
      <c r="F26" s="337">
        <f t="shared" si="1"/>
        <v>0.74220480506806263</v>
      </c>
      <c r="G26" s="223"/>
    </row>
    <row r="27" spans="1:8" x14ac:dyDescent="0.2">
      <c r="A27" s="166">
        <f t="shared" si="0"/>
        <v>20</v>
      </c>
      <c r="B27" s="346"/>
      <c r="C27" s="329"/>
      <c r="D27" s="329"/>
      <c r="E27" s="329"/>
      <c r="F27" s="323"/>
      <c r="G27" s="223"/>
    </row>
    <row r="28" spans="1:8" x14ac:dyDescent="0.2">
      <c r="A28" s="166">
        <f t="shared" si="0"/>
        <v>21</v>
      </c>
      <c r="B28" s="347" t="s">
        <v>348</v>
      </c>
      <c r="C28" s="348">
        <f>C17+C26</f>
        <v>11537335171</v>
      </c>
      <c r="D28" s="247" t="str">
        <f>"L "&amp;A17&amp;" + L "&amp;A26&amp;""</f>
        <v>L 10 + L 19</v>
      </c>
      <c r="E28" s="349">
        <f>E17+E26</f>
        <v>7656336713.6343288</v>
      </c>
      <c r="F28" s="682">
        <f>E28/C28</f>
        <v>0.66361396285678986</v>
      </c>
      <c r="G28" s="223" t="s">
        <v>349</v>
      </c>
    </row>
    <row r="29" spans="1:8" x14ac:dyDescent="0.2">
      <c r="A29" s="166"/>
      <c r="B29" s="351"/>
      <c r="C29" s="352"/>
      <c r="D29" s="352"/>
      <c r="E29" s="352"/>
      <c r="F29" s="354"/>
    </row>
    <row r="30" spans="1:8" x14ac:dyDescent="0.2">
      <c r="A30" s="166"/>
      <c r="B30" s="355"/>
      <c r="C30" s="356"/>
      <c r="D30" s="356"/>
      <c r="E30" s="568"/>
      <c r="F30" s="356"/>
    </row>
    <row r="31" spans="1:8" x14ac:dyDescent="0.2">
      <c r="A31" s="313" t="s">
        <v>350</v>
      </c>
      <c r="C31" s="356"/>
      <c r="D31" s="356"/>
      <c r="E31" s="356"/>
      <c r="F31" s="356"/>
    </row>
    <row r="32" spans="1:8" x14ac:dyDescent="0.2">
      <c r="A32" s="166"/>
      <c r="B32" s="358"/>
      <c r="C32" s="356"/>
      <c r="D32" s="356"/>
      <c r="E32" s="356"/>
      <c r="F32" s="356"/>
    </row>
    <row r="33" spans="1:9" x14ac:dyDescent="0.2">
      <c r="A33" s="169" t="s">
        <v>296</v>
      </c>
      <c r="B33" s="313"/>
      <c r="C33" s="314" t="s">
        <v>325</v>
      </c>
      <c r="D33" s="314"/>
      <c r="E33" s="314" t="s">
        <v>351</v>
      </c>
      <c r="F33" s="314" t="s">
        <v>327</v>
      </c>
    </row>
    <row r="34" spans="1:9" x14ac:dyDescent="0.2">
      <c r="A34" s="166">
        <f>A28+1</f>
        <v>22</v>
      </c>
      <c r="B34" s="315" t="s">
        <v>328</v>
      </c>
      <c r="C34" s="315" t="s">
        <v>329</v>
      </c>
      <c r="D34" s="315" t="s">
        <v>330</v>
      </c>
      <c r="E34" s="315" t="s">
        <v>331</v>
      </c>
      <c r="F34" s="315" t="s">
        <v>332</v>
      </c>
    </row>
    <row r="35" spans="1:9" x14ac:dyDescent="0.2">
      <c r="A35" s="166">
        <f t="shared" ref="A35:A42" si="2">A34+1</f>
        <v>23</v>
      </c>
      <c r="B35" s="317" t="s">
        <v>352</v>
      </c>
      <c r="C35" s="352"/>
      <c r="D35" s="352"/>
      <c r="E35" s="352"/>
      <c r="F35" s="354"/>
    </row>
    <row r="36" spans="1:9" x14ac:dyDescent="0.2">
      <c r="A36" s="166">
        <f t="shared" si="2"/>
        <v>24</v>
      </c>
      <c r="B36" s="693">
        <v>360</v>
      </c>
      <c r="C36" s="335">
        <v>115272068</v>
      </c>
      <c r="D36" s="647" t="s">
        <v>353</v>
      </c>
      <c r="E36" s="569">
        <v>0</v>
      </c>
      <c r="F36" s="323">
        <f>E36/C36</f>
        <v>0</v>
      </c>
      <c r="H36" s="223"/>
    </row>
    <row r="37" spans="1:9" x14ac:dyDescent="0.2">
      <c r="A37" s="166">
        <f t="shared" si="2"/>
        <v>25</v>
      </c>
      <c r="B37" s="332" t="s">
        <v>354</v>
      </c>
      <c r="C37" s="329"/>
      <c r="D37" s="329"/>
      <c r="E37" s="329"/>
      <c r="F37" s="323"/>
    </row>
    <row r="38" spans="1:9" x14ac:dyDescent="0.2">
      <c r="A38" s="166">
        <f t="shared" si="2"/>
        <v>26</v>
      </c>
      <c r="B38" s="693">
        <v>361</v>
      </c>
      <c r="C38" s="335">
        <v>576705979</v>
      </c>
      <c r="D38" s="647" t="s">
        <v>355</v>
      </c>
      <c r="E38" s="335">
        <v>0</v>
      </c>
      <c r="F38" s="323">
        <f>E38/C38</f>
        <v>0</v>
      </c>
      <c r="H38" s="223"/>
    </row>
    <row r="39" spans="1:9" x14ac:dyDescent="0.2">
      <c r="A39" s="166">
        <f t="shared" si="2"/>
        <v>27</v>
      </c>
      <c r="B39" s="693">
        <v>362</v>
      </c>
      <c r="C39" s="359">
        <v>2244270529</v>
      </c>
      <c r="D39" s="647" t="s">
        <v>356</v>
      </c>
      <c r="E39" s="359">
        <v>0</v>
      </c>
      <c r="F39" s="327">
        <f>E39/C39</f>
        <v>0</v>
      </c>
      <c r="H39" s="223"/>
    </row>
    <row r="40" spans="1:9" x14ac:dyDescent="0.2">
      <c r="A40" s="166">
        <f t="shared" si="2"/>
        <v>28</v>
      </c>
      <c r="B40" s="328" t="s">
        <v>357</v>
      </c>
      <c r="C40" s="329">
        <f>SUM(C38:C39)</f>
        <v>2820976508</v>
      </c>
      <c r="D40" s="247" t="str">
        <f>"L "&amp;A38&amp;" + L "&amp;A39&amp;""</f>
        <v>L 26 + L 27</v>
      </c>
      <c r="E40" s="329">
        <f>SUM(E38:E39)</f>
        <v>0</v>
      </c>
      <c r="F40" s="323">
        <f>E40/C40</f>
        <v>0</v>
      </c>
    </row>
    <row r="41" spans="1:9" x14ac:dyDescent="0.2">
      <c r="A41" s="166">
        <f t="shared" si="2"/>
        <v>29</v>
      </c>
      <c r="B41" s="360"/>
      <c r="C41" s="361"/>
      <c r="D41" s="329"/>
      <c r="E41" s="329"/>
      <c r="F41" s="323"/>
    </row>
    <row r="42" spans="1:9" x14ac:dyDescent="0.2">
      <c r="A42" s="166">
        <f t="shared" si="2"/>
        <v>30</v>
      </c>
      <c r="B42" s="362" t="s">
        <v>358</v>
      </c>
      <c r="C42" s="348">
        <f>C36+C40</f>
        <v>2936248576</v>
      </c>
      <c r="D42" s="247" t="str">
        <f>"L "&amp;A36&amp;" + L "&amp;A40&amp;""</f>
        <v>L 24 + L 28</v>
      </c>
      <c r="E42" s="348">
        <f>E36+E40</f>
        <v>0</v>
      </c>
      <c r="F42" s="363">
        <f>E42/C42</f>
        <v>0</v>
      </c>
      <c r="G42" s="223" t="s">
        <v>359</v>
      </c>
      <c r="H42" s="223"/>
    </row>
    <row r="43" spans="1:9" x14ac:dyDescent="0.2">
      <c r="A43" s="166"/>
      <c r="B43" s="364"/>
      <c r="C43" s="365"/>
      <c r="D43" s="365"/>
      <c r="E43" s="365"/>
      <c r="F43" s="366"/>
      <c r="H43" s="570"/>
      <c r="I43" s="223"/>
    </row>
    <row r="44" spans="1:9" x14ac:dyDescent="0.2">
      <c r="A44" s="238"/>
      <c r="E44" s="368"/>
    </row>
    <row r="45" spans="1:9" x14ac:dyDescent="0.2">
      <c r="A45" s="164" t="s">
        <v>297</v>
      </c>
    </row>
    <row r="46" spans="1:9" x14ac:dyDescent="0.2">
      <c r="A46" s="247" t="s">
        <v>360</v>
      </c>
      <c r="E46" s="368"/>
    </row>
    <row r="47" spans="1:9" x14ac:dyDescent="0.2">
      <c r="A47" s="247" t="s">
        <v>361</v>
      </c>
    </row>
    <row r="48" spans="1:9" x14ac:dyDescent="0.2">
      <c r="A48" s="247" t="s">
        <v>362</v>
      </c>
      <c r="C48" s="368"/>
      <c r="D48" s="368"/>
    </row>
    <row r="49" spans="1:4" x14ac:dyDescent="0.2">
      <c r="A49" s="247" t="s">
        <v>363</v>
      </c>
      <c r="C49" s="369"/>
      <c r="D49" s="369"/>
    </row>
    <row r="50" spans="1:4" x14ac:dyDescent="0.2">
      <c r="A50" s="238"/>
      <c r="C50" s="368"/>
      <c r="D50" s="368"/>
    </row>
    <row r="51" spans="1:4" x14ac:dyDescent="0.2">
      <c r="A51" s="164" t="s">
        <v>109</v>
      </c>
    </row>
    <row r="52" spans="1:4" x14ac:dyDescent="0.2">
      <c r="A52" s="247" t="s">
        <v>364</v>
      </c>
    </row>
    <row r="53" spans="1:4" x14ac:dyDescent="0.2">
      <c r="A53" s="247" t="s">
        <v>365</v>
      </c>
    </row>
    <row r="54" spans="1:4" x14ac:dyDescent="0.2">
      <c r="A54" s="247" t="s">
        <v>366</v>
      </c>
    </row>
  </sheetData>
  <pageMargins left="0.7" right="0.7" top="0.75" bottom="0.75" header="0.3" footer="0.3"/>
  <pageSetup scale="74" orientation="portrait" cellComments="asDisplayed" r:id="rId1"/>
  <headerFooter>
    <oddHeader>&amp;CSchedule 7
Transmission Plant Study Summary
(Revised 2015 True Up TRR)&amp;RTO12 Draft Annual Update
Attachment 4
WP-Schedule 3-One Time Adj True Up Adj
Page &amp;P of &amp;N</oddHeader>
    <oddFooter>&amp;R7-PlantStudy</oddFooter>
  </headerFooter>
  <colBreaks count="1" manualBreakCount="1">
    <brk id="9" max="53" man="1"/>
  </colBreaks>
  <legacyDrawing r:id="rId2"/>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79"/>
  <sheetViews>
    <sheetView zoomScale="110" zoomScaleNormal="110" workbookViewId="0"/>
  </sheetViews>
  <sheetFormatPr defaultRowHeight="12.75" x14ac:dyDescent="0.2"/>
  <cols>
    <col min="1" max="1" width="4.7109375" customWidth="1"/>
    <col min="2" max="2" width="7.7109375" customWidth="1"/>
    <col min="3" max="3" width="10.7109375" customWidth="1"/>
    <col min="4" max="4" width="13.7109375" customWidth="1"/>
    <col min="5" max="6" width="14.7109375" customWidth="1"/>
    <col min="7" max="10" width="13.7109375" customWidth="1"/>
    <col min="11" max="12" width="11.7109375" customWidth="1"/>
    <col min="13" max="13" width="13.7109375" customWidth="1"/>
    <col min="14" max="14" width="14.7109375" customWidth="1"/>
    <col min="15" max="15" width="13.7109375" style="163" customWidth="1"/>
    <col min="16" max="23" width="9.140625" style="163"/>
  </cols>
  <sheetData>
    <row r="1" spans="1:18" x14ac:dyDescent="0.2">
      <c r="A1" s="162" t="s">
        <v>64</v>
      </c>
      <c r="B1" s="162"/>
      <c r="C1" s="518"/>
      <c r="D1" s="518"/>
      <c r="E1" s="518"/>
      <c r="F1" s="518"/>
      <c r="G1" s="518"/>
      <c r="H1" s="518"/>
      <c r="I1" s="518"/>
      <c r="J1" s="307" t="s">
        <v>323</v>
      </c>
      <c r="K1" s="308"/>
      <c r="L1" s="518"/>
      <c r="M1" s="518"/>
      <c r="N1" s="518"/>
      <c r="O1" s="536"/>
      <c r="P1" s="536"/>
      <c r="Q1" s="536"/>
      <c r="R1" s="536"/>
    </row>
    <row r="2" spans="1:18" x14ac:dyDescent="0.2">
      <c r="A2" s="518"/>
      <c r="B2" s="518"/>
      <c r="C2" s="518"/>
      <c r="D2" s="518"/>
      <c r="E2" s="518"/>
      <c r="F2" s="518"/>
      <c r="G2" s="518"/>
      <c r="H2" s="518"/>
      <c r="I2" s="518"/>
      <c r="L2" s="518"/>
      <c r="M2" s="518"/>
      <c r="N2" s="518"/>
      <c r="O2" s="536"/>
      <c r="P2" s="536"/>
      <c r="Q2" s="536"/>
      <c r="R2" s="536"/>
    </row>
    <row r="3" spans="1:18" x14ac:dyDescent="0.2">
      <c r="A3" s="518"/>
      <c r="B3" s="162" t="s">
        <v>775</v>
      </c>
      <c r="C3" s="518"/>
      <c r="D3" s="518"/>
      <c r="E3" s="518"/>
      <c r="F3" s="518"/>
      <c r="G3" s="520" t="s">
        <v>295</v>
      </c>
      <c r="H3" s="519">
        <v>2015</v>
      </c>
      <c r="I3" s="518"/>
      <c r="J3" s="518"/>
      <c r="K3" s="518"/>
      <c r="L3" s="518"/>
      <c r="M3" s="518"/>
      <c r="N3" s="518"/>
      <c r="O3" s="536"/>
      <c r="P3" s="536"/>
      <c r="Q3" s="536"/>
      <c r="R3" s="536"/>
    </row>
    <row r="4" spans="1:18" x14ac:dyDescent="0.2">
      <c r="A4" s="518"/>
      <c r="B4" s="518"/>
      <c r="C4" s="518"/>
      <c r="D4" s="518"/>
      <c r="E4" s="518"/>
      <c r="F4" s="518"/>
      <c r="G4" s="518"/>
      <c r="H4" s="518"/>
      <c r="I4" s="518"/>
      <c r="J4" s="518"/>
      <c r="K4" s="518"/>
      <c r="L4" s="518"/>
      <c r="M4" s="518"/>
      <c r="N4" s="518"/>
      <c r="O4" s="536"/>
      <c r="P4" s="536"/>
      <c r="Q4" s="536"/>
      <c r="R4" s="536"/>
    </row>
    <row r="5" spans="1:18" x14ac:dyDescent="0.2">
      <c r="A5" s="518"/>
      <c r="B5" s="518"/>
      <c r="C5" s="223" t="s">
        <v>776</v>
      </c>
      <c r="D5" s="518"/>
      <c r="E5" s="518"/>
      <c r="F5" s="518"/>
      <c r="G5" s="518"/>
      <c r="H5" s="518"/>
      <c r="I5" s="518"/>
      <c r="J5" s="223"/>
      <c r="K5" s="518"/>
      <c r="L5" s="518"/>
      <c r="M5" s="518"/>
      <c r="N5" s="518"/>
      <c r="O5" s="536"/>
      <c r="P5" s="536"/>
      <c r="Q5" s="536"/>
      <c r="R5" s="536"/>
    </row>
    <row r="6" spans="1:18" x14ac:dyDescent="0.2">
      <c r="A6" s="518"/>
      <c r="B6" s="518"/>
      <c r="C6" s="518"/>
      <c r="D6" s="518"/>
      <c r="E6" s="518"/>
      <c r="F6" s="518"/>
      <c r="G6" s="518"/>
      <c r="H6" s="518"/>
      <c r="I6" s="518"/>
      <c r="J6" s="518"/>
      <c r="K6" s="518"/>
      <c r="L6" s="518"/>
      <c r="M6" s="518"/>
      <c r="N6" s="518"/>
      <c r="O6" s="536"/>
      <c r="P6" s="536"/>
      <c r="Q6" s="536"/>
      <c r="R6" s="536"/>
    </row>
    <row r="7" spans="1:18" x14ac:dyDescent="0.2">
      <c r="A7" s="518"/>
      <c r="B7" s="518"/>
      <c r="C7" s="227" t="s">
        <v>152</v>
      </c>
      <c r="D7" s="227" t="s">
        <v>153</v>
      </c>
      <c r="E7" s="227" t="s">
        <v>154</v>
      </c>
      <c r="F7" s="227" t="s">
        <v>155</v>
      </c>
      <c r="G7" s="227" t="s">
        <v>371</v>
      </c>
      <c r="H7" s="227" t="s">
        <v>372</v>
      </c>
      <c r="I7" s="227" t="s">
        <v>386</v>
      </c>
      <c r="J7" s="227" t="s">
        <v>387</v>
      </c>
      <c r="K7" s="227" t="s">
        <v>388</v>
      </c>
      <c r="L7" s="227" t="s">
        <v>389</v>
      </c>
      <c r="M7" s="227" t="s">
        <v>390</v>
      </c>
      <c r="N7" s="227" t="s">
        <v>391</v>
      </c>
      <c r="O7" s="536"/>
      <c r="P7" s="536"/>
      <c r="Q7" s="536"/>
      <c r="R7" s="536"/>
    </row>
    <row r="8" spans="1:18" x14ac:dyDescent="0.2">
      <c r="A8" s="518"/>
      <c r="B8" s="518"/>
      <c r="C8" s="523"/>
      <c r="D8" s="518"/>
      <c r="E8" s="518"/>
      <c r="F8" s="518"/>
      <c r="G8" s="518"/>
      <c r="H8" s="518"/>
      <c r="I8" s="518"/>
      <c r="J8" s="518"/>
      <c r="K8" s="518"/>
      <c r="L8" s="518"/>
      <c r="M8" s="518"/>
      <c r="N8" s="571" t="s">
        <v>777</v>
      </c>
      <c r="O8" s="536"/>
      <c r="P8" s="536"/>
      <c r="Q8" s="536"/>
      <c r="R8" s="536"/>
    </row>
    <row r="9" spans="1:18" x14ac:dyDescent="0.2">
      <c r="A9" s="518"/>
      <c r="B9" s="518"/>
      <c r="C9" s="522"/>
      <c r="D9" s="572" t="s">
        <v>778</v>
      </c>
      <c r="E9" s="518"/>
      <c r="F9" s="518"/>
      <c r="G9" s="518"/>
      <c r="H9" s="518"/>
      <c r="I9" s="518"/>
      <c r="J9" s="518"/>
      <c r="K9" s="518"/>
      <c r="L9" s="518"/>
      <c r="M9" s="518"/>
      <c r="N9" s="518"/>
      <c r="O9" s="536"/>
      <c r="P9" s="536"/>
      <c r="Q9" s="536"/>
      <c r="R9" s="536"/>
    </row>
    <row r="10" spans="1:18" x14ac:dyDescent="0.2">
      <c r="A10" s="518"/>
      <c r="B10" s="518"/>
      <c r="C10" s="171"/>
      <c r="D10" s="572" t="s">
        <v>779</v>
      </c>
      <c r="E10" s="518"/>
      <c r="F10" s="518"/>
      <c r="G10" s="518"/>
      <c r="H10" s="518"/>
      <c r="I10" s="518"/>
      <c r="J10" s="518"/>
      <c r="K10" s="518"/>
      <c r="L10" s="518"/>
      <c r="M10" s="518"/>
      <c r="N10" s="518"/>
      <c r="O10" s="536"/>
      <c r="P10" s="536"/>
      <c r="Q10" s="536"/>
      <c r="R10" s="536"/>
    </row>
    <row r="11" spans="1:18" ht="12.75" customHeight="1" thickBot="1" x14ac:dyDescent="0.25">
      <c r="A11" s="169" t="s">
        <v>296</v>
      </c>
      <c r="B11" s="169"/>
      <c r="C11" s="207" t="s">
        <v>715</v>
      </c>
      <c r="D11" s="227">
        <v>350.1</v>
      </c>
      <c r="E11" s="227">
        <v>350.2</v>
      </c>
      <c r="F11" s="227">
        <v>352</v>
      </c>
      <c r="G11" s="227">
        <v>353</v>
      </c>
      <c r="H11" s="227">
        <v>354</v>
      </c>
      <c r="I11" s="227">
        <v>355</v>
      </c>
      <c r="J11" s="227">
        <v>356</v>
      </c>
      <c r="K11" s="227">
        <v>357</v>
      </c>
      <c r="L11" s="227">
        <v>358</v>
      </c>
      <c r="M11" s="227">
        <v>359</v>
      </c>
      <c r="N11" s="170" t="s">
        <v>325</v>
      </c>
      <c r="O11" s="536"/>
      <c r="P11" s="536"/>
      <c r="Q11" s="536"/>
      <c r="R11" s="536"/>
    </row>
    <row r="12" spans="1:18" ht="12.75" customHeight="1" thickBot="1" x14ac:dyDescent="0.25">
      <c r="A12" s="166">
        <v>1</v>
      </c>
      <c r="B12" s="166"/>
      <c r="C12" s="531" t="s">
        <v>955</v>
      </c>
      <c r="D12" s="243">
        <v>0</v>
      </c>
      <c r="E12" s="243">
        <v>12547940.443765754</v>
      </c>
      <c r="F12" s="246">
        <v>55293767.001880564</v>
      </c>
      <c r="G12" s="249">
        <v>363174837.84045792</v>
      </c>
      <c r="H12" s="243">
        <v>350017330.05771935</v>
      </c>
      <c r="I12" s="243">
        <v>38130422.145566955</v>
      </c>
      <c r="J12" s="243">
        <v>353805006.00699574</v>
      </c>
      <c r="K12" s="243">
        <v>130565.66322043103</v>
      </c>
      <c r="L12" s="243">
        <v>1208818.3606113279</v>
      </c>
      <c r="M12" s="243">
        <v>7412761.9158815509</v>
      </c>
      <c r="N12" s="573">
        <f>SUM(D12:M12)</f>
        <v>1181721449.4360998</v>
      </c>
      <c r="O12" s="536"/>
      <c r="P12" s="536"/>
      <c r="Q12" s="536"/>
      <c r="R12" s="536"/>
    </row>
    <row r="13" spans="1:18" ht="12.75" customHeight="1" x14ac:dyDescent="0.2">
      <c r="A13" s="166">
        <f>A12+1</f>
        <v>2</v>
      </c>
      <c r="B13" s="166"/>
      <c r="C13" s="528" t="s">
        <v>959</v>
      </c>
      <c r="D13" s="529">
        <v>0</v>
      </c>
      <c r="E13" s="529">
        <f t="shared" ref="E13:M23" si="0">E144+E91+E12</f>
        <v>12778787.348290153</v>
      </c>
      <c r="F13" s="573">
        <f t="shared" si="0"/>
        <v>52503324.280285254</v>
      </c>
      <c r="G13" s="573">
        <f t="shared" si="0"/>
        <v>306246025.34931064</v>
      </c>
      <c r="H13" s="573">
        <f t="shared" si="0"/>
        <v>380293498.22935569</v>
      </c>
      <c r="I13" s="573">
        <f t="shared" si="0"/>
        <v>36043313.681836434</v>
      </c>
      <c r="J13" s="573">
        <f t="shared" si="0"/>
        <v>380567608.89321345</v>
      </c>
      <c r="K13" s="529">
        <f t="shared" si="0"/>
        <v>130154.19235430328</v>
      </c>
      <c r="L13" s="529">
        <f t="shared" si="0"/>
        <v>1215918.7322821682</v>
      </c>
      <c r="M13" s="573">
        <f t="shared" si="0"/>
        <v>12105536.066314664</v>
      </c>
      <c r="N13" s="573">
        <f t="shared" ref="N13:N24" si="1">SUM(D13:M13)</f>
        <v>1181884166.7732427</v>
      </c>
      <c r="O13" s="536"/>
      <c r="P13" s="536"/>
      <c r="Q13" s="536"/>
      <c r="R13" s="536"/>
    </row>
    <row r="14" spans="1:18" ht="12.75" customHeight="1" x14ac:dyDescent="0.2">
      <c r="A14" s="166">
        <f t="shared" ref="A14:A25" si="2">A13+1</f>
        <v>3</v>
      </c>
      <c r="B14" s="166"/>
      <c r="C14" s="531" t="s">
        <v>960</v>
      </c>
      <c r="D14" s="529">
        <v>0</v>
      </c>
      <c r="E14" s="529">
        <f t="shared" si="0"/>
        <v>13010029.430435803</v>
      </c>
      <c r="F14" s="573">
        <f t="shared" si="0"/>
        <v>53387492.659555197</v>
      </c>
      <c r="G14" s="573">
        <f t="shared" si="0"/>
        <v>309815524.37020743</v>
      </c>
      <c r="H14" s="573">
        <f t="shared" si="0"/>
        <v>383041140.05558378</v>
      </c>
      <c r="I14" s="573">
        <f t="shared" si="0"/>
        <v>36964029.284822762</v>
      </c>
      <c r="J14" s="573">
        <f t="shared" si="0"/>
        <v>381103535.34865564</v>
      </c>
      <c r="K14" s="529">
        <f t="shared" si="0"/>
        <v>130347.28891449833</v>
      </c>
      <c r="L14" s="529">
        <f t="shared" si="0"/>
        <v>1254554.8267738766</v>
      </c>
      <c r="M14" s="573">
        <f t="shared" si="0"/>
        <v>12159129.564719832</v>
      </c>
      <c r="N14" s="573">
        <f t="shared" si="1"/>
        <v>1190865782.8296688</v>
      </c>
      <c r="O14" s="536"/>
      <c r="P14" s="536"/>
      <c r="Q14" s="536"/>
      <c r="R14" s="536"/>
    </row>
    <row r="15" spans="1:18" ht="12.75" customHeight="1" x14ac:dyDescent="0.2">
      <c r="A15" s="166">
        <f t="shared" si="2"/>
        <v>4</v>
      </c>
      <c r="B15" s="166"/>
      <c r="C15" s="531" t="s">
        <v>961</v>
      </c>
      <c r="D15" s="529">
        <v>0</v>
      </c>
      <c r="E15" s="529">
        <f t="shared" si="0"/>
        <v>13239519.184397368</v>
      </c>
      <c r="F15" s="573">
        <f t="shared" si="0"/>
        <v>54230726.58940836</v>
      </c>
      <c r="G15" s="573">
        <f t="shared" si="0"/>
        <v>327881073.54439324</v>
      </c>
      <c r="H15" s="573">
        <f t="shared" si="0"/>
        <v>385387652.38811296</v>
      </c>
      <c r="I15" s="573">
        <f t="shared" si="0"/>
        <v>37831766.319445111</v>
      </c>
      <c r="J15" s="573">
        <f t="shared" si="0"/>
        <v>379015411.72540635</v>
      </c>
      <c r="K15" s="529">
        <f t="shared" si="0"/>
        <v>130523.04778213863</v>
      </c>
      <c r="L15" s="529">
        <f t="shared" si="0"/>
        <v>1290504.4921056193</v>
      </c>
      <c r="M15" s="573">
        <f t="shared" si="0"/>
        <v>11983400.54632291</v>
      </c>
      <c r="N15" s="573">
        <f t="shared" si="1"/>
        <v>1210990577.8373742</v>
      </c>
      <c r="O15" s="536"/>
      <c r="P15" s="536"/>
      <c r="Q15" s="536"/>
      <c r="R15" s="536"/>
    </row>
    <row r="16" spans="1:18" ht="12.75" customHeight="1" x14ac:dyDescent="0.2">
      <c r="A16" s="166">
        <f t="shared" si="2"/>
        <v>5</v>
      </c>
      <c r="B16" s="166"/>
      <c r="C16" s="528" t="s">
        <v>962</v>
      </c>
      <c r="D16" s="529">
        <v>0</v>
      </c>
      <c r="E16" s="529">
        <f t="shared" si="0"/>
        <v>13487865.066821884</v>
      </c>
      <c r="F16" s="573">
        <f t="shared" si="0"/>
        <v>55402914.585888766</v>
      </c>
      <c r="G16" s="573">
        <f t="shared" si="0"/>
        <v>334228231.9362033</v>
      </c>
      <c r="H16" s="573">
        <f t="shared" si="0"/>
        <v>389805688.57921517</v>
      </c>
      <c r="I16" s="573">
        <f t="shared" si="0"/>
        <v>38790294.870914079</v>
      </c>
      <c r="J16" s="573">
        <f t="shared" si="0"/>
        <v>377818283.0278244</v>
      </c>
      <c r="K16" s="529">
        <f t="shared" si="0"/>
        <v>130670.51044396342</v>
      </c>
      <c r="L16" s="529">
        <f t="shared" si="0"/>
        <v>1325525.073998824</v>
      </c>
      <c r="M16" s="573">
        <f t="shared" si="0"/>
        <v>12178824.015308524</v>
      </c>
      <c r="N16" s="573">
        <f t="shared" si="1"/>
        <v>1223168297.6666191</v>
      </c>
      <c r="O16" s="536"/>
      <c r="P16" s="536"/>
      <c r="Q16" s="536"/>
      <c r="R16" s="536"/>
    </row>
    <row r="17" spans="1:18" ht="12.75" customHeight="1" x14ac:dyDescent="0.2">
      <c r="A17" s="166">
        <f t="shared" si="2"/>
        <v>6</v>
      </c>
      <c r="B17" s="166"/>
      <c r="C17" s="531" t="s">
        <v>963</v>
      </c>
      <c r="D17" s="529">
        <v>0</v>
      </c>
      <c r="E17" s="529">
        <f t="shared" si="0"/>
        <v>13767798.683880778</v>
      </c>
      <c r="F17" s="573">
        <f t="shared" si="0"/>
        <v>56005757.60340292</v>
      </c>
      <c r="G17" s="573">
        <f t="shared" si="0"/>
        <v>341087027.61707211</v>
      </c>
      <c r="H17" s="573">
        <f t="shared" si="0"/>
        <v>392704400.7490595</v>
      </c>
      <c r="I17" s="573">
        <f t="shared" si="0"/>
        <v>39683186.654975951</v>
      </c>
      <c r="J17" s="573">
        <f t="shared" si="0"/>
        <v>378273672.61755741</v>
      </c>
      <c r="K17" s="529">
        <f t="shared" si="0"/>
        <v>130847.38316527744</v>
      </c>
      <c r="L17" s="529">
        <f t="shared" si="0"/>
        <v>1367350.7840221403</v>
      </c>
      <c r="M17" s="573">
        <f t="shared" si="0"/>
        <v>12361768.439262459</v>
      </c>
      <c r="N17" s="573">
        <f t="shared" si="1"/>
        <v>1235381810.5323985</v>
      </c>
      <c r="O17" s="536"/>
      <c r="P17" s="536"/>
      <c r="Q17" s="536"/>
      <c r="R17" s="536"/>
    </row>
    <row r="18" spans="1:18" ht="12.75" customHeight="1" x14ac:dyDescent="0.2">
      <c r="A18" s="166">
        <f t="shared" si="2"/>
        <v>7</v>
      </c>
      <c r="B18" s="166"/>
      <c r="C18" s="531" t="s">
        <v>964</v>
      </c>
      <c r="D18" s="529">
        <v>0</v>
      </c>
      <c r="E18" s="529">
        <f t="shared" si="0"/>
        <v>14003421.301336829</v>
      </c>
      <c r="F18" s="573">
        <f t="shared" si="0"/>
        <v>56716944.436456807</v>
      </c>
      <c r="G18" s="573">
        <f t="shared" si="0"/>
        <v>347777353.47384006</v>
      </c>
      <c r="H18" s="573">
        <f t="shared" si="0"/>
        <v>396680657.76118433</v>
      </c>
      <c r="I18" s="573">
        <f t="shared" si="0"/>
        <v>40671200.988348417</v>
      </c>
      <c r="J18" s="573">
        <f t="shared" si="0"/>
        <v>380071164.50414479</v>
      </c>
      <c r="K18" s="529">
        <f t="shared" si="0"/>
        <v>131024.24257603059</v>
      </c>
      <c r="L18" s="529">
        <f t="shared" si="0"/>
        <v>1400198.9161738206</v>
      </c>
      <c r="M18" s="573">
        <f t="shared" si="0"/>
        <v>12529881.211580385</v>
      </c>
      <c r="N18" s="573">
        <f t="shared" si="1"/>
        <v>1249981846.8356414</v>
      </c>
      <c r="O18" s="536"/>
      <c r="P18" s="536"/>
      <c r="Q18" s="536"/>
      <c r="R18" s="536"/>
    </row>
    <row r="19" spans="1:18" ht="12.75" customHeight="1" x14ac:dyDescent="0.2">
      <c r="A19" s="166">
        <f t="shared" si="2"/>
        <v>8</v>
      </c>
      <c r="B19" s="166"/>
      <c r="C19" s="528" t="s">
        <v>965</v>
      </c>
      <c r="D19" s="529">
        <v>0</v>
      </c>
      <c r="E19" s="529">
        <f t="shared" si="0"/>
        <v>14237535.667000348</v>
      </c>
      <c r="F19" s="573">
        <f t="shared" si="0"/>
        <v>58342885.971480839</v>
      </c>
      <c r="G19" s="573">
        <f t="shared" si="0"/>
        <v>365176846.41168779</v>
      </c>
      <c r="H19" s="573">
        <f t="shared" si="0"/>
        <v>387434596.53659457</v>
      </c>
      <c r="I19" s="573">
        <f t="shared" si="0"/>
        <v>41535791.866347499</v>
      </c>
      <c r="J19" s="573">
        <f t="shared" si="0"/>
        <v>377560474.84908211</v>
      </c>
      <c r="K19" s="529">
        <f t="shared" si="0"/>
        <v>131194.84092236886</v>
      </c>
      <c r="L19" s="529">
        <f t="shared" si="0"/>
        <v>1439665.7369172713</v>
      </c>
      <c r="M19" s="573">
        <f t="shared" si="0"/>
        <v>12809321.905063538</v>
      </c>
      <c r="N19" s="573">
        <f t="shared" si="1"/>
        <v>1258668313.7850964</v>
      </c>
      <c r="O19" s="536"/>
      <c r="P19" s="536"/>
      <c r="Q19" s="536"/>
      <c r="R19" s="536"/>
    </row>
    <row r="20" spans="1:18" ht="12.75" customHeight="1" x14ac:dyDescent="0.2">
      <c r="A20" s="166">
        <f t="shared" si="2"/>
        <v>9</v>
      </c>
      <c r="B20" s="166"/>
      <c r="C20" s="531" t="s">
        <v>966</v>
      </c>
      <c r="D20" s="529">
        <v>0</v>
      </c>
      <c r="E20" s="529">
        <f t="shared" si="0"/>
        <v>14479720.25457155</v>
      </c>
      <c r="F20" s="573">
        <f t="shared" si="0"/>
        <v>59236307.460422233</v>
      </c>
      <c r="G20" s="573">
        <f t="shared" si="0"/>
        <v>371277809.00775701</v>
      </c>
      <c r="H20" s="573">
        <f t="shared" si="0"/>
        <v>391913170.93359488</v>
      </c>
      <c r="I20" s="573">
        <f t="shared" si="0"/>
        <v>42572934.956574418</v>
      </c>
      <c r="J20" s="573">
        <f t="shared" si="0"/>
        <v>381993661.89736509</v>
      </c>
      <c r="K20" s="529">
        <f t="shared" si="0"/>
        <v>131368.39806401057</v>
      </c>
      <c r="L20" s="529">
        <f t="shared" si="0"/>
        <v>1478301.7118714161</v>
      </c>
      <c r="M20" s="573">
        <f t="shared" si="0"/>
        <v>13051095.597955236</v>
      </c>
      <c r="N20" s="573">
        <f t="shared" si="1"/>
        <v>1276134370.2181756</v>
      </c>
      <c r="O20" s="536"/>
      <c r="P20" s="536"/>
      <c r="Q20" s="536"/>
      <c r="R20" s="536"/>
    </row>
    <row r="21" spans="1:18" ht="12.75" customHeight="1" x14ac:dyDescent="0.2">
      <c r="A21" s="166">
        <f t="shared" si="2"/>
        <v>10</v>
      </c>
      <c r="B21" s="166"/>
      <c r="C21" s="531" t="s">
        <v>967</v>
      </c>
      <c r="D21" s="529">
        <v>0</v>
      </c>
      <c r="E21" s="529">
        <f t="shared" si="0"/>
        <v>14721742.539701505</v>
      </c>
      <c r="F21" s="573">
        <f t="shared" si="0"/>
        <v>60186081.972418591</v>
      </c>
      <c r="G21" s="573">
        <f t="shared" si="0"/>
        <v>364457902.62260973</v>
      </c>
      <c r="H21" s="573">
        <f t="shared" si="0"/>
        <v>396684920.27813631</v>
      </c>
      <c r="I21" s="573">
        <f t="shared" si="0"/>
        <v>43491669.142821066</v>
      </c>
      <c r="J21" s="573">
        <f t="shared" si="0"/>
        <v>389340063.93344998</v>
      </c>
      <c r="K21" s="529">
        <f t="shared" si="0"/>
        <v>131543.60595852917</v>
      </c>
      <c r="L21" s="529">
        <f t="shared" si="0"/>
        <v>1514859.6963808548</v>
      </c>
      <c r="M21" s="573">
        <f t="shared" si="0"/>
        <v>13300363.519232832</v>
      </c>
      <c r="N21" s="573">
        <f t="shared" si="1"/>
        <v>1283829147.3107092</v>
      </c>
      <c r="O21" s="536"/>
      <c r="P21" s="536"/>
      <c r="Q21" s="536"/>
      <c r="R21" s="536"/>
    </row>
    <row r="22" spans="1:18" ht="12.75" customHeight="1" x14ac:dyDescent="0.2">
      <c r="A22" s="166">
        <f t="shared" si="2"/>
        <v>11</v>
      </c>
      <c r="B22" s="166"/>
      <c r="C22" s="528" t="s">
        <v>968</v>
      </c>
      <c r="D22" s="529">
        <v>0</v>
      </c>
      <c r="E22" s="529">
        <f t="shared" si="0"/>
        <v>14965912.764471132</v>
      </c>
      <c r="F22" s="573">
        <f t="shared" si="0"/>
        <v>61085946.183274888</v>
      </c>
      <c r="G22" s="573">
        <f t="shared" si="0"/>
        <v>370626349.07284534</v>
      </c>
      <c r="H22" s="573">
        <f t="shared" si="0"/>
        <v>400596696.87871259</v>
      </c>
      <c r="I22" s="573">
        <f t="shared" si="0"/>
        <v>44426252.6703564</v>
      </c>
      <c r="J22" s="573">
        <f t="shared" si="0"/>
        <v>393345090.13000023</v>
      </c>
      <c r="K22" s="529">
        <f t="shared" si="0"/>
        <v>131719.09917579783</v>
      </c>
      <c r="L22" s="529">
        <f t="shared" si="0"/>
        <v>1548468.0362353197</v>
      </c>
      <c r="M22" s="573">
        <f t="shared" si="0"/>
        <v>13504935.545615839</v>
      </c>
      <c r="N22" s="573">
        <f t="shared" si="1"/>
        <v>1300231370.3806875</v>
      </c>
      <c r="O22" s="536"/>
      <c r="P22" s="536"/>
      <c r="Q22" s="536"/>
      <c r="R22" s="536"/>
    </row>
    <row r="23" spans="1:18" ht="12.75" customHeight="1" thickBot="1" x14ac:dyDescent="0.25">
      <c r="A23" s="166">
        <f t="shared" si="2"/>
        <v>12</v>
      </c>
      <c r="B23" s="166"/>
      <c r="C23" s="528" t="s">
        <v>969</v>
      </c>
      <c r="D23" s="529">
        <v>0</v>
      </c>
      <c r="E23" s="529">
        <f t="shared" si="0"/>
        <v>15206614.683118401</v>
      </c>
      <c r="F23" s="573">
        <f t="shared" si="0"/>
        <v>62116061.402481653</v>
      </c>
      <c r="G23" s="573">
        <f t="shared" si="0"/>
        <v>371755359.58375365</v>
      </c>
      <c r="H23" s="573">
        <f t="shared" si="0"/>
        <v>404775981.09781063</v>
      </c>
      <c r="I23" s="573">
        <f t="shared" si="0"/>
        <v>45554966.544599384</v>
      </c>
      <c r="J23" s="573">
        <f t="shared" si="0"/>
        <v>386450656.87607771</v>
      </c>
      <c r="K23" s="529">
        <f t="shared" si="0"/>
        <v>131895.07061876537</v>
      </c>
      <c r="L23" s="529">
        <f t="shared" si="0"/>
        <v>1594797.5717730653</v>
      </c>
      <c r="M23" s="573">
        <f t="shared" si="0"/>
        <v>13702482.992056986</v>
      </c>
      <c r="N23" s="573">
        <f t="shared" si="1"/>
        <v>1301288815.8222904</v>
      </c>
      <c r="O23" s="536"/>
      <c r="P23" s="536"/>
      <c r="Q23" s="536"/>
      <c r="R23" s="536"/>
    </row>
    <row r="24" spans="1:18" ht="13.5" thickBot="1" x14ac:dyDescent="0.25">
      <c r="A24" s="166">
        <f t="shared" si="2"/>
        <v>13</v>
      </c>
      <c r="B24" s="166"/>
      <c r="C24" s="531" t="s">
        <v>970</v>
      </c>
      <c r="D24" s="555">
        <v>0</v>
      </c>
      <c r="E24" s="555">
        <v>15448962.530060295</v>
      </c>
      <c r="F24" s="574">
        <v>62849696.503684841</v>
      </c>
      <c r="G24" s="574">
        <v>372512031.10836589</v>
      </c>
      <c r="H24" s="555">
        <v>406863963.81291598</v>
      </c>
      <c r="I24" s="555">
        <v>46334041.093138769</v>
      </c>
      <c r="J24" s="555">
        <v>386000140.09468102</v>
      </c>
      <c r="K24" s="555">
        <v>132074.21772594401</v>
      </c>
      <c r="L24" s="555">
        <v>1627344.7828261126</v>
      </c>
      <c r="M24" s="555">
        <v>13852616.302390257</v>
      </c>
      <c r="N24" s="575">
        <f t="shared" si="1"/>
        <v>1305620870.4457896</v>
      </c>
      <c r="O24" s="536"/>
      <c r="P24" s="536"/>
      <c r="Q24" s="536"/>
      <c r="R24" s="536"/>
    </row>
    <row r="25" spans="1:18" x14ac:dyDescent="0.2">
      <c r="A25" s="166">
        <f t="shared" si="2"/>
        <v>14</v>
      </c>
      <c r="B25" s="518"/>
      <c r="C25" s="535" t="s">
        <v>729</v>
      </c>
      <c r="D25" s="527">
        <f t="shared" ref="D25:M25" si="3">AVERAGE(D12:D24)</f>
        <v>0</v>
      </c>
      <c r="E25" s="527">
        <f>AVERAGE(E12:E24)</f>
        <v>13991988.453680906</v>
      </c>
      <c r="F25" s="573">
        <f t="shared" si="3"/>
        <v>57489069.742357001</v>
      </c>
      <c r="G25" s="573">
        <f t="shared" si="3"/>
        <v>349693567.07219261</v>
      </c>
      <c r="H25" s="573">
        <f t="shared" si="3"/>
        <v>389707669.02753806</v>
      </c>
      <c r="I25" s="573">
        <f t="shared" si="3"/>
        <v>40925374.632288247</v>
      </c>
      <c r="J25" s="573">
        <f t="shared" si="3"/>
        <v>380411136.14649642</v>
      </c>
      <c r="K25" s="527">
        <f t="shared" si="3"/>
        <v>131071.35084015835</v>
      </c>
      <c r="L25" s="527">
        <f t="shared" si="3"/>
        <v>1405100.6709209089</v>
      </c>
      <c r="M25" s="573">
        <f t="shared" si="3"/>
        <v>12380932.124746539</v>
      </c>
      <c r="N25" s="573">
        <f>AVERAGE(N12:N24)</f>
        <v>1246135909.221061</v>
      </c>
      <c r="O25" s="536"/>
      <c r="P25" s="536"/>
      <c r="Q25" s="536"/>
      <c r="R25" s="536"/>
    </row>
    <row r="26" spans="1:18" x14ac:dyDescent="0.2">
      <c r="A26" s="518"/>
      <c r="B26" s="518"/>
      <c r="C26" s="518"/>
      <c r="D26" s="518"/>
      <c r="E26" s="518"/>
      <c r="F26" s="518"/>
      <c r="G26" s="518"/>
      <c r="H26" s="518"/>
      <c r="I26" s="518"/>
      <c r="J26" s="518"/>
      <c r="K26" s="518"/>
      <c r="L26" s="518"/>
      <c r="M26" s="518"/>
      <c r="N26" s="518"/>
      <c r="O26" s="536"/>
      <c r="P26" s="536"/>
      <c r="Q26" s="536"/>
      <c r="R26" s="536"/>
    </row>
    <row r="27" spans="1:18" x14ac:dyDescent="0.2">
      <c r="A27" s="518"/>
      <c r="B27" s="517" t="s">
        <v>780</v>
      </c>
      <c r="C27" s="518"/>
      <c r="D27" s="518"/>
      <c r="E27" s="518"/>
      <c r="F27" s="518"/>
      <c r="G27" s="518"/>
      <c r="H27" s="518"/>
      <c r="I27" s="518"/>
      <c r="J27" s="518"/>
      <c r="K27" s="518"/>
      <c r="L27" s="518"/>
      <c r="M27" s="518"/>
      <c r="N27" s="518"/>
      <c r="O27" s="536"/>
      <c r="P27" s="536"/>
      <c r="Q27" s="536"/>
      <c r="R27" s="536"/>
    </row>
    <row r="28" spans="1:18" x14ac:dyDescent="0.2">
      <c r="A28" s="518"/>
      <c r="B28" s="517"/>
      <c r="C28" s="518"/>
      <c r="D28" s="518"/>
      <c r="E28" s="518"/>
      <c r="F28" s="518"/>
      <c r="G28" s="518"/>
      <c r="H28" s="518"/>
      <c r="I28" s="518"/>
      <c r="J28" s="518"/>
      <c r="K28" s="518"/>
      <c r="L28" s="518"/>
      <c r="M28" s="518"/>
      <c r="N28" s="518"/>
      <c r="O28" s="536"/>
      <c r="P28" s="536"/>
      <c r="Q28" s="536"/>
      <c r="R28" s="536"/>
    </row>
    <row r="29" spans="1:18" x14ac:dyDescent="0.2">
      <c r="A29" s="518"/>
      <c r="B29" s="518"/>
      <c r="C29" s="227" t="s">
        <v>152</v>
      </c>
      <c r="D29" s="227" t="s">
        <v>153</v>
      </c>
      <c r="E29" s="227" t="s">
        <v>154</v>
      </c>
      <c r="F29" s="227" t="s">
        <v>155</v>
      </c>
      <c r="G29" s="227" t="s">
        <v>371</v>
      </c>
      <c r="H29" s="518"/>
      <c r="I29" s="518"/>
      <c r="J29" s="518"/>
      <c r="K29" s="518"/>
      <c r="L29" s="518"/>
      <c r="M29" s="518"/>
      <c r="N29" s="518"/>
      <c r="O29" s="536"/>
      <c r="P29" s="536"/>
      <c r="Q29" s="536"/>
      <c r="R29" s="536"/>
    </row>
    <row r="30" spans="1:18" x14ac:dyDescent="0.2">
      <c r="A30" s="518"/>
      <c r="B30" s="518"/>
      <c r="C30" s="518"/>
      <c r="D30" s="572" t="s">
        <v>778</v>
      </c>
      <c r="E30" s="518"/>
      <c r="F30" s="518"/>
      <c r="G30" s="571" t="s">
        <v>781</v>
      </c>
      <c r="H30" s="518"/>
      <c r="I30" s="518"/>
      <c r="J30" s="518"/>
      <c r="K30" s="518"/>
      <c r="L30" s="518"/>
      <c r="M30" s="518"/>
      <c r="N30" s="518"/>
      <c r="O30" s="576"/>
      <c r="P30" s="536"/>
      <c r="Q30" s="536"/>
      <c r="R30" s="536"/>
    </row>
    <row r="31" spans="1:18" x14ac:dyDescent="0.2">
      <c r="A31" s="518"/>
      <c r="B31" s="518"/>
      <c r="C31" s="518"/>
      <c r="D31" s="572" t="s">
        <v>779</v>
      </c>
      <c r="E31" s="518"/>
      <c r="F31" s="518"/>
      <c r="G31" s="518"/>
      <c r="H31" s="518"/>
      <c r="I31" s="518"/>
      <c r="J31" s="518"/>
      <c r="K31" s="518"/>
      <c r="L31" s="518"/>
      <c r="M31" s="518"/>
      <c r="N31" s="518"/>
      <c r="O31" s="577"/>
      <c r="P31" s="536"/>
      <c r="Q31" s="536"/>
      <c r="R31" s="536"/>
    </row>
    <row r="32" spans="1:18" x14ac:dyDescent="0.2">
      <c r="A32" s="518"/>
      <c r="B32" s="518"/>
      <c r="C32" s="207" t="s">
        <v>715</v>
      </c>
      <c r="D32" s="227">
        <v>360</v>
      </c>
      <c r="E32" s="227">
        <v>361</v>
      </c>
      <c r="F32" s="227">
        <v>362</v>
      </c>
      <c r="G32" s="170" t="s">
        <v>325</v>
      </c>
      <c r="H32" s="578" t="s">
        <v>45</v>
      </c>
      <c r="I32" s="536"/>
      <c r="J32" s="536"/>
      <c r="K32" s="518"/>
      <c r="L32" s="518"/>
      <c r="M32" s="518"/>
      <c r="N32" s="518"/>
      <c r="O32" s="577"/>
      <c r="P32" s="536"/>
      <c r="Q32" s="536"/>
      <c r="R32" s="536"/>
    </row>
    <row r="33" spans="1:18" x14ac:dyDescent="0.2">
      <c r="A33" s="166">
        <f>A25+1</f>
        <v>15</v>
      </c>
      <c r="C33" s="531" t="s">
        <v>955</v>
      </c>
      <c r="D33" s="526">
        <v>0</v>
      </c>
      <c r="E33" s="526">
        <v>0</v>
      </c>
      <c r="F33" s="526">
        <v>0</v>
      </c>
      <c r="G33" s="527">
        <f>SUM(D33:F33)</f>
        <v>0</v>
      </c>
      <c r="H33" s="176" t="s">
        <v>782</v>
      </c>
      <c r="I33" s="536"/>
      <c r="J33" s="536"/>
      <c r="K33" s="518"/>
      <c r="L33" s="518"/>
      <c r="M33" s="518"/>
      <c r="N33" s="518"/>
      <c r="O33" s="577"/>
      <c r="P33" s="536"/>
      <c r="Q33" s="536"/>
      <c r="R33" s="536"/>
    </row>
    <row r="34" spans="1:18" x14ac:dyDescent="0.2">
      <c r="A34" s="166">
        <v>16</v>
      </c>
      <c r="C34" s="531" t="s">
        <v>970</v>
      </c>
      <c r="D34" s="538">
        <v>0</v>
      </c>
      <c r="E34" s="538">
        <v>0</v>
      </c>
      <c r="F34" s="538">
        <v>0</v>
      </c>
      <c r="G34" s="539">
        <f>SUM(D34:F34)</f>
        <v>0</v>
      </c>
      <c r="H34" s="176" t="s">
        <v>783</v>
      </c>
      <c r="I34" s="536"/>
      <c r="J34" s="536"/>
      <c r="K34" s="518"/>
      <c r="L34" s="518"/>
      <c r="O34" s="577"/>
      <c r="P34" s="536"/>
      <c r="Q34" s="536"/>
      <c r="R34" s="536"/>
    </row>
    <row r="35" spans="1:18" x14ac:dyDescent="0.2">
      <c r="A35" s="166">
        <f>A34+1</f>
        <v>17</v>
      </c>
      <c r="C35" s="579" t="s">
        <v>784</v>
      </c>
      <c r="D35" s="527">
        <f>AVERAGE(D33:D34)</f>
        <v>0</v>
      </c>
      <c r="E35" s="527">
        <f>AVERAGE(E33:E34)</f>
        <v>0</v>
      </c>
      <c r="F35" s="527">
        <f>AVERAGE(F33:F34)</f>
        <v>0</v>
      </c>
      <c r="G35" s="527">
        <f>AVERAGE(G33:G34)</f>
        <v>0</v>
      </c>
      <c r="H35" s="580" t="str">
        <f>"Average of Line "&amp;A33&amp;" and Line "&amp;A34&amp;""</f>
        <v>Average of Line 15 and Line 16</v>
      </c>
      <c r="I35" s="518"/>
      <c r="J35" s="518"/>
      <c r="K35" s="518"/>
      <c r="M35" s="53"/>
      <c r="N35" s="437"/>
      <c r="O35" s="577"/>
      <c r="P35" s="536"/>
      <c r="Q35" s="536"/>
      <c r="R35" s="536"/>
    </row>
    <row r="36" spans="1:18" x14ac:dyDescent="0.2">
      <c r="C36" s="579"/>
      <c r="I36" s="518"/>
      <c r="J36" s="518"/>
      <c r="K36" s="518"/>
      <c r="M36" s="549"/>
      <c r="N36" s="54"/>
      <c r="O36" s="577"/>
      <c r="P36" s="536"/>
      <c r="Q36" s="536"/>
      <c r="R36" s="536"/>
    </row>
    <row r="37" spans="1:18" x14ac:dyDescent="0.2">
      <c r="B37" s="517" t="s">
        <v>785</v>
      </c>
      <c r="I37" s="518"/>
      <c r="J37" s="518"/>
      <c r="K37" s="518"/>
      <c r="L37" s="518"/>
      <c r="M37" s="53"/>
      <c r="N37" s="54"/>
      <c r="O37" s="577"/>
      <c r="P37" s="536"/>
      <c r="Q37" s="536"/>
      <c r="R37" s="536"/>
    </row>
    <row r="38" spans="1:18" ht="15" x14ac:dyDescent="0.25">
      <c r="B38" s="581"/>
      <c r="C38" s="241" t="s">
        <v>152</v>
      </c>
      <c r="D38" s="241" t="s">
        <v>153</v>
      </c>
      <c r="E38" s="241" t="s">
        <v>154</v>
      </c>
      <c r="F38" s="241" t="s">
        <v>155</v>
      </c>
      <c r="G38" s="241" t="s">
        <v>371</v>
      </c>
      <c r="J38" s="518"/>
      <c r="K38" s="582"/>
      <c r="L38" s="518"/>
      <c r="O38" s="536"/>
      <c r="P38" s="536"/>
      <c r="Q38" s="536"/>
      <c r="R38" s="536"/>
    </row>
    <row r="39" spans="1:18" ht="15" x14ac:dyDescent="0.25">
      <c r="B39" s="581"/>
      <c r="C39" s="241"/>
      <c r="D39" s="241"/>
      <c r="E39" s="217" t="s">
        <v>786</v>
      </c>
      <c r="F39" s="241"/>
      <c r="G39" s="241"/>
      <c r="J39" s="518"/>
      <c r="K39" s="582"/>
      <c r="L39" s="518"/>
      <c r="O39" s="536"/>
      <c r="P39" s="536"/>
      <c r="Q39" s="536"/>
      <c r="R39" s="536"/>
    </row>
    <row r="40" spans="1:18" x14ac:dyDescent="0.2">
      <c r="C40" s="163"/>
      <c r="D40" s="163"/>
      <c r="E40" s="522" t="s">
        <v>325</v>
      </c>
      <c r="F40" s="163"/>
      <c r="G40" s="163"/>
      <c r="J40" s="518"/>
      <c r="K40" s="582"/>
      <c r="L40" s="518"/>
      <c r="O40" s="536"/>
      <c r="P40" s="536"/>
      <c r="Q40" s="536"/>
      <c r="R40" s="536"/>
    </row>
    <row r="41" spans="1:18" x14ac:dyDescent="0.2">
      <c r="B41" s="518"/>
      <c r="C41" s="163"/>
      <c r="D41" s="536"/>
      <c r="E41" s="522" t="s">
        <v>787</v>
      </c>
      <c r="F41" s="171" t="s">
        <v>741</v>
      </c>
      <c r="G41" s="171" t="s">
        <v>742</v>
      </c>
      <c r="J41" s="518"/>
      <c r="K41" s="582"/>
      <c r="L41" s="518"/>
      <c r="O41" s="536"/>
      <c r="P41" s="536"/>
      <c r="Q41" s="536"/>
      <c r="R41" s="536"/>
    </row>
    <row r="42" spans="1:18" x14ac:dyDescent="0.2">
      <c r="B42" s="518"/>
      <c r="C42" s="163"/>
      <c r="D42" s="536"/>
      <c r="E42" s="522" t="s">
        <v>788</v>
      </c>
      <c r="F42" s="522" t="s">
        <v>788</v>
      </c>
      <c r="G42" s="522" t="s">
        <v>788</v>
      </c>
      <c r="J42" s="518"/>
      <c r="K42" s="582"/>
      <c r="L42" s="518"/>
      <c r="Q42" s="536"/>
      <c r="R42" s="536"/>
    </row>
    <row r="43" spans="1:18" x14ac:dyDescent="0.2">
      <c r="B43" s="518"/>
      <c r="C43" s="207" t="s">
        <v>715</v>
      </c>
      <c r="D43" s="536"/>
      <c r="E43" s="583" t="s">
        <v>789</v>
      </c>
      <c r="F43" s="583" t="s">
        <v>789</v>
      </c>
      <c r="G43" s="583" t="s">
        <v>789</v>
      </c>
      <c r="H43" s="563" t="s">
        <v>35</v>
      </c>
      <c r="J43" s="518"/>
      <c r="K43" s="537"/>
      <c r="L43" s="518"/>
      <c r="O43" s="536"/>
      <c r="P43" s="536"/>
      <c r="Q43" s="536"/>
      <c r="R43" s="536"/>
    </row>
    <row r="44" spans="1:18" x14ac:dyDescent="0.2">
      <c r="A44" s="166">
        <f>A35+1</f>
        <v>18</v>
      </c>
      <c r="B44" s="518"/>
      <c r="C44" s="531" t="s">
        <v>955</v>
      </c>
      <c r="D44" s="56" t="s">
        <v>790</v>
      </c>
      <c r="E44" s="529">
        <f>SUM(F44:G44)</f>
        <v>1950354116</v>
      </c>
      <c r="F44" s="526">
        <v>897908161</v>
      </c>
      <c r="G44" s="584">
        <v>1052445955</v>
      </c>
      <c r="H44" s="577" t="s">
        <v>791</v>
      </c>
      <c r="I44" s="163"/>
      <c r="J44" s="536"/>
      <c r="K44" s="660"/>
      <c r="L44" s="684"/>
      <c r="O44" s="536"/>
      <c r="P44" s="536"/>
      <c r="Q44" s="536"/>
      <c r="R44" s="536"/>
    </row>
    <row r="45" spans="1:18" x14ac:dyDescent="0.2">
      <c r="A45" s="166">
        <f>A44+1</f>
        <v>19</v>
      </c>
      <c r="B45" s="518"/>
      <c r="C45" s="531" t="s">
        <v>970</v>
      </c>
      <c r="D45" s="579" t="s">
        <v>792</v>
      </c>
      <c r="E45" s="534">
        <f>SUM(F45:G45)</f>
        <v>1958254795</v>
      </c>
      <c r="F45" s="526">
        <v>1011263915</v>
      </c>
      <c r="G45" s="584">
        <v>946990880</v>
      </c>
      <c r="H45" s="577" t="s">
        <v>793</v>
      </c>
      <c r="I45" s="163"/>
      <c r="J45" s="685"/>
      <c r="K45" s="585"/>
      <c r="L45" s="518"/>
      <c r="O45" s="536"/>
      <c r="P45" s="536"/>
      <c r="Q45" s="536"/>
      <c r="R45" s="536"/>
    </row>
    <row r="46" spans="1:18" x14ac:dyDescent="0.2">
      <c r="A46" s="166">
        <f>A45+1</f>
        <v>20</v>
      </c>
      <c r="B46" s="518"/>
      <c r="D46" s="579" t="s">
        <v>784</v>
      </c>
      <c r="E46" s="527">
        <f>AVERAGE(E44:E45)</f>
        <v>1954304455.5</v>
      </c>
      <c r="H46" s="580" t="str">
        <f>"Average of Line "&amp;A44&amp;" and Line "&amp;A45&amp;""</f>
        <v>Average of Line 18 and Line 19</v>
      </c>
      <c r="J46" s="518"/>
      <c r="K46" s="585"/>
      <c r="L46" s="518"/>
      <c r="O46" s="536"/>
      <c r="P46" s="536"/>
      <c r="Q46" s="536"/>
      <c r="R46" s="536"/>
    </row>
    <row r="47" spans="1:18" x14ac:dyDescent="0.2">
      <c r="I47" s="518"/>
      <c r="J47" s="518"/>
      <c r="K47" s="518"/>
      <c r="L47" s="518"/>
      <c r="O47" s="536"/>
      <c r="P47" s="536"/>
      <c r="Q47" s="536"/>
      <c r="R47" s="536"/>
    </row>
    <row r="48" spans="1:18" x14ac:dyDescent="0.2">
      <c r="B48" s="162" t="s">
        <v>794</v>
      </c>
      <c r="C48" s="48"/>
      <c r="D48" s="545"/>
      <c r="E48" s="518"/>
      <c r="F48" s="518"/>
      <c r="G48" s="518"/>
      <c r="H48" s="518"/>
      <c r="I48" s="518"/>
      <c r="J48" s="518"/>
      <c r="K48" s="518"/>
      <c r="L48" s="518"/>
      <c r="M48" s="518"/>
      <c r="N48" s="518"/>
      <c r="O48" s="536"/>
      <c r="P48" s="536"/>
      <c r="Q48" s="536"/>
      <c r="R48" s="536"/>
    </row>
    <row r="49" spans="1:18" x14ac:dyDescent="0.2">
      <c r="B49" s="162"/>
      <c r="C49" s="48"/>
      <c r="D49" s="545"/>
      <c r="E49" s="518"/>
      <c r="F49" s="518"/>
      <c r="G49" s="518"/>
      <c r="H49" s="518"/>
      <c r="I49" s="518"/>
      <c r="J49" s="518"/>
      <c r="K49" s="518"/>
      <c r="L49" s="518"/>
      <c r="M49" s="518"/>
      <c r="N49" s="518"/>
      <c r="O49" s="536"/>
      <c r="P49" s="536"/>
      <c r="Q49" s="536"/>
      <c r="R49" s="536"/>
    </row>
    <row r="50" spans="1:18" x14ac:dyDescent="0.2">
      <c r="B50" s="518"/>
      <c r="C50" s="162"/>
      <c r="D50" s="48"/>
      <c r="E50" s="545"/>
      <c r="F50" s="537" t="s">
        <v>34</v>
      </c>
      <c r="G50" s="563" t="s">
        <v>35</v>
      </c>
      <c r="H50" s="518"/>
      <c r="I50" s="518"/>
      <c r="J50" s="518"/>
      <c r="K50" s="518"/>
      <c r="L50" s="518"/>
      <c r="M50" s="518"/>
      <c r="N50" s="518"/>
      <c r="O50" s="536"/>
      <c r="P50" s="536"/>
      <c r="Q50" s="536"/>
      <c r="R50" s="536"/>
    </row>
    <row r="51" spans="1:18" x14ac:dyDescent="0.2">
      <c r="A51" s="166">
        <f>A46+1</f>
        <v>21</v>
      </c>
      <c r="B51" s="518"/>
      <c r="C51" s="48"/>
      <c r="D51" s="48"/>
      <c r="E51" s="56" t="s">
        <v>795</v>
      </c>
      <c r="F51" s="540">
        <f>E46</f>
        <v>1954304455.5</v>
      </c>
      <c r="G51" s="580" t="str">
        <f>"Line "&amp;A46&amp;""</f>
        <v>Line 20</v>
      </c>
      <c r="H51" s="518"/>
      <c r="I51" s="518"/>
      <c r="J51" s="518"/>
      <c r="K51" s="518"/>
      <c r="L51" s="518"/>
      <c r="M51" s="518"/>
      <c r="N51" s="518"/>
      <c r="O51" s="536"/>
      <c r="P51" s="536"/>
      <c r="Q51" s="536"/>
      <c r="R51" s="536"/>
    </row>
    <row r="52" spans="1:18" x14ac:dyDescent="0.2">
      <c r="A52" s="166">
        <f>A51+1</f>
        <v>22</v>
      </c>
      <c r="B52" s="518"/>
      <c r="C52" s="48"/>
      <c r="D52" s="48"/>
      <c r="E52" s="440" t="s">
        <v>751</v>
      </c>
      <c r="F52" s="586">
        <v>6.0138983940459835E-2</v>
      </c>
      <c r="G52" s="577" t="s">
        <v>1058</v>
      </c>
      <c r="H52" s="518"/>
      <c r="I52" s="518"/>
      <c r="J52" s="518"/>
      <c r="K52" s="518"/>
      <c r="L52" s="518"/>
      <c r="M52" s="518"/>
      <c r="N52" s="518"/>
      <c r="O52" s="536"/>
      <c r="P52" s="536"/>
      <c r="Q52" s="536"/>
      <c r="R52" s="536"/>
    </row>
    <row r="53" spans="1:18" x14ac:dyDescent="0.2">
      <c r="A53" s="166">
        <f>A52+1</f>
        <v>23</v>
      </c>
      <c r="B53" s="518"/>
      <c r="C53" s="48"/>
      <c r="D53" s="48"/>
      <c r="E53" s="440" t="s">
        <v>796</v>
      </c>
      <c r="F53" s="587">
        <f>F51*F52</f>
        <v>117529884.26408361</v>
      </c>
      <c r="G53" s="577" t="str">
        <f>"Line "&amp;A51&amp;" * Line "&amp;A52&amp;""</f>
        <v>Line 21 * Line 22</v>
      </c>
      <c r="H53" s="518"/>
      <c r="I53" s="518"/>
      <c r="J53" s="518"/>
      <c r="K53" s="518"/>
      <c r="L53" s="518"/>
      <c r="M53" s="518"/>
      <c r="O53" s="536"/>
      <c r="P53" s="536"/>
      <c r="Q53" s="536"/>
      <c r="R53" s="536"/>
    </row>
    <row r="54" spans="1:18" x14ac:dyDescent="0.2">
      <c r="B54" s="48"/>
      <c r="C54" s="48"/>
      <c r="D54" s="440"/>
      <c r="E54" s="540"/>
      <c r="F54" s="518"/>
      <c r="G54" s="536"/>
      <c r="H54" s="518"/>
      <c r="I54" s="518"/>
      <c r="J54" s="518"/>
      <c r="K54" s="518"/>
      <c r="L54" s="518"/>
      <c r="M54" s="518"/>
      <c r="O54" s="536"/>
      <c r="P54" s="536"/>
      <c r="Q54" s="536"/>
      <c r="R54" s="536"/>
    </row>
    <row r="55" spans="1:18" x14ac:dyDescent="0.2">
      <c r="B55" s="162" t="s">
        <v>797</v>
      </c>
      <c r="C55" s="48"/>
      <c r="D55" s="545"/>
      <c r="E55" s="518"/>
      <c r="F55" s="518"/>
      <c r="G55" s="536"/>
      <c r="H55" s="518"/>
      <c r="I55" s="518"/>
      <c r="J55" s="518"/>
      <c r="K55" s="518"/>
      <c r="L55" s="518"/>
      <c r="M55" s="518"/>
      <c r="O55" s="536"/>
      <c r="P55" s="536"/>
      <c r="Q55" s="536"/>
      <c r="R55" s="536"/>
    </row>
    <row r="56" spans="1:18" x14ac:dyDescent="0.2">
      <c r="B56" s="518"/>
      <c r="C56" s="518"/>
      <c r="D56" s="518"/>
      <c r="E56" s="518"/>
      <c r="F56" s="518"/>
      <c r="G56" s="536"/>
      <c r="H56" s="518"/>
      <c r="I56" s="518"/>
      <c r="J56" s="518"/>
      <c r="K56" s="518"/>
      <c r="L56" s="518"/>
      <c r="M56" s="518"/>
      <c r="O56" s="588"/>
      <c r="P56" s="548"/>
      <c r="Q56" s="536"/>
      <c r="R56" s="536"/>
    </row>
    <row r="57" spans="1:18" x14ac:dyDescent="0.2">
      <c r="B57" s="518"/>
      <c r="C57" s="518"/>
      <c r="D57" s="518"/>
      <c r="E57" s="518"/>
      <c r="F57" s="537" t="s">
        <v>34</v>
      </c>
      <c r="G57" s="576" t="s">
        <v>35</v>
      </c>
      <c r="H57" s="518"/>
      <c r="I57" s="518"/>
      <c r="J57" s="518"/>
      <c r="K57" s="518"/>
      <c r="L57" s="518"/>
      <c r="M57" s="518"/>
      <c r="O57" s="441"/>
      <c r="P57" s="441"/>
      <c r="Q57" s="536"/>
      <c r="R57" s="536"/>
    </row>
    <row r="58" spans="1:18" x14ac:dyDescent="0.2">
      <c r="A58" s="166">
        <f>A53+1</f>
        <v>24</v>
      </c>
      <c r="B58" s="48"/>
      <c r="C58" s="48"/>
      <c r="E58" s="56" t="s">
        <v>798</v>
      </c>
      <c r="F58" s="540">
        <f>E45</f>
        <v>1958254795</v>
      </c>
      <c r="G58" s="577" t="str">
        <f>"Line "&amp;A45&amp;""</f>
        <v>Line 19</v>
      </c>
      <c r="H58" s="518"/>
      <c r="I58" s="518"/>
      <c r="J58" s="518"/>
      <c r="K58" s="518"/>
      <c r="L58" s="518"/>
      <c r="M58" s="518"/>
      <c r="O58" s="589"/>
      <c r="P58" s="442"/>
      <c r="Q58" s="536"/>
      <c r="R58" s="536"/>
    </row>
    <row r="59" spans="1:18" x14ac:dyDescent="0.2">
      <c r="A59" s="166">
        <f>A58+1</f>
        <v>25</v>
      </c>
      <c r="B59" s="48"/>
      <c r="C59" s="48"/>
      <c r="E59" s="440" t="s">
        <v>751</v>
      </c>
      <c r="F59" s="586">
        <v>6.0138983940459835E-2</v>
      </c>
      <c r="G59" s="577" t="s">
        <v>1058</v>
      </c>
      <c r="H59" s="518"/>
      <c r="I59" s="518"/>
      <c r="J59" s="518"/>
      <c r="K59" s="518"/>
      <c r="L59" s="518"/>
      <c r="M59" s="518"/>
      <c r="O59" s="589"/>
      <c r="P59" s="442"/>
      <c r="Q59" s="536"/>
      <c r="R59" s="536"/>
    </row>
    <row r="60" spans="1:18" x14ac:dyDescent="0.2">
      <c r="A60" s="166">
        <f>A59+1</f>
        <v>26</v>
      </c>
      <c r="B60" s="48"/>
      <c r="C60" s="48"/>
      <c r="E60" s="440" t="s">
        <v>799</v>
      </c>
      <c r="F60" s="587">
        <f>F58*F59</f>
        <v>117767453.66783346</v>
      </c>
      <c r="G60" s="580" t="str">
        <f>"Line "&amp;A58&amp;" * Line "&amp;A59&amp;""</f>
        <v>Line 24 * Line 25</v>
      </c>
      <c r="H60" s="518"/>
      <c r="I60" s="518"/>
      <c r="J60" s="518"/>
      <c r="K60" s="518"/>
      <c r="L60" s="518"/>
      <c r="M60" s="518"/>
      <c r="Q60" s="536"/>
      <c r="R60" s="536"/>
    </row>
    <row r="61" spans="1:18" x14ac:dyDescent="0.2">
      <c r="B61" s="518"/>
      <c r="C61" s="518"/>
      <c r="D61" s="518"/>
      <c r="E61" s="518"/>
      <c r="F61" s="518"/>
      <c r="G61" s="518"/>
      <c r="H61" s="518"/>
      <c r="I61" s="518"/>
      <c r="J61" s="518"/>
      <c r="K61" s="518"/>
      <c r="L61" s="518"/>
      <c r="M61" s="518"/>
      <c r="Q61" s="536"/>
      <c r="R61" s="536"/>
    </row>
    <row r="62" spans="1:18" x14ac:dyDescent="0.2">
      <c r="Q62" s="536"/>
      <c r="R62" s="536"/>
    </row>
    <row r="63" spans="1:18" x14ac:dyDescent="0.2">
      <c r="B63" s="162" t="s">
        <v>800</v>
      </c>
      <c r="Q63" s="536"/>
      <c r="R63" s="536"/>
    </row>
    <row r="64" spans="1:18" x14ac:dyDescent="0.2">
      <c r="Q64" s="536"/>
      <c r="R64" s="536"/>
    </row>
    <row r="65" spans="1:18" x14ac:dyDescent="0.2">
      <c r="C65" s="162" t="s">
        <v>755</v>
      </c>
      <c r="D65" s="223"/>
      <c r="E65" s="223"/>
      <c r="F65" s="223"/>
      <c r="G65" s="223"/>
      <c r="H65" s="223"/>
      <c r="I65" s="223"/>
      <c r="J65" s="223"/>
      <c r="K65" s="223"/>
      <c r="L65" s="223"/>
      <c r="M65" s="223"/>
      <c r="Q65" s="536"/>
      <c r="R65" s="536"/>
    </row>
    <row r="66" spans="1:18" x14ac:dyDescent="0.2">
      <c r="A66" s="223"/>
      <c r="D66" s="223"/>
      <c r="E66" s="223"/>
      <c r="F66" s="223"/>
      <c r="G66" s="223"/>
      <c r="H66" s="223"/>
      <c r="I66" s="223"/>
      <c r="J66" s="223"/>
      <c r="K66" s="223"/>
      <c r="L66" s="223"/>
      <c r="M66" s="223"/>
      <c r="Q66" s="536"/>
      <c r="R66" s="536"/>
    </row>
    <row r="67" spans="1:18" x14ac:dyDescent="0.2">
      <c r="A67" s="517"/>
      <c r="C67" s="227" t="s">
        <v>152</v>
      </c>
      <c r="D67" s="227" t="s">
        <v>153</v>
      </c>
      <c r="E67" s="227" t="s">
        <v>154</v>
      </c>
      <c r="F67" s="227" t="s">
        <v>155</v>
      </c>
      <c r="G67" s="227" t="s">
        <v>371</v>
      </c>
      <c r="H67" s="227" t="s">
        <v>372</v>
      </c>
      <c r="I67" s="227" t="s">
        <v>386</v>
      </c>
      <c r="J67" s="227" t="s">
        <v>387</v>
      </c>
      <c r="K67" s="227" t="s">
        <v>388</v>
      </c>
      <c r="L67" s="227" t="s">
        <v>389</v>
      </c>
      <c r="M67" s="227" t="s">
        <v>390</v>
      </c>
      <c r="N67" s="227" t="s">
        <v>391</v>
      </c>
      <c r="Q67" s="536"/>
      <c r="R67" s="536"/>
    </row>
    <row r="68" spans="1:18" x14ac:dyDescent="0.2">
      <c r="A68" s="518"/>
      <c r="C68" s="523"/>
      <c r="D68" s="518"/>
      <c r="E68" s="518"/>
      <c r="F68" s="518"/>
      <c r="G68" s="518"/>
      <c r="H68" s="518"/>
      <c r="I68" s="518"/>
      <c r="J68" s="518"/>
      <c r="K68" s="518"/>
      <c r="L68" s="518"/>
      <c r="N68" s="523" t="s">
        <v>714</v>
      </c>
      <c r="O68" s="536"/>
      <c r="P68" s="536"/>
      <c r="Q68" s="536"/>
      <c r="R68" s="536"/>
    </row>
    <row r="69" spans="1:18" x14ac:dyDescent="0.2">
      <c r="A69" s="518"/>
      <c r="C69" s="171"/>
      <c r="D69" s="227"/>
      <c r="E69" s="227"/>
      <c r="F69" s="518"/>
      <c r="G69" s="518"/>
      <c r="H69" s="518"/>
      <c r="I69" s="518"/>
      <c r="J69" s="518"/>
      <c r="K69" s="518"/>
      <c r="L69" s="518"/>
      <c r="M69" s="518"/>
      <c r="O69" s="536"/>
      <c r="P69" s="536"/>
      <c r="Q69" s="536"/>
      <c r="R69" s="536"/>
    </row>
    <row r="70" spans="1:18" x14ac:dyDescent="0.2">
      <c r="A70" s="169"/>
      <c r="C70" s="207" t="s">
        <v>715</v>
      </c>
      <c r="D70" s="227">
        <v>350.1</v>
      </c>
      <c r="E70" s="227">
        <v>350.2</v>
      </c>
      <c r="F70" s="227">
        <v>352</v>
      </c>
      <c r="G70" s="227">
        <v>353</v>
      </c>
      <c r="H70" s="227">
        <v>354</v>
      </c>
      <c r="I70" s="227">
        <v>355</v>
      </c>
      <c r="J70" s="227">
        <v>356</v>
      </c>
      <c r="K70" s="227">
        <v>357</v>
      </c>
      <c r="L70" s="227">
        <v>358</v>
      </c>
      <c r="M70" s="227">
        <v>359</v>
      </c>
      <c r="N70" s="170" t="s">
        <v>325</v>
      </c>
      <c r="O70" s="536"/>
      <c r="P70" s="536"/>
      <c r="Q70" s="536"/>
      <c r="R70" s="536"/>
    </row>
    <row r="71" spans="1:18" x14ac:dyDescent="0.2">
      <c r="A71" s="166">
        <f>A60+1</f>
        <v>27</v>
      </c>
      <c r="C71" s="528" t="s">
        <v>959</v>
      </c>
      <c r="D71" s="243">
        <v>0</v>
      </c>
      <c r="E71" s="694">
        <v>262312.3900000006</v>
      </c>
      <c r="F71" s="694">
        <v>-8128595.9729368538</v>
      </c>
      <c r="G71" s="694">
        <v>-73905796.351136327</v>
      </c>
      <c r="H71" s="694">
        <v>31523959.561906517</v>
      </c>
      <c r="I71" s="694">
        <v>25378001.038199067</v>
      </c>
      <c r="J71" s="694">
        <v>7335827.6682314873</v>
      </c>
      <c r="K71" s="694">
        <v>485239.06895371713</v>
      </c>
      <c r="L71" s="694">
        <v>2187822.0286676139</v>
      </c>
      <c r="M71" s="694">
        <v>5522829.2182342904</v>
      </c>
      <c r="N71" s="527">
        <f t="shared" ref="N71:N82" si="4">SUM(D71:M71)</f>
        <v>-9338401.3498804905</v>
      </c>
      <c r="O71" s="536"/>
      <c r="P71" s="536"/>
      <c r="Q71" s="536"/>
      <c r="R71" s="536"/>
    </row>
    <row r="72" spans="1:18" x14ac:dyDescent="0.2">
      <c r="A72" s="166">
        <f t="shared" ref="A72:A83" si="5">A71+1</f>
        <v>28</v>
      </c>
      <c r="C72" s="531" t="s">
        <v>960</v>
      </c>
      <c r="D72" s="243">
        <v>0</v>
      </c>
      <c r="E72" s="694">
        <v>263774.93999999762</v>
      </c>
      <c r="F72" s="694">
        <v>828627.39999997616</v>
      </c>
      <c r="G72" s="694">
        <v>2909038.2599999905</v>
      </c>
      <c r="H72" s="694">
        <v>2703901.8399999738</v>
      </c>
      <c r="I72" s="694">
        <v>-1118325.8199999928</v>
      </c>
      <c r="J72" s="694">
        <v>2298136.9700000286</v>
      </c>
      <c r="K72" s="694">
        <v>77498</v>
      </c>
      <c r="L72" s="694">
        <v>243597.73000000417</v>
      </c>
      <c r="M72" s="694">
        <v>44262.929999999702</v>
      </c>
      <c r="N72" s="527">
        <f t="shared" si="4"/>
        <v>8250512.2499999776</v>
      </c>
      <c r="P72" s="536"/>
      <c r="Q72" s="536"/>
      <c r="R72" s="536"/>
    </row>
    <row r="73" spans="1:18" x14ac:dyDescent="0.2">
      <c r="A73" s="166">
        <f t="shared" si="5"/>
        <v>29</v>
      </c>
      <c r="C73" s="531" t="s">
        <v>961</v>
      </c>
      <c r="D73" s="243">
        <v>0</v>
      </c>
      <c r="E73" s="694">
        <v>256816.24999999627</v>
      </c>
      <c r="F73" s="694">
        <v>722210.19000002742</v>
      </c>
      <c r="G73" s="694">
        <v>21312353.830000162</v>
      </c>
      <c r="H73" s="694">
        <v>2284501.6899999976</v>
      </c>
      <c r="I73" s="694">
        <v>-642674.87999999523</v>
      </c>
      <c r="J73" s="694">
        <v>1789377.5</v>
      </c>
      <c r="K73" s="694">
        <v>89736.070000000298</v>
      </c>
      <c r="L73" s="694">
        <v>409230.18000000715</v>
      </c>
      <c r="M73" s="694">
        <v>-226722.33000000007</v>
      </c>
      <c r="N73" s="527">
        <f t="shared" si="4"/>
        <v>25994828.500000194</v>
      </c>
      <c r="P73" s="536"/>
      <c r="Q73" s="536"/>
      <c r="R73" s="536"/>
    </row>
    <row r="74" spans="1:18" x14ac:dyDescent="0.2">
      <c r="A74" s="166">
        <f t="shared" si="5"/>
        <v>30</v>
      </c>
      <c r="C74" s="528" t="s">
        <v>962</v>
      </c>
      <c r="D74" s="243">
        <v>0</v>
      </c>
      <c r="E74" s="694">
        <v>326199.30000000447</v>
      </c>
      <c r="F74" s="694">
        <v>1515721.7199999392</v>
      </c>
      <c r="G74" s="694">
        <v>6429862.3099999428</v>
      </c>
      <c r="H74" s="694">
        <v>4432204.1999999881</v>
      </c>
      <c r="I74" s="694">
        <v>373915.59000000358</v>
      </c>
      <c r="J74" s="694">
        <v>2177298.5399999619</v>
      </c>
      <c r="K74" s="694">
        <v>109060.76999999955</v>
      </c>
      <c r="L74" s="694">
        <v>466506.34999999404</v>
      </c>
      <c r="M74" s="694">
        <v>205973.9299999997</v>
      </c>
      <c r="N74" s="527">
        <f t="shared" si="4"/>
        <v>16036742.709999833</v>
      </c>
      <c r="P74" s="536"/>
      <c r="Q74" s="536"/>
      <c r="R74" s="536"/>
    </row>
    <row r="75" spans="1:18" x14ac:dyDescent="0.2">
      <c r="A75" s="166">
        <f t="shared" si="5"/>
        <v>31</v>
      </c>
      <c r="C75" s="531" t="s">
        <v>963</v>
      </c>
      <c r="D75" s="243">
        <v>0</v>
      </c>
      <c r="E75" s="694">
        <v>442491.95999999717</v>
      </c>
      <c r="F75" s="694">
        <v>134001.35000000894</v>
      </c>
      <c r="G75" s="694">
        <v>7078254.2299998999</v>
      </c>
      <c r="H75" s="694">
        <v>2831029.8799999952</v>
      </c>
      <c r="I75" s="694">
        <v>1155237.0900000036</v>
      </c>
      <c r="J75" s="694">
        <v>2574335.2200000286</v>
      </c>
      <c r="K75" s="694">
        <v>88976.699999999255</v>
      </c>
      <c r="L75" s="694">
        <v>46948.239999994636</v>
      </c>
      <c r="M75" s="694">
        <v>173603.19999999925</v>
      </c>
      <c r="N75" s="527">
        <f t="shared" si="4"/>
        <v>14524877.869999927</v>
      </c>
    </row>
    <row r="76" spans="1:18" x14ac:dyDescent="0.2">
      <c r="A76" s="166">
        <f t="shared" si="5"/>
        <v>32</v>
      </c>
      <c r="C76" s="531" t="s">
        <v>964</v>
      </c>
      <c r="D76" s="243">
        <v>0</v>
      </c>
      <c r="E76" s="694">
        <v>279291.05000000447</v>
      </c>
      <c r="F76" s="694">
        <v>397050.95000001788</v>
      </c>
      <c r="G76" s="694">
        <v>6860668.0700002909</v>
      </c>
      <c r="H76" s="694">
        <v>3958518.1399999857</v>
      </c>
      <c r="I76" s="694">
        <v>347115.46999999881</v>
      </c>
      <c r="J76" s="694">
        <v>2837721.5299999714</v>
      </c>
      <c r="K76" s="694">
        <v>88986.679999999702</v>
      </c>
      <c r="L76" s="694">
        <v>600423.34999999404</v>
      </c>
      <c r="M76" s="694">
        <v>155833.8900000006</v>
      </c>
      <c r="N76" s="527">
        <f t="shared" si="4"/>
        <v>15525609.130000263</v>
      </c>
    </row>
    <row r="77" spans="1:18" x14ac:dyDescent="0.2">
      <c r="A77" s="166">
        <f t="shared" si="5"/>
        <v>33</v>
      </c>
      <c r="C77" s="528" t="s">
        <v>965</v>
      </c>
      <c r="D77" s="243">
        <v>0</v>
      </c>
      <c r="E77" s="694">
        <v>277836.55999999493</v>
      </c>
      <c r="F77" s="694">
        <v>2635039.8799999952</v>
      </c>
      <c r="G77" s="694">
        <v>20449219.339999914</v>
      </c>
      <c r="H77" s="694">
        <v>-9883031.9599999785</v>
      </c>
      <c r="I77" s="694">
        <v>1452839.0600000024</v>
      </c>
      <c r="J77" s="694">
        <v>2000345.5900000334</v>
      </c>
      <c r="K77" s="694">
        <v>93250.359999999404</v>
      </c>
      <c r="L77" s="694">
        <v>192358.56999999285</v>
      </c>
      <c r="M77" s="694">
        <v>287219.8200000003</v>
      </c>
      <c r="N77" s="527">
        <f t="shared" si="4"/>
        <v>17505077.219999954</v>
      </c>
    </row>
    <row r="78" spans="1:18" x14ac:dyDescent="0.2">
      <c r="A78" s="166">
        <f t="shared" si="5"/>
        <v>34</v>
      </c>
      <c r="C78" s="531" t="s">
        <v>966</v>
      </c>
      <c r="D78" s="243">
        <v>0</v>
      </c>
      <c r="E78" s="694">
        <v>285895.11000000313</v>
      </c>
      <c r="F78" s="694">
        <v>841723.17999999225</v>
      </c>
      <c r="G78" s="694">
        <v>6099209.1300002337</v>
      </c>
      <c r="H78" s="694">
        <v>4484208.8799999952</v>
      </c>
      <c r="I78" s="694">
        <v>-38528.669999986887</v>
      </c>
      <c r="J78" s="694">
        <v>3350765.3300000429</v>
      </c>
      <c r="K78" s="694">
        <v>92341.5</v>
      </c>
      <c r="L78" s="694">
        <v>243792.51000000536</v>
      </c>
      <c r="M78" s="694">
        <v>242649.90000000037</v>
      </c>
      <c r="N78" s="527">
        <f t="shared" si="4"/>
        <v>15602056.870000286</v>
      </c>
    </row>
    <row r="79" spans="1:18" x14ac:dyDescent="0.2">
      <c r="A79" s="166">
        <f t="shared" si="5"/>
        <v>35</v>
      </c>
      <c r="C79" s="531" t="s">
        <v>967</v>
      </c>
      <c r="D79" s="243">
        <v>0</v>
      </c>
      <c r="E79" s="694">
        <v>285130.48999999836</v>
      </c>
      <c r="F79" s="694">
        <v>975679.6099999994</v>
      </c>
      <c r="G79" s="694">
        <v>-10308320.610000372</v>
      </c>
      <c r="H79" s="694">
        <v>4790177.4100000262</v>
      </c>
      <c r="I79" s="694">
        <v>1045349.3700000048</v>
      </c>
      <c r="J79" s="694">
        <v>3947131.5800000429</v>
      </c>
      <c r="K79" s="694">
        <v>91215.10000000149</v>
      </c>
      <c r="L79" s="694">
        <v>371866.1400000006</v>
      </c>
      <c r="M79" s="694">
        <v>250812.55000000075</v>
      </c>
      <c r="N79" s="527">
        <f t="shared" si="4"/>
        <v>1449041.6399997026</v>
      </c>
    </row>
    <row r="80" spans="1:18" x14ac:dyDescent="0.2">
      <c r="A80" s="166">
        <f t="shared" si="5"/>
        <v>36</v>
      </c>
      <c r="C80" s="528" t="s">
        <v>968</v>
      </c>
      <c r="D80" s="243">
        <v>0</v>
      </c>
      <c r="E80" s="694">
        <v>292943.07999999821</v>
      </c>
      <c r="F80" s="694">
        <v>851344.46999999881</v>
      </c>
      <c r="G80" s="694">
        <v>6185718.8900002241</v>
      </c>
      <c r="H80" s="694">
        <v>3889778.3700000048</v>
      </c>
      <c r="I80" s="694">
        <v>924015.50999999046</v>
      </c>
      <c r="J80" s="694">
        <v>3300257.1900000572</v>
      </c>
      <c r="K80" s="694">
        <v>91286.25</v>
      </c>
      <c r="L80" s="694">
        <v>553789.34999999404</v>
      </c>
      <c r="M80" s="694">
        <v>197928.53999999911</v>
      </c>
      <c r="N80" s="527">
        <f t="shared" si="4"/>
        <v>16287061.650000267</v>
      </c>
    </row>
    <row r="81" spans="1:15" x14ac:dyDescent="0.2">
      <c r="A81" s="166">
        <f t="shared" si="5"/>
        <v>37</v>
      </c>
      <c r="C81" s="528" t="s">
        <v>969</v>
      </c>
      <c r="D81" s="243">
        <v>0</v>
      </c>
      <c r="E81" s="694">
        <v>281301.89999999851</v>
      </c>
      <c r="F81" s="694">
        <v>1112923.530000031</v>
      </c>
      <c r="G81" s="694">
        <v>-236997.14999985695</v>
      </c>
      <c r="H81" s="694">
        <v>4169748.7099999785</v>
      </c>
      <c r="I81" s="694">
        <v>-766766.84000000358</v>
      </c>
      <c r="J81" s="694">
        <v>1184741.6799999475</v>
      </c>
      <c r="K81" s="694">
        <v>88131.300000000745</v>
      </c>
      <c r="L81" s="694">
        <v>-231242.12000000477</v>
      </c>
      <c r="M81" s="694">
        <v>189610.08999999985</v>
      </c>
      <c r="N81" s="527">
        <f t="shared" si="4"/>
        <v>5791451.1000000909</v>
      </c>
    </row>
    <row r="82" spans="1:15" x14ac:dyDescent="0.2">
      <c r="A82" s="166">
        <f t="shared" si="5"/>
        <v>38</v>
      </c>
      <c r="C82" s="531" t="s">
        <v>970</v>
      </c>
      <c r="D82" s="555">
        <v>0</v>
      </c>
      <c r="E82" s="695">
        <v>286920.38000000641</v>
      </c>
      <c r="F82" s="695">
        <v>384050.81999997795</v>
      </c>
      <c r="G82" s="695">
        <v>-710734.9500002861</v>
      </c>
      <c r="H82" s="695">
        <v>1980408.0199999809</v>
      </c>
      <c r="I82" s="695">
        <v>2347052.9199999869</v>
      </c>
      <c r="J82" s="695">
        <v>2435599.0399999619</v>
      </c>
      <c r="K82" s="695">
        <v>85816.280000001192</v>
      </c>
      <c r="L82" s="695">
        <v>622229.53000000119</v>
      </c>
      <c r="M82" s="695">
        <v>133566.45000000112</v>
      </c>
      <c r="N82" s="539">
        <f t="shared" si="4"/>
        <v>7564908.4899996314</v>
      </c>
      <c r="O82" s="536"/>
    </row>
    <row r="83" spans="1:15" x14ac:dyDescent="0.2">
      <c r="A83" s="166">
        <f t="shared" si="5"/>
        <v>39</v>
      </c>
      <c r="C83" s="535" t="s">
        <v>166</v>
      </c>
      <c r="D83" s="527">
        <f>SUM(D71:D82)</f>
        <v>0</v>
      </c>
      <c r="E83" s="527">
        <f t="shared" ref="E83:M83" si="6">SUM(E71:E82)</f>
        <v>3540913.41</v>
      </c>
      <c r="F83" s="527">
        <f t="shared" si="6"/>
        <v>2269777.1270631105</v>
      </c>
      <c r="G83" s="527">
        <f t="shared" si="6"/>
        <v>-7837525.0011361837</v>
      </c>
      <c r="H83" s="527">
        <f t="shared" si="6"/>
        <v>57165404.741906464</v>
      </c>
      <c r="I83" s="527">
        <f t="shared" si="6"/>
        <v>30457229.838199079</v>
      </c>
      <c r="J83" s="527">
        <f t="shared" si="6"/>
        <v>35231537.838231564</v>
      </c>
      <c r="K83" s="527">
        <f t="shared" si="6"/>
        <v>1481538.0789537188</v>
      </c>
      <c r="L83" s="527">
        <f t="shared" si="6"/>
        <v>5707321.8586675972</v>
      </c>
      <c r="M83" s="527">
        <f t="shared" si="6"/>
        <v>7177568.188234291</v>
      </c>
      <c r="N83" s="527">
        <f>SUM(N71:N82)</f>
        <v>135193766.08011961</v>
      </c>
      <c r="O83" s="536"/>
    </row>
    <row r="85" spans="1:15" x14ac:dyDescent="0.2">
      <c r="C85" s="162" t="s">
        <v>801</v>
      </c>
      <c r="D85" s="223"/>
      <c r="E85" s="223"/>
      <c r="F85" s="223"/>
      <c r="G85" s="223"/>
      <c r="H85" s="223"/>
      <c r="I85" s="223"/>
      <c r="J85" s="223"/>
      <c r="K85" s="223"/>
      <c r="L85" s="223"/>
    </row>
    <row r="86" spans="1:15" x14ac:dyDescent="0.2">
      <c r="A86" s="223"/>
      <c r="C86" s="223"/>
      <c r="D86" s="223"/>
      <c r="E86" s="223"/>
      <c r="F86" s="223"/>
      <c r="G86" s="223"/>
      <c r="H86" s="223"/>
      <c r="I86" s="223"/>
      <c r="J86" s="223"/>
      <c r="K86" s="223"/>
      <c r="L86" s="223"/>
    </row>
    <row r="87" spans="1:15" x14ac:dyDescent="0.2">
      <c r="A87" s="517"/>
      <c r="C87" s="227" t="s">
        <v>152</v>
      </c>
      <c r="D87" s="227" t="s">
        <v>153</v>
      </c>
      <c r="E87" s="227" t="s">
        <v>154</v>
      </c>
      <c r="F87" s="227" t="s">
        <v>155</v>
      </c>
      <c r="G87" s="227" t="s">
        <v>371</v>
      </c>
      <c r="H87" s="227" t="s">
        <v>372</v>
      </c>
      <c r="I87" s="227" t="s">
        <v>386</v>
      </c>
      <c r="J87" s="227" t="s">
        <v>387</v>
      </c>
      <c r="K87" s="227" t="s">
        <v>388</v>
      </c>
      <c r="L87" s="227" t="s">
        <v>389</v>
      </c>
      <c r="M87" s="227" t="s">
        <v>390</v>
      </c>
      <c r="N87" s="227" t="s">
        <v>391</v>
      </c>
    </row>
    <row r="88" spans="1:15" x14ac:dyDescent="0.2">
      <c r="A88" s="518"/>
      <c r="C88" s="523"/>
      <c r="D88" s="518"/>
      <c r="E88" s="518"/>
      <c r="F88" s="518"/>
      <c r="G88" s="518"/>
      <c r="H88" s="518"/>
      <c r="I88" s="518"/>
      <c r="J88" s="518"/>
      <c r="K88" s="518"/>
      <c r="L88" s="518"/>
      <c r="N88" s="523" t="s">
        <v>714</v>
      </c>
    </row>
    <row r="89" spans="1:15" x14ac:dyDescent="0.2">
      <c r="A89" s="518"/>
      <c r="C89" s="171"/>
      <c r="D89" s="227"/>
      <c r="E89" s="227"/>
      <c r="F89" s="518"/>
      <c r="G89" s="518"/>
      <c r="H89" s="518"/>
      <c r="I89" s="518"/>
      <c r="J89" s="518"/>
      <c r="K89" s="518"/>
      <c r="L89" s="518"/>
      <c r="M89" s="518"/>
    </row>
    <row r="90" spans="1:15" x14ac:dyDescent="0.2">
      <c r="A90" s="169"/>
      <c r="C90" s="207" t="s">
        <v>715</v>
      </c>
      <c r="D90" s="227">
        <v>350.1</v>
      </c>
      <c r="E90" s="227">
        <v>350.2</v>
      </c>
      <c r="F90" s="227">
        <v>352</v>
      </c>
      <c r="G90" s="227">
        <v>353</v>
      </c>
      <c r="H90" s="227">
        <v>354</v>
      </c>
      <c r="I90" s="227">
        <v>355</v>
      </c>
      <c r="J90" s="227">
        <v>356</v>
      </c>
      <c r="K90" s="227">
        <v>357</v>
      </c>
      <c r="L90" s="227">
        <v>358</v>
      </c>
      <c r="M90" s="227">
        <v>359</v>
      </c>
      <c r="N90" s="170" t="s">
        <v>325</v>
      </c>
    </row>
    <row r="91" spans="1:15" x14ac:dyDescent="0.2">
      <c r="A91" s="166">
        <f>A83+1</f>
        <v>40</v>
      </c>
      <c r="C91" s="528" t="s">
        <v>959</v>
      </c>
      <c r="D91" s="188">
        <v>0</v>
      </c>
      <c r="E91" s="188">
        <v>219114.3931865429</v>
      </c>
      <c r="F91" s="188">
        <v>917331.73366378155</v>
      </c>
      <c r="G91" s="188">
        <v>6010562.7352965558</v>
      </c>
      <c r="H91" s="188">
        <v>3631389.9406512249</v>
      </c>
      <c r="I91" s="188">
        <v>705032.38569812605</v>
      </c>
      <c r="J91" s="188">
        <v>2654482.4063521251</v>
      </c>
      <c r="K91" s="188">
        <v>298.6512079454485</v>
      </c>
      <c r="L91" s="188">
        <v>41906.661054624645</v>
      </c>
      <c r="M91" s="188">
        <v>103610.33011031075</v>
      </c>
      <c r="N91" s="527">
        <f t="shared" ref="N91:N102" si="7">SUM(D91:M91)</f>
        <v>14283729.237221239</v>
      </c>
    </row>
    <row r="92" spans="1:15" x14ac:dyDescent="0.2">
      <c r="A92" s="166">
        <f t="shared" ref="A92:A103" si="8">A91+1</f>
        <v>41</v>
      </c>
      <c r="C92" s="531" t="s">
        <v>960</v>
      </c>
      <c r="D92" s="188">
        <v>0</v>
      </c>
      <c r="E92" s="188">
        <v>219111.58049090928</v>
      </c>
      <c r="F92" s="188">
        <v>922746.03233853506</v>
      </c>
      <c r="G92" s="188">
        <v>6018048.6569951801</v>
      </c>
      <c r="H92" s="186">
        <v>3681645.8929035049</v>
      </c>
      <c r="I92" s="186">
        <v>713423.84431348334</v>
      </c>
      <c r="J92" s="186">
        <v>2722783.6625257973</v>
      </c>
      <c r="K92" s="188">
        <v>306.13240359609267</v>
      </c>
      <c r="L92" s="188">
        <v>41907.467514114185</v>
      </c>
      <c r="M92" s="188">
        <v>105179.84322620898</v>
      </c>
      <c r="N92" s="573">
        <f t="shared" si="7"/>
        <v>14425153.112711329</v>
      </c>
    </row>
    <row r="93" spans="1:15" x14ac:dyDescent="0.2">
      <c r="A93" s="166">
        <f t="shared" si="8"/>
        <v>42</v>
      </c>
      <c r="C93" s="531" t="s">
        <v>961</v>
      </c>
      <c r="D93" s="188">
        <v>0</v>
      </c>
      <c r="E93" s="188">
        <v>219300.54442772907</v>
      </c>
      <c r="F93" s="188">
        <v>927294.59839890839</v>
      </c>
      <c r="G93" s="188">
        <v>6028554.9586893776</v>
      </c>
      <c r="H93" s="186">
        <v>3670659.8070471087</v>
      </c>
      <c r="I93" s="186">
        <v>714186.47965425381</v>
      </c>
      <c r="J93" s="186">
        <v>2723753.9627723172</v>
      </c>
      <c r="K93" s="188">
        <v>306.71466544409435</v>
      </c>
      <c r="L93" s="188">
        <v>41907.55985403798</v>
      </c>
      <c r="M93" s="186">
        <v>106200.06048601086</v>
      </c>
      <c r="N93" s="573">
        <f t="shared" si="7"/>
        <v>14432164.685995189</v>
      </c>
    </row>
    <row r="94" spans="1:15" x14ac:dyDescent="0.2">
      <c r="A94" s="166">
        <f t="shared" si="8"/>
        <v>43</v>
      </c>
      <c r="C94" s="528" t="s">
        <v>962</v>
      </c>
      <c r="D94" s="188">
        <v>0</v>
      </c>
      <c r="E94" s="188">
        <v>219316.7385677167</v>
      </c>
      <c r="F94" s="188">
        <v>933576.34473256022</v>
      </c>
      <c r="G94" s="188">
        <v>6040547.2185545303</v>
      </c>
      <c r="H94" s="186">
        <v>4115498.8775734869</v>
      </c>
      <c r="I94" s="186">
        <v>899095.99283641402</v>
      </c>
      <c r="J94" s="186">
        <v>2990447.3401973969</v>
      </c>
      <c r="K94" s="188">
        <v>306.71656429105406</v>
      </c>
      <c r="L94" s="188">
        <v>41907.484887689774</v>
      </c>
      <c r="M94" s="188">
        <v>137092.6475098691</v>
      </c>
      <c r="N94" s="573">
        <f t="shared" si="7"/>
        <v>15377789.361423954</v>
      </c>
    </row>
    <row r="95" spans="1:15" x14ac:dyDescent="0.2">
      <c r="A95" s="166">
        <f t="shared" si="8"/>
        <v>44</v>
      </c>
      <c r="C95" s="531" t="s">
        <v>963</v>
      </c>
      <c r="D95" s="188">
        <v>0</v>
      </c>
      <c r="E95" s="188">
        <v>219320.61291190397</v>
      </c>
      <c r="F95" s="188">
        <v>928491.06029620848</v>
      </c>
      <c r="G95" s="188">
        <v>6045189.2072850121</v>
      </c>
      <c r="H95" s="186">
        <v>4343969.4597482588</v>
      </c>
      <c r="I95" s="186">
        <v>919562.16909398988</v>
      </c>
      <c r="J95" s="186">
        <v>3084945.7549511171</v>
      </c>
      <c r="K95" s="188">
        <v>306.71653359079204</v>
      </c>
      <c r="L95" s="188">
        <v>41907.470233370368</v>
      </c>
      <c r="M95" s="188">
        <v>234589.6805999802</v>
      </c>
      <c r="N95" s="573">
        <f t="shared" si="7"/>
        <v>15818282.131653432</v>
      </c>
    </row>
    <row r="96" spans="1:15" x14ac:dyDescent="0.2">
      <c r="A96" s="166">
        <f t="shared" si="8"/>
        <v>45</v>
      </c>
      <c r="C96" s="531" t="s">
        <v>964</v>
      </c>
      <c r="D96" s="188">
        <v>0</v>
      </c>
      <c r="E96" s="188">
        <v>219340.00264225263</v>
      </c>
      <c r="F96" s="188">
        <v>929379.33293662441</v>
      </c>
      <c r="G96" s="188">
        <v>6058810.1197000341</v>
      </c>
      <c r="H96" s="186">
        <v>4355044.9389529591</v>
      </c>
      <c r="I96" s="186">
        <v>922859.67245079856</v>
      </c>
      <c r="J96" s="186">
        <v>3088389.6958593954</v>
      </c>
      <c r="K96" s="188">
        <v>306.71783532795769</v>
      </c>
      <c r="L96" s="188">
        <v>41907.145811726601</v>
      </c>
      <c r="M96" s="188">
        <v>235999.59654598127</v>
      </c>
      <c r="N96" s="573">
        <f t="shared" si="7"/>
        <v>15852037.222735101</v>
      </c>
    </row>
    <row r="97" spans="1:14" x14ac:dyDescent="0.2">
      <c r="A97" s="166">
        <f t="shared" si="8"/>
        <v>46</v>
      </c>
      <c r="C97" s="528" t="s">
        <v>965</v>
      </c>
      <c r="D97" s="188">
        <v>0</v>
      </c>
      <c r="E97" s="188">
        <v>217811.7047315446</v>
      </c>
      <c r="F97" s="188">
        <v>925042.01225259528</v>
      </c>
      <c r="G97" s="188">
        <v>6093133.9316741712</v>
      </c>
      <c r="H97" s="186">
        <v>4355526.442205972</v>
      </c>
      <c r="I97" s="186">
        <v>924392.99815634778</v>
      </c>
      <c r="J97" s="186">
        <v>3087387.2237084066</v>
      </c>
      <c r="K97" s="188">
        <v>306.70031262922049</v>
      </c>
      <c r="L97" s="188">
        <v>41907.111301368459</v>
      </c>
      <c r="M97" s="186">
        <v>236431.87714112538</v>
      </c>
      <c r="N97" s="573">
        <f t="shared" si="7"/>
        <v>15881940.001484159</v>
      </c>
    </row>
    <row r="98" spans="1:14" x14ac:dyDescent="0.2">
      <c r="A98" s="166">
        <f t="shared" si="8"/>
        <v>47</v>
      </c>
      <c r="C98" s="531" t="s">
        <v>966</v>
      </c>
      <c r="D98" s="188">
        <v>0</v>
      </c>
      <c r="E98" s="188">
        <v>225886.27873445407</v>
      </c>
      <c r="F98" s="188">
        <v>929330.10007481684</v>
      </c>
      <c r="G98" s="188">
        <v>6107463.2831035703</v>
      </c>
      <c r="H98" s="186">
        <v>4358258.1717539858</v>
      </c>
      <c r="I98" s="186">
        <v>927788.81796030793</v>
      </c>
      <c r="J98" s="186">
        <v>3089929.9764541895</v>
      </c>
      <c r="K98" s="188">
        <v>308.32583925279749</v>
      </c>
      <c r="L98" s="188">
        <v>41910.458749392004</v>
      </c>
      <c r="M98" s="186">
        <v>236929.3661518046</v>
      </c>
      <c r="N98" s="573">
        <f t="shared" si="7"/>
        <v>15917804.778821772</v>
      </c>
    </row>
    <row r="99" spans="1:14" x14ac:dyDescent="0.2">
      <c r="A99" s="166">
        <f t="shared" si="8"/>
        <v>48</v>
      </c>
      <c r="C99" s="531" t="s">
        <v>967</v>
      </c>
      <c r="D99" s="188">
        <v>0</v>
      </c>
      <c r="E99" s="188">
        <v>225948.56197749916</v>
      </c>
      <c r="F99" s="188">
        <v>931781.34917085525</v>
      </c>
      <c r="G99" s="188">
        <v>6112815.5667623142</v>
      </c>
      <c r="H99" s="186">
        <v>4378244.6920813164</v>
      </c>
      <c r="I99" s="186">
        <v>931606.06016693159</v>
      </c>
      <c r="J99" s="186">
        <v>3127996.2132251174</v>
      </c>
      <c r="K99" s="188">
        <v>308.32714736514583</v>
      </c>
      <c r="L99" s="188">
        <v>41909.805845876544</v>
      </c>
      <c r="M99" s="186">
        <v>240728.06106390493</v>
      </c>
      <c r="N99" s="573">
        <f t="shared" si="7"/>
        <v>15991338.637441179</v>
      </c>
    </row>
    <row r="100" spans="1:14" x14ac:dyDescent="0.2">
      <c r="A100" s="166">
        <f t="shared" si="8"/>
        <v>49</v>
      </c>
      <c r="C100" s="528" t="s">
        <v>968</v>
      </c>
      <c r="D100" s="188">
        <v>0</v>
      </c>
      <c r="E100" s="188">
        <v>225984.32779964013</v>
      </c>
      <c r="F100" s="188">
        <v>933565.05218706327</v>
      </c>
      <c r="G100" s="188">
        <v>6104411.7208404904</v>
      </c>
      <c r="H100" s="186">
        <v>4381516.9592201589</v>
      </c>
      <c r="I100" s="186">
        <v>933509.16832130088</v>
      </c>
      <c r="J100" s="186">
        <v>3130426.273004699</v>
      </c>
      <c r="K100" s="188">
        <v>308.71608900878635</v>
      </c>
      <c r="L100" s="188">
        <v>41910.899107262325</v>
      </c>
      <c r="M100" s="186">
        <v>241302.17662528786</v>
      </c>
      <c r="N100" s="573">
        <f t="shared" si="7"/>
        <v>15992935.293194911</v>
      </c>
    </row>
    <row r="101" spans="1:14" x14ac:dyDescent="0.2">
      <c r="A101" s="166">
        <f t="shared" si="8"/>
        <v>50</v>
      </c>
      <c r="C101" s="528" t="s">
        <v>969</v>
      </c>
      <c r="D101" s="188">
        <v>0</v>
      </c>
      <c r="E101" s="188">
        <v>225563.43486614173</v>
      </c>
      <c r="F101" s="188">
        <v>972598.22316225374</v>
      </c>
      <c r="G101" s="188">
        <v>6193259.2279445594</v>
      </c>
      <c r="H101" s="186">
        <v>4382901.2076567905</v>
      </c>
      <c r="I101" s="186">
        <v>936016.6948936613</v>
      </c>
      <c r="J101" s="186">
        <v>3131611.7535155844</v>
      </c>
      <c r="K101" s="188">
        <v>304.58042251048988</v>
      </c>
      <c r="L101" s="188">
        <v>41899.240944033671</v>
      </c>
      <c r="M101" s="186">
        <v>241431.07587938977</v>
      </c>
      <c r="N101" s="573">
        <f t="shared" si="7"/>
        <v>16125585.439284924</v>
      </c>
    </row>
    <row r="102" spans="1:14" x14ac:dyDescent="0.2">
      <c r="A102" s="166">
        <f t="shared" si="8"/>
        <v>51</v>
      </c>
      <c r="C102" s="531" t="s">
        <v>970</v>
      </c>
      <c r="D102" s="181">
        <v>0</v>
      </c>
      <c r="E102" s="181">
        <v>225728.12086562661</v>
      </c>
      <c r="F102" s="181">
        <v>976449.3492728729</v>
      </c>
      <c r="G102" s="181">
        <v>6196839.6650213832</v>
      </c>
      <c r="H102" s="178">
        <v>4385084.551758931</v>
      </c>
      <c r="I102" s="178">
        <v>938477.3887744915</v>
      </c>
      <c r="J102" s="178">
        <v>3131077.5470669158</v>
      </c>
      <c r="K102" s="181">
        <v>304.36640262113832</v>
      </c>
      <c r="L102" s="181">
        <v>41959.074035155165</v>
      </c>
      <c r="M102" s="178">
        <v>241727.2768145235</v>
      </c>
      <c r="N102" s="575">
        <f t="shared" si="7"/>
        <v>16137647.340012521</v>
      </c>
    </row>
    <row r="103" spans="1:14" x14ac:dyDescent="0.2">
      <c r="A103" s="166">
        <f t="shared" si="8"/>
        <v>52</v>
      </c>
      <c r="C103" s="535" t="s">
        <v>166</v>
      </c>
      <c r="D103" s="527">
        <f>SUM(D91:D102)</f>
        <v>0</v>
      </c>
      <c r="E103" s="527">
        <f t="shared" ref="E103:M103" si="9">SUM(E91:E102)</f>
        <v>2662426.3012019605</v>
      </c>
      <c r="F103" s="527">
        <f t="shared" si="9"/>
        <v>11227585.188487075</v>
      </c>
      <c r="G103" s="527">
        <f t="shared" si="9"/>
        <v>73009636.291867182</v>
      </c>
      <c r="H103" s="573">
        <f t="shared" si="9"/>
        <v>50039740.941553697</v>
      </c>
      <c r="I103" s="573">
        <f t="shared" si="9"/>
        <v>10465951.672320107</v>
      </c>
      <c r="J103" s="573">
        <f t="shared" si="9"/>
        <v>35963231.809633061</v>
      </c>
      <c r="K103" s="527">
        <f t="shared" si="9"/>
        <v>3672.6654235830174</v>
      </c>
      <c r="L103" s="527">
        <f t="shared" si="9"/>
        <v>502940.37933865172</v>
      </c>
      <c r="M103" s="573">
        <f t="shared" si="9"/>
        <v>2361221.9921543975</v>
      </c>
      <c r="N103" s="573">
        <f>SUM(N91:N102)</f>
        <v>186236407.24197972</v>
      </c>
    </row>
    <row r="105" spans="1:14" x14ac:dyDescent="0.2">
      <c r="C105" s="162" t="s">
        <v>802</v>
      </c>
      <c r="D105" s="223"/>
      <c r="E105" s="223"/>
      <c r="F105" s="223"/>
      <c r="G105" s="223"/>
      <c r="H105" s="223"/>
      <c r="I105" s="223"/>
      <c r="J105" s="223"/>
      <c r="K105" s="223"/>
      <c r="L105" s="223"/>
    </row>
    <row r="106" spans="1:14" x14ac:dyDescent="0.2">
      <c r="C106" s="223"/>
      <c r="D106" s="223"/>
      <c r="E106" s="223"/>
      <c r="F106" s="223"/>
      <c r="G106" s="223"/>
      <c r="H106" s="223"/>
      <c r="I106" s="223"/>
      <c r="J106" s="223"/>
      <c r="K106" s="223"/>
      <c r="L106" s="223"/>
    </row>
    <row r="107" spans="1:14" x14ac:dyDescent="0.2">
      <c r="C107" s="227" t="s">
        <v>152</v>
      </c>
      <c r="D107" s="227" t="s">
        <v>153</v>
      </c>
      <c r="E107" s="227" t="s">
        <v>154</v>
      </c>
      <c r="F107" s="227" t="s">
        <v>155</v>
      </c>
      <c r="G107" s="227" t="s">
        <v>371</v>
      </c>
      <c r="H107" s="227" t="s">
        <v>372</v>
      </c>
      <c r="I107" s="227" t="s">
        <v>386</v>
      </c>
      <c r="J107" s="227" t="s">
        <v>387</v>
      </c>
      <c r="K107" s="227" t="s">
        <v>388</v>
      </c>
      <c r="L107" s="227" t="s">
        <v>389</v>
      </c>
      <c r="M107" s="227" t="s">
        <v>390</v>
      </c>
      <c r="N107" s="227" t="s">
        <v>391</v>
      </c>
    </row>
    <row r="108" spans="1:14" x14ac:dyDescent="0.2">
      <c r="C108" s="523"/>
      <c r="D108" s="518"/>
      <c r="E108" s="518"/>
      <c r="F108" s="518"/>
      <c r="G108" s="518"/>
      <c r="H108" s="518"/>
      <c r="I108" s="518"/>
      <c r="J108" s="518"/>
      <c r="K108" s="518"/>
      <c r="L108" s="518"/>
      <c r="N108" s="523" t="s">
        <v>714</v>
      </c>
    </row>
    <row r="109" spans="1:14" x14ac:dyDescent="0.2">
      <c r="C109" s="171"/>
      <c r="D109" s="227"/>
      <c r="E109" s="227"/>
      <c r="F109" s="518"/>
      <c r="G109" s="518"/>
      <c r="H109" s="518"/>
      <c r="I109" s="518"/>
      <c r="J109" s="518"/>
      <c r="K109" s="518"/>
      <c r="L109" s="518"/>
      <c r="M109" s="518"/>
    </row>
    <row r="110" spans="1:14" x14ac:dyDescent="0.2">
      <c r="C110" s="207" t="s">
        <v>715</v>
      </c>
      <c r="D110" s="227">
        <v>350.1</v>
      </c>
      <c r="E110" s="227">
        <v>350.2</v>
      </c>
      <c r="F110" s="227">
        <v>352</v>
      </c>
      <c r="G110" s="227">
        <v>353</v>
      </c>
      <c r="H110" s="227">
        <v>354</v>
      </c>
      <c r="I110" s="227">
        <v>355</v>
      </c>
      <c r="J110" s="227">
        <v>356</v>
      </c>
      <c r="K110" s="227">
        <v>357</v>
      </c>
      <c r="L110" s="227">
        <v>358</v>
      </c>
      <c r="M110" s="227">
        <v>359</v>
      </c>
      <c r="N110" s="170" t="s">
        <v>325</v>
      </c>
    </row>
    <row r="111" spans="1:14" x14ac:dyDescent="0.2">
      <c r="A111" s="166">
        <f>A103+1</f>
        <v>53</v>
      </c>
      <c r="C111" s="528" t="s">
        <v>959</v>
      </c>
      <c r="D111" s="188">
        <f t="shared" ref="D111:M122" si="10">D71-D91</f>
        <v>0</v>
      </c>
      <c r="E111" s="188">
        <f t="shared" si="10"/>
        <v>43197.996813457692</v>
      </c>
      <c r="F111" s="188">
        <f t="shared" si="10"/>
        <v>-9045927.7066006362</v>
      </c>
      <c r="G111" s="188">
        <f t="shared" si="10"/>
        <v>-79916359.086432889</v>
      </c>
      <c r="H111" s="188">
        <f t="shared" si="10"/>
        <v>27892569.621255293</v>
      </c>
      <c r="I111" s="188">
        <f t="shared" si="10"/>
        <v>24672968.652500942</v>
      </c>
      <c r="J111" s="188">
        <f t="shared" si="10"/>
        <v>4681345.2618793622</v>
      </c>
      <c r="K111" s="188">
        <f t="shared" si="10"/>
        <v>484940.4177457717</v>
      </c>
      <c r="L111" s="188">
        <f t="shared" si="10"/>
        <v>2145915.3676129892</v>
      </c>
      <c r="M111" s="188">
        <f t="shared" si="10"/>
        <v>5419218.8881239798</v>
      </c>
      <c r="N111" s="527">
        <f t="shared" ref="N111:N122" si="11">SUM(D111:M111)</f>
        <v>-23622130.587101728</v>
      </c>
    </row>
    <row r="112" spans="1:14" x14ac:dyDescent="0.2">
      <c r="A112" s="166">
        <f t="shared" ref="A112:A123" si="12">A111+1</f>
        <v>54</v>
      </c>
      <c r="C112" s="531" t="s">
        <v>960</v>
      </c>
      <c r="D112" s="188">
        <f t="shared" si="10"/>
        <v>0</v>
      </c>
      <c r="E112" s="188">
        <f t="shared" si="10"/>
        <v>44663.359509088332</v>
      </c>
      <c r="F112" s="188">
        <f t="shared" si="10"/>
        <v>-94118.632338558906</v>
      </c>
      <c r="G112" s="188">
        <f t="shared" si="10"/>
        <v>-3109010.3969951896</v>
      </c>
      <c r="H112" s="186">
        <f t="shared" si="10"/>
        <v>-977744.05290353112</v>
      </c>
      <c r="I112" s="186">
        <f t="shared" si="10"/>
        <v>-1831749.6643134761</v>
      </c>
      <c r="J112" s="186">
        <f t="shared" si="10"/>
        <v>-424646.69252576865</v>
      </c>
      <c r="K112" s="188">
        <f t="shared" si="10"/>
        <v>77191.867596403914</v>
      </c>
      <c r="L112" s="188">
        <f t="shared" si="10"/>
        <v>201690.26248588998</v>
      </c>
      <c r="M112" s="188">
        <f t="shared" si="10"/>
        <v>-60916.913226209275</v>
      </c>
      <c r="N112" s="573">
        <f t="shared" si="11"/>
        <v>-6174640.8627113523</v>
      </c>
    </row>
    <row r="113" spans="1:14" x14ac:dyDescent="0.2">
      <c r="A113" s="166">
        <f t="shared" si="12"/>
        <v>55</v>
      </c>
      <c r="C113" s="531" t="s">
        <v>961</v>
      </c>
      <c r="D113" s="188">
        <f t="shared" si="10"/>
        <v>0</v>
      </c>
      <c r="E113" s="188">
        <f t="shared" si="10"/>
        <v>37515.705572267208</v>
      </c>
      <c r="F113" s="188">
        <f t="shared" si="10"/>
        <v>-205084.40839888097</v>
      </c>
      <c r="G113" s="188">
        <f t="shared" si="10"/>
        <v>15283798.871310785</v>
      </c>
      <c r="H113" s="186">
        <f t="shared" si="10"/>
        <v>-1386158.117047111</v>
      </c>
      <c r="I113" s="186">
        <f t="shared" si="10"/>
        <v>-1356861.3596542492</v>
      </c>
      <c r="J113" s="186">
        <f t="shared" si="10"/>
        <v>-934376.46277231723</v>
      </c>
      <c r="K113" s="188">
        <f t="shared" si="10"/>
        <v>89429.35533455621</v>
      </c>
      <c r="L113" s="188">
        <f t="shared" si="10"/>
        <v>367322.62014596915</v>
      </c>
      <c r="M113" s="186">
        <f t="shared" si="10"/>
        <v>-332922.39048601093</v>
      </c>
      <c r="N113" s="573">
        <f t="shared" si="11"/>
        <v>11562663.814005008</v>
      </c>
    </row>
    <row r="114" spans="1:14" x14ac:dyDescent="0.2">
      <c r="A114" s="166">
        <f t="shared" si="12"/>
        <v>56</v>
      </c>
      <c r="C114" s="528" t="s">
        <v>962</v>
      </c>
      <c r="D114" s="188">
        <f t="shared" si="10"/>
        <v>0</v>
      </c>
      <c r="E114" s="188">
        <f t="shared" si="10"/>
        <v>106882.56143228777</v>
      </c>
      <c r="F114" s="188">
        <f t="shared" si="10"/>
        <v>582145.37526737899</v>
      </c>
      <c r="G114" s="188">
        <f t="shared" si="10"/>
        <v>389315.09144541249</v>
      </c>
      <c r="H114" s="186">
        <f t="shared" si="10"/>
        <v>316705.3224265012</v>
      </c>
      <c r="I114" s="186">
        <f t="shared" si="10"/>
        <v>-525180.40283641045</v>
      </c>
      <c r="J114" s="186">
        <f t="shared" si="10"/>
        <v>-813148.80019743508</v>
      </c>
      <c r="K114" s="188">
        <f t="shared" si="10"/>
        <v>108754.0534357085</v>
      </c>
      <c r="L114" s="188">
        <f t="shared" si="10"/>
        <v>424598.86511230428</v>
      </c>
      <c r="M114" s="188">
        <f t="shared" si="10"/>
        <v>68881.282490130601</v>
      </c>
      <c r="N114" s="573">
        <f t="shared" si="11"/>
        <v>658953.34857587831</v>
      </c>
    </row>
    <row r="115" spans="1:14" x14ac:dyDescent="0.2">
      <c r="A115" s="166">
        <f t="shared" si="12"/>
        <v>57</v>
      </c>
      <c r="C115" s="531" t="s">
        <v>963</v>
      </c>
      <c r="D115" s="188">
        <f t="shared" si="10"/>
        <v>0</v>
      </c>
      <c r="E115" s="188">
        <f t="shared" si="10"/>
        <v>223171.3470880932</v>
      </c>
      <c r="F115" s="188">
        <f t="shared" si="10"/>
        <v>-794489.71029619954</v>
      </c>
      <c r="G115" s="188">
        <f t="shared" si="10"/>
        <v>1033065.0227148877</v>
      </c>
      <c r="H115" s="186">
        <f t="shared" si="10"/>
        <v>-1512939.5797482636</v>
      </c>
      <c r="I115" s="186">
        <f t="shared" si="10"/>
        <v>235674.92090601369</v>
      </c>
      <c r="J115" s="186">
        <f t="shared" si="10"/>
        <v>-510610.53495108848</v>
      </c>
      <c r="K115" s="188">
        <f t="shared" si="10"/>
        <v>88669.983466408463</v>
      </c>
      <c r="L115" s="188">
        <f t="shared" si="10"/>
        <v>5040.7697666242675</v>
      </c>
      <c r="M115" s="186">
        <f t="shared" si="10"/>
        <v>-60986.480599980947</v>
      </c>
      <c r="N115" s="573">
        <f t="shared" si="11"/>
        <v>-1293404.261653505</v>
      </c>
    </row>
    <row r="116" spans="1:14" x14ac:dyDescent="0.2">
      <c r="A116" s="166">
        <f t="shared" si="12"/>
        <v>58</v>
      </c>
      <c r="C116" s="531" t="s">
        <v>964</v>
      </c>
      <c r="D116" s="188">
        <f t="shared" si="10"/>
        <v>0</v>
      </c>
      <c r="E116" s="188">
        <f t="shared" si="10"/>
        <v>59951.047357751842</v>
      </c>
      <c r="F116" s="188">
        <f t="shared" si="10"/>
        <v>-532328.38293660653</v>
      </c>
      <c r="G116" s="188">
        <f t="shared" si="10"/>
        <v>801857.95030025672</v>
      </c>
      <c r="H116" s="186">
        <f t="shared" si="10"/>
        <v>-396526.79895297345</v>
      </c>
      <c r="I116" s="186">
        <f t="shared" si="10"/>
        <v>-575744.20245079976</v>
      </c>
      <c r="J116" s="186">
        <f t="shared" si="10"/>
        <v>-250668.16585942404</v>
      </c>
      <c r="K116" s="188">
        <f t="shared" si="10"/>
        <v>88679.962164671742</v>
      </c>
      <c r="L116" s="188">
        <f t="shared" si="10"/>
        <v>558516.20418826747</v>
      </c>
      <c r="M116" s="188">
        <f t="shared" si="10"/>
        <v>-80165.706545980676</v>
      </c>
      <c r="N116" s="573">
        <f t="shared" si="11"/>
        <v>-326428.09273483662</v>
      </c>
    </row>
    <row r="117" spans="1:14" x14ac:dyDescent="0.2">
      <c r="A117" s="166">
        <f t="shared" si="12"/>
        <v>59</v>
      </c>
      <c r="C117" s="528" t="s">
        <v>965</v>
      </c>
      <c r="D117" s="188">
        <f t="shared" si="10"/>
        <v>0</v>
      </c>
      <c r="E117" s="188">
        <f t="shared" si="10"/>
        <v>60024.855268450337</v>
      </c>
      <c r="F117" s="188">
        <f t="shared" si="10"/>
        <v>1709997.8677474</v>
      </c>
      <c r="G117" s="188">
        <f t="shared" si="10"/>
        <v>14356085.408325743</v>
      </c>
      <c r="H117" s="186">
        <f t="shared" si="10"/>
        <v>-14238558.402205952</v>
      </c>
      <c r="I117" s="186">
        <f t="shared" si="10"/>
        <v>528446.06184365461</v>
      </c>
      <c r="J117" s="186">
        <f t="shared" si="10"/>
        <v>-1087041.6337083732</v>
      </c>
      <c r="K117" s="188">
        <f t="shared" si="10"/>
        <v>92943.659687370178</v>
      </c>
      <c r="L117" s="188">
        <f t="shared" si="10"/>
        <v>150451.4586986244</v>
      </c>
      <c r="M117" s="186">
        <f t="shared" si="10"/>
        <v>50787.942858874914</v>
      </c>
      <c r="N117" s="573">
        <f t="shared" si="11"/>
        <v>1623137.2185157924</v>
      </c>
    </row>
    <row r="118" spans="1:14" x14ac:dyDescent="0.2">
      <c r="A118" s="166">
        <f t="shared" si="12"/>
        <v>60</v>
      </c>
      <c r="C118" s="531" t="s">
        <v>966</v>
      </c>
      <c r="D118" s="188">
        <f t="shared" si="10"/>
        <v>0</v>
      </c>
      <c r="E118" s="188">
        <f t="shared" si="10"/>
        <v>60008.831265549059</v>
      </c>
      <c r="F118" s="188">
        <f t="shared" si="10"/>
        <v>-87606.920074824593</v>
      </c>
      <c r="G118" s="188">
        <f t="shared" si="10"/>
        <v>-8254.1531033366919</v>
      </c>
      <c r="H118" s="186">
        <f t="shared" si="10"/>
        <v>125950.70824600942</v>
      </c>
      <c r="I118" s="186">
        <f t="shared" si="10"/>
        <v>-966317.48796029482</v>
      </c>
      <c r="J118" s="186">
        <f t="shared" si="10"/>
        <v>260835.3535458534</v>
      </c>
      <c r="K118" s="188">
        <f t="shared" si="10"/>
        <v>92033.174160747207</v>
      </c>
      <c r="L118" s="188">
        <f t="shared" si="10"/>
        <v>201882.05125061335</v>
      </c>
      <c r="M118" s="186">
        <f t="shared" si="10"/>
        <v>5720.5338481957733</v>
      </c>
      <c r="N118" s="573">
        <f t="shared" si="11"/>
        <v>-315747.90882148792</v>
      </c>
    </row>
    <row r="119" spans="1:14" x14ac:dyDescent="0.2">
      <c r="A119" s="166">
        <f t="shared" si="12"/>
        <v>61</v>
      </c>
      <c r="C119" s="531" t="s">
        <v>967</v>
      </c>
      <c r="D119" s="188">
        <f t="shared" si="10"/>
        <v>0</v>
      </c>
      <c r="E119" s="188">
        <f t="shared" si="10"/>
        <v>59181.928022499196</v>
      </c>
      <c r="F119" s="188">
        <f t="shared" si="10"/>
        <v>43898.260829144157</v>
      </c>
      <c r="G119" s="188">
        <f t="shared" si="10"/>
        <v>-16421136.176762685</v>
      </c>
      <c r="H119" s="186">
        <f t="shared" si="10"/>
        <v>411932.71791870985</v>
      </c>
      <c r="I119" s="186">
        <f t="shared" si="10"/>
        <v>113743.30983307317</v>
      </c>
      <c r="J119" s="186">
        <f t="shared" si="10"/>
        <v>819135.3667749255</v>
      </c>
      <c r="K119" s="188">
        <f t="shared" si="10"/>
        <v>90906.77285263635</v>
      </c>
      <c r="L119" s="188">
        <f t="shared" si="10"/>
        <v>329956.33415412402</v>
      </c>
      <c r="M119" s="186">
        <f t="shared" si="10"/>
        <v>10084.488936095819</v>
      </c>
      <c r="N119" s="573">
        <f t="shared" si="11"/>
        <v>-14542296.997441476</v>
      </c>
    </row>
    <row r="120" spans="1:14" x14ac:dyDescent="0.2">
      <c r="A120" s="166">
        <f t="shared" si="12"/>
        <v>62</v>
      </c>
      <c r="C120" s="528" t="s">
        <v>968</v>
      </c>
      <c r="D120" s="188">
        <f t="shared" si="10"/>
        <v>0</v>
      </c>
      <c r="E120" s="188">
        <f t="shared" si="10"/>
        <v>66958.752200358082</v>
      </c>
      <c r="F120" s="188">
        <f t="shared" si="10"/>
        <v>-82220.582187064458</v>
      </c>
      <c r="G120" s="188">
        <f t="shared" si="10"/>
        <v>81307.16915973369</v>
      </c>
      <c r="H120" s="186">
        <f t="shared" si="10"/>
        <v>-491738.5892201541</v>
      </c>
      <c r="I120" s="186">
        <f t="shared" si="10"/>
        <v>-9493.6583213104168</v>
      </c>
      <c r="J120" s="186">
        <f t="shared" si="10"/>
        <v>169830.91699535819</v>
      </c>
      <c r="K120" s="188">
        <f t="shared" si="10"/>
        <v>90977.533910991217</v>
      </c>
      <c r="L120" s="188">
        <f t="shared" si="10"/>
        <v>511878.45089273172</v>
      </c>
      <c r="M120" s="186">
        <f t="shared" si="10"/>
        <v>-43373.636625288753</v>
      </c>
      <c r="N120" s="573">
        <f t="shared" si="11"/>
        <v>294126.35680535517</v>
      </c>
    </row>
    <row r="121" spans="1:14" x14ac:dyDescent="0.2">
      <c r="A121" s="166">
        <f t="shared" si="12"/>
        <v>63</v>
      </c>
      <c r="C121" s="528" t="s">
        <v>969</v>
      </c>
      <c r="D121" s="188">
        <f t="shared" si="10"/>
        <v>0</v>
      </c>
      <c r="E121" s="188">
        <f t="shared" si="10"/>
        <v>55738.465133856778</v>
      </c>
      <c r="F121" s="188">
        <f t="shared" si="10"/>
        <v>140325.30683777726</v>
      </c>
      <c r="G121" s="188">
        <f t="shared" si="10"/>
        <v>-6430256.3779444164</v>
      </c>
      <c r="H121" s="186">
        <f t="shared" si="10"/>
        <v>-213152.49765681196</v>
      </c>
      <c r="I121" s="186">
        <f t="shared" si="10"/>
        <v>-1702783.534893665</v>
      </c>
      <c r="J121" s="186">
        <f t="shared" si="10"/>
        <v>-1946870.0735156368</v>
      </c>
      <c r="K121" s="188">
        <f t="shared" si="10"/>
        <v>87826.71957749025</v>
      </c>
      <c r="L121" s="188">
        <f t="shared" si="10"/>
        <v>-273141.36094403843</v>
      </c>
      <c r="M121" s="186">
        <f t="shared" si="10"/>
        <v>-51820.985879389918</v>
      </c>
      <c r="N121" s="573">
        <f t="shared" si="11"/>
        <v>-10334134.339284835</v>
      </c>
    </row>
    <row r="122" spans="1:14" x14ac:dyDescent="0.2">
      <c r="A122" s="166">
        <f t="shared" si="12"/>
        <v>64</v>
      </c>
      <c r="C122" s="531" t="s">
        <v>970</v>
      </c>
      <c r="D122" s="181">
        <f t="shared" si="10"/>
        <v>0</v>
      </c>
      <c r="E122" s="181">
        <f t="shared" si="10"/>
        <v>61192.259134379798</v>
      </c>
      <c r="F122" s="181">
        <f t="shared" si="10"/>
        <v>-592398.52927289496</v>
      </c>
      <c r="G122" s="181">
        <f t="shared" si="10"/>
        <v>-6907574.6150216693</v>
      </c>
      <c r="H122" s="178">
        <f t="shared" si="10"/>
        <v>-2404676.5317589501</v>
      </c>
      <c r="I122" s="178">
        <f t="shared" si="10"/>
        <v>1408575.5312254955</v>
      </c>
      <c r="J122" s="178">
        <f t="shared" si="10"/>
        <v>-695478.50706695393</v>
      </c>
      <c r="K122" s="181">
        <f t="shared" si="10"/>
        <v>85511.913597380058</v>
      </c>
      <c r="L122" s="181">
        <f t="shared" si="10"/>
        <v>580270.45596484607</v>
      </c>
      <c r="M122" s="178">
        <f t="shared" si="10"/>
        <v>-108160.82681452238</v>
      </c>
      <c r="N122" s="575">
        <f t="shared" si="11"/>
        <v>-8572738.8500128891</v>
      </c>
    </row>
    <row r="123" spans="1:14" x14ac:dyDescent="0.2">
      <c r="A123" s="166">
        <f t="shared" si="12"/>
        <v>65</v>
      </c>
      <c r="C123" s="535" t="s">
        <v>166</v>
      </c>
      <c r="D123" s="527">
        <f>SUM(D111:D122)</f>
        <v>0</v>
      </c>
      <c r="E123" s="527">
        <f t="shared" ref="E123:M123" si="13">SUM(E111:E122)</f>
        <v>878487.10879803926</v>
      </c>
      <c r="F123" s="527">
        <f t="shared" si="13"/>
        <v>-8957808.0614239648</v>
      </c>
      <c r="G123" s="527">
        <f t="shared" si="13"/>
        <v>-80847161.29300335</v>
      </c>
      <c r="H123" s="573">
        <f t="shared" si="13"/>
        <v>7125663.8003527625</v>
      </c>
      <c r="I123" s="573">
        <f t="shared" si="13"/>
        <v>19991278.165878974</v>
      </c>
      <c r="J123" s="573">
        <f t="shared" si="13"/>
        <v>-731693.97140149819</v>
      </c>
      <c r="K123" s="527">
        <f t="shared" si="13"/>
        <v>1477865.4135301358</v>
      </c>
      <c r="L123" s="527">
        <f t="shared" si="13"/>
        <v>5204381.4793289453</v>
      </c>
      <c r="M123" s="573">
        <f t="shared" si="13"/>
        <v>4816346.196079893</v>
      </c>
      <c r="N123" s="573">
        <f>SUM(N111:N122)</f>
        <v>-51042641.161860086</v>
      </c>
    </row>
    <row r="125" spans="1:14" x14ac:dyDescent="0.2">
      <c r="C125" s="162" t="s">
        <v>803</v>
      </c>
    </row>
    <row r="127" spans="1:14" x14ac:dyDescent="0.2">
      <c r="C127" s="247" t="s">
        <v>804</v>
      </c>
    </row>
    <row r="128" spans="1:14" x14ac:dyDescent="0.2">
      <c r="C128" s="168"/>
      <c r="D128" s="227">
        <v>350.1</v>
      </c>
      <c r="E128" s="227">
        <v>350.2</v>
      </c>
      <c r="F128" s="227">
        <v>352</v>
      </c>
      <c r="G128" s="227">
        <v>353</v>
      </c>
      <c r="H128" s="227">
        <v>354</v>
      </c>
      <c r="I128" s="227">
        <v>355</v>
      </c>
      <c r="J128" s="227">
        <v>356</v>
      </c>
      <c r="K128" s="227">
        <v>357</v>
      </c>
      <c r="L128" s="227">
        <v>358</v>
      </c>
      <c r="M128" s="227">
        <v>359</v>
      </c>
      <c r="N128" s="170" t="s">
        <v>325</v>
      </c>
    </row>
    <row r="129" spans="1:14" x14ac:dyDescent="0.2">
      <c r="A129" s="166">
        <f>A123+1</f>
        <v>66</v>
      </c>
      <c r="C129" s="168"/>
      <c r="D129" s="221">
        <f t="shared" ref="D129:M129" si="14">D24-D12</f>
        <v>0</v>
      </c>
      <c r="E129" s="221">
        <f t="shared" si="14"/>
        <v>2901022.0862945411</v>
      </c>
      <c r="F129" s="179">
        <f t="shared" si="14"/>
        <v>7555929.5018042773</v>
      </c>
      <c r="G129" s="179">
        <f t="shared" si="14"/>
        <v>9337193.2679079771</v>
      </c>
      <c r="H129" s="221">
        <f t="shared" si="14"/>
        <v>56846633.755196631</v>
      </c>
      <c r="I129" s="221">
        <f t="shared" si="14"/>
        <v>8203618.9475718141</v>
      </c>
      <c r="J129" s="221">
        <f t="shared" si="14"/>
        <v>32195134.087685287</v>
      </c>
      <c r="K129" s="221">
        <f t="shared" si="14"/>
        <v>1508.5545055129769</v>
      </c>
      <c r="L129" s="221">
        <f t="shared" si="14"/>
        <v>418526.42221478466</v>
      </c>
      <c r="M129" s="221">
        <f t="shared" si="14"/>
        <v>6439854.386508706</v>
      </c>
      <c r="N129" s="179">
        <f>SUM(D129:M129)</f>
        <v>123899421.00968954</v>
      </c>
    </row>
    <row r="130" spans="1:14" x14ac:dyDescent="0.2">
      <c r="C130" s="168"/>
    </row>
    <row r="131" spans="1:14" x14ac:dyDescent="0.2">
      <c r="C131" s="247" t="s">
        <v>805</v>
      </c>
    </row>
    <row r="132" spans="1:14" x14ac:dyDescent="0.2">
      <c r="C132" s="168"/>
      <c r="D132" s="227">
        <v>350.1</v>
      </c>
      <c r="E132" s="227">
        <v>350.2</v>
      </c>
      <c r="F132" s="227">
        <v>352</v>
      </c>
      <c r="G132" s="227">
        <v>353</v>
      </c>
      <c r="H132" s="227">
        <v>354</v>
      </c>
      <c r="I132" s="227">
        <v>355</v>
      </c>
      <c r="J132" s="227">
        <v>356</v>
      </c>
      <c r="K132" s="227">
        <v>357</v>
      </c>
      <c r="L132" s="227">
        <v>358</v>
      </c>
      <c r="M132" s="227">
        <v>359</v>
      </c>
      <c r="N132" s="170" t="s">
        <v>325</v>
      </c>
    </row>
    <row r="133" spans="1:14" x14ac:dyDescent="0.2">
      <c r="A133" s="166">
        <f>A129+1</f>
        <v>67</v>
      </c>
      <c r="C133" s="168"/>
      <c r="D133" s="221">
        <f t="shared" ref="D133:M133" si="15">D103</f>
        <v>0</v>
      </c>
      <c r="E133" s="221">
        <f t="shared" si="15"/>
        <v>2662426.3012019605</v>
      </c>
      <c r="F133" s="221">
        <f t="shared" si="15"/>
        <v>11227585.188487075</v>
      </c>
      <c r="G133" s="221">
        <f t="shared" si="15"/>
        <v>73009636.291867182</v>
      </c>
      <c r="H133" s="179">
        <f t="shared" si="15"/>
        <v>50039740.941553697</v>
      </c>
      <c r="I133" s="179">
        <f t="shared" si="15"/>
        <v>10465951.672320107</v>
      </c>
      <c r="J133" s="179">
        <f t="shared" si="15"/>
        <v>35963231.809633061</v>
      </c>
      <c r="K133" s="221">
        <f t="shared" si="15"/>
        <v>3672.6654235830174</v>
      </c>
      <c r="L133" s="221">
        <f t="shared" si="15"/>
        <v>502940.37933865172</v>
      </c>
      <c r="M133" s="179">
        <f t="shared" si="15"/>
        <v>2361221.9921543975</v>
      </c>
      <c r="N133" s="179">
        <f>SUM(D133:M133)</f>
        <v>186236407.24197966</v>
      </c>
    </row>
    <row r="134" spans="1:14" x14ac:dyDescent="0.2">
      <c r="C134" s="247" t="s">
        <v>806</v>
      </c>
    </row>
    <row r="135" spans="1:14" x14ac:dyDescent="0.2">
      <c r="D135" s="227">
        <v>350.1</v>
      </c>
      <c r="E135" s="227">
        <v>350.2</v>
      </c>
      <c r="F135" s="227">
        <v>352</v>
      </c>
      <c r="G135" s="227">
        <v>353</v>
      </c>
      <c r="H135" s="227">
        <v>354</v>
      </c>
      <c r="I135" s="227">
        <v>355</v>
      </c>
      <c r="J135" s="227">
        <v>356</v>
      </c>
      <c r="K135" s="227">
        <v>357</v>
      </c>
      <c r="L135" s="227">
        <v>358</v>
      </c>
      <c r="M135" s="227">
        <v>359</v>
      </c>
      <c r="N135" s="170" t="s">
        <v>325</v>
      </c>
    </row>
    <row r="136" spans="1:14" x14ac:dyDescent="0.2">
      <c r="A136" s="166">
        <f>A133+1</f>
        <v>68</v>
      </c>
      <c r="D136" s="221">
        <f t="shared" ref="D136:M136" si="16">D129-D133</f>
        <v>0</v>
      </c>
      <c r="E136" s="221">
        <f t="shared" si="16"/>
        <v>238595.7850925806</v>
      </c>
      <c r="F136" s="179">
        <f t="shared" si="16"/>
        <v>-3671655.686682798</v>
      </c>
      <c r="G136" s="179">
        <f t="shared" si="16"/>
        <v>-63672443.023959205</v>
      </c>
      <c r="H136" s="179">
        <f t="shared" si="16"/>
        <v>6806892.813642934</v>
      </c>
      <c r="I136" s="179">
        <f t="shared" si="16"/>
        <v>-2262332.7247482929</v>
      </c>
      <c r="J136" s="179">
        <f t="shared" si="16"/>
        <v>-3768097.7219477743</v>
      </c>
      <c r="K136" s="221">
        <f t="shared" si="16"/>
        <v>-2164.1109180700405</v>
      </c>
      <c r="L136" s="221">
        <f t="shared" si="16"/>
        <v>-84413.957123867061</v>
      </c>
      <c r="M136" s="179">
        <f t="shared" si="16"/>
        <v>4078632.3943543085</v>
      </c>
      <c r="N136" s="179">
        <f>SUM(D136:M136)</f>
        <v>-62336986.232290186</v>
      </c>
    </row>
    <row r="138" spans="1:14" x14ac:dyDescent="0.2">
      <c r="C138" s="162" t="s">
        <v>807</v>
      </c>
      <c r="D138" s="223"/>
      <c r="E138" s="223"/>
      <c r="F138" s="223"/>
      <c r="G138" s="223"/>
      <c r="H138" s="223"/>
      <c r="I138" s="223"/>
      <c r="J138" s="223"/>
      <c r="K138" s="223"/>
      <c r="L138" s="223"/>
    </row>
    <row r="139" spans="1:14" x14ac:dyDescent="0.2">
      <c r="C139" s="223"/>
      <c r="D139" s="223"/>
      <c r="E139" s="223"/>
      <c r="F139" s="223"/>
      <c r="G139" s="223"/>
      <c r="H139" s="223"/>
      <c r="I139" s="223"/>
      <c r="J139" s="223"/>
      <c r="K139" s="223"/>
      <c r="L139" s="223"/>
    </row>
    <row r="140" spans="1:14" x14ac:dyDescent="0.2">
      <c r="C140" s="227" t="s">
        <v>152</v>
      </c>
      <c r="D140" s="227" t="s">
        <v>153</v>
      </c>
      <c r="E140" s="227" t="s">
        <v>154</v>
      </c>
      <c r="F140" s="227" t="s">
        <v>155</v>
      </c>
      <c r="G140" s="227" t="s">
        <v>371</v>
      </c>
      <c r="H140" s="227" t="s">
        <v>372</v>
      </c>
      <c r="I140" s="227" t="s">
        <v>386</v>
      </c>
      <c r="J140" s="227" t="s">
        <v>387</v>
      </c>
      <c r="K140" s="227" t="s">
        <v>388</v>
      </c>
      <c r="L140" s="227" t="s">
        <v>389</v>
      </c>
      <c r="M140" s="227" t="s">
        <v>390</v>
      </c>
      <c r="N140" s="227" t="s">
        <v>391</v>
      </c>
    </row>
    <row r="141" spans="1:14" x14ac:dyDescent="0.2">
      <c r="C141" s="523"/>
      <c r="D141" s="518"/>
      <c r="E141" s="518"/>
      <c r="F141" s="518"/>
      <c r="G141" s="518"/>
      <c r="H141" s="518"/>
      <c r="I141" s="518"/>
      <c r="J141" s="518"/>
      <c r="K141" s="518"/>
      <c r="L141" s="518"/>
      <c r="N141" s="523" t="s">
        <v>714</v>
      </c>
    </row>
    <row r="142" spans="1:14" x14ac:dyDescent="0.2">
      <c r="C142" s="171"/>
      <c r="D142" s="227"/>
      <c r="E142" s="227"/>
      <c r="F142" s="518"/>
      <c r="G142" s="518"/>
      <c r="H142" s="518"/>
      <c r="I142" s="518"/>
      <c r="J142" s="518"/>
      <c r="K142" s="518"/>
      <c r="L142" s="518"/>
      <c r="M142" s="518"/>
    </row>
    <row r="143" spans="1:14" x14ac:dyDescent="0.2">
      <c r="C143" s="207" t="s">
        <v>715</v>
      </c>
      <c r="D143" s="227">
        <v>350.1</v>
      </c>
      <c r="E143" s="227">
        <v>350.2</v>
      </c>
      <c r="F143" s="227">
        <v>352</v>
      </c>
      <c r="G143" s="227">
        <v>353</v>
      </c>
      <c r="H143" s="227">
        <v>354</v>
      </c>
      <c r="I143" s="227">
        <v>355</v>
      </c>
      <c r="J143" s="227">
        <v>356</v>
      </c>
      <c r="K143" s="227">
        <v>357</v>
      </c>
      <c r="L143" s="227">
        <v>358</v>
      </c>
      <c r="M143" s="227">
        <v>359</v>
      </c>
      <c r="N143" s="170" t="s">
        <v>325</v>
      </c>
    </row>
    <row r="144" spans="1:14" x14ac:dyDescent="0.2">
      <c r="A144" s="166">
        <f>A136+1</f>
        <v>69</v>
      </c>
      <c r="C144" s="528" t="s">
        <v>959</v>
      </c>
      <c r="D144" s="529">
        <v>0</v>
      </c>
      <c r="E144" s="529">
        <f t="shared" ref="E144:M155" si="17">E111*(E$136/E$123)</f>
        <v>11732.511337856455</v>
      </c>
      <c r="F144" s="573">
        <f t="shared" si="17"/>
        <v>-3707774.455259088</v>
      </c>
      <c r="G144" s="573">
        <f t="shared" si="17"/>
        <v>-62939375.22644382</v>
      </c>
      <c r="H144" s="573">
        <f t="shared" si="17"/>
        <v>26644778.230985105</v>
      </c>
      <c r="I144" s="573">
        <f t="shared" si="17"/>
        <v>-2792140.8494286467</v>
      </c>
      <c r="J144" s="573">
        <f t="shared" si="17"/>
        <v>24108120.479865573</v>
      </c>
      <c r="K144" s="529">
        <f t="shared" si="17"/>
        <v>-710.12207407320238</v>
      </c>
      <c r="L144" s="529">
        <f t="shared" si="17"/>
        <v>-34806.28938378422</v>
      </c>
      <c r="M144" s="573">
        <f t="shared" si="17"/>
        <v>4589163.8203228032</v>
      </c>
      <c r="N144" s="573">
        <f t="shared" ref="N144:N155" si="18">SUM(D144:M144)</f>
        <v>-14121011.900078073</v>
      </c>
    </row>
    <row r="145" spans="1:14" x14ac:dyDescent="0.2">
      <c r="A145" s="166">
        <f t="shared" ref="A145:A156" si="19">A144+1</f>
        <v>70</v>
      </c>
      <c r="C145" s="531" t="s">
        <v>960</v>
      </c>
      <c r="D145" s="529">
        <v>0</v>
      </c>
      <c r="E145" s="529">
        <f t="shared" si="17"/>
        <v>12130.501654740832</v>
      </c>
      <c r="F145" s="573">
        <f t="shared" si="17"/>
        <v>-38577.653068595006</v>
      </c>
      <c r="G145" s="573">
        <f t="shared" si="17"/>
        <v>-2448549.6360984123</v>
      </c>
      <c r="H145" s="573">
        <f t="shared" si="17"/>
        <v>-934004.06667539955</v>
      </c>
      <c r="I145" s="573">
        <f t="shared" si="17"/>
        <v>207291.75867284389</v>
      </c>
      <c r="J145" s="573">
        <f t="shared" si="17"/>
        <v>-2186857.2070836248</v>
      </c>
      <c r="K145" s="529">
        <f t="shared" si="17"/>
        <v>-113.03584340103258</v>
      </c>
      <c r="L145" s="529">
        <f t="shared" si="17"/>
        <v>-3271.3730224058595</v>
      </c>
      <c r="M145" s="573">
        <f t="shared" si="17"/>
        <v>-51586.344821041224</v>
      </c>
      <c r="N145" s="573">
        <f t="shared" si="18"/>
        <v>-5443537.0562852947</v>
      </c>
    </row>
    <row r="146" spans="1:14" x14ac:dyDescent="0.2">
      <c r="A146" s="166">
        <f t="shared" si="19"/>
        <v>71</v>
      </c>
      <c r="C146" s="531" t="s">
        <v>961</v>
      </c>
      <c r="D146" s="529">
        <v>0</v>
      </c>
      <c r="E146" s="529">
        <f t="shared" si="17"/>
        <v>10189.209533836216</v>
      </c>
      <c r="F146" s="573">
        <f t="shared" si="17"/>
        <v>-84060.668545741239</v>
      </c>
      <c r="G146" s="573">
        <f t="shared" si="17"/>
        <v>12036994.215496428</v>
      </c>
      <c r="H146" s="573">
        <f t="shared" si="17"/>
        <v>-1324147.4745179098</v>
      </c>
      <c r="I146" s="573">
        <f t="shared" si="17"/>
        <v>153550.55496809472</v>
      </c>
      <c r="J146" s="573">
        <f t="shared" si="17"/>
        <v>-4811877.5860215854</v>
      </c>
      <c r="K146" s="529">
        <f t="shared" si="17"/>
        <v>-130.95579780379768</v>
      </c>
      <c r="L146" s="529">
        <f t="shared" si="17"/>
        <v>-5957.8945222951679</v>
      </c>
      <c r="M146" s="529">
        <f t="shared" si="17"/>
        <v>-281929.07888293226</v>
      </c>
      <c r="N146" s="573">
        <f t="shared" si="18"/>
        <v>5692630.3217100911</v>
      </c>
    </row>
    <row r="147" spans="1:14" x14ac:dyDescent="0.2">
      <c r="A147" s="166">
        <f t="shared" si="19"/>
        <v>72</v>
      </c>
      <c r="C147" s="528" t="s">
        <v>962</v>
      </c>
      <c r="D147" s="529">
        <v>0</v>
      </c>
      <c r="E147" s="529">
        <f t="shared" si="17"/>
        <v>29029.143856800089</v>
      </c>
      <c r="F147" s="573">
        <f t="shared" si="17"/>
        <v>238611.65174784834</v>
      </c>
      <c r="G147" s="573">
        <f t="shared" si="17"/>
        <v>306611.17325551348</v>
      </c>
      <c r="H147" s="573">
        <f t="shared" si="17"/>
        <v>302537.31352869829</v>
      </c>
      <c r="I147" s="573">
        <f t="shared" si="17"/>
        <v>59432.558632554195</v>
      </c>
      <c r="J147" s="573">
        <f t="shared" si="17"/>
        <v>-4187576.037779348</v>
      </c>
      <c r="K147" s="529">
        <f t="shared" si="17"/>
        <v>-159.25390246626142</v>
      </c>
      <c r="L147" s="529">
        <f t="shared" si="17"/>
        <v>-6886.9029944849763</v>
      </c>
      <c r="M147" s="573">
        <f t="shared" si="17"/>
        <v>58330.8214757444</v>
      </c>
      <c r="N147" s="573">
        <f t="shared" si="18"/>
        <v>-3200069.5321791405</v>
      </c>
    </row>
    <row r="148" spans="1:14" x14ac:dyDescent="0.2">
      <c r="A148" s="166">
        <f t="shared" si="19"/>
        <v>73</v>
      </c>
      <c r="C148" s="531" t="s">
        <v>963</v>
      </c>
      <c r="D148" s="529">
        <v>0</v>
      </c>
      <c r="E148" s="529">
        <f t="shared" si="17"/>
        <v>60613.00414698953</v>
      </c>
      <c r="F148" s="573">
        <f t="shared" si="17"/>
        <v>-325648.04278205294</v>
      </c>
      <c r="G148" s="573">
        <f t="shared" si="17"/>
        <v>813606.47358377115</v>
      </c>
      <c r="H148" s="573">
        <f t="shared" si="17"/>
        <v>-1445257.2899039362</v>
      </c>
      <c r="I148" s="573">
        <f t="shared" si="17"/>
        <v>-26670.385032116723</v>
      </c>
      <c r="J148" s="573">
        <f t="shared" si="17"/>
        <v>-2629556.1652181074</v>
      </c>
      <c r="K148" s="529">
        <f t="shared" si="17"/>
        <v>-129.8438122767744</v>
      </c>
      <c r="L148" s="529">
        <f t="shared" si="17"/>
        <v>-81.760210054004702</v>
      </c>
      <c r="M148" s="573">
        <f t="shared" si="17"/>
        <v>-51645.256646043803</v>
      </c>
      <c r="N148" s="573">
        <f t="shared" si="18"/>
        <v>-3604769.265873827</v>
      </c>
    </row>
    <row r="149" spans="1:14" x14ac:dyDescent="0.2">
      <c r="A149" s="166">
        <f t="shared" si="19"/>
        <v>74</v>
      </c>
      <c r="C149" s="531" t="s">
        <v>964</v>
      </c>
      <c r="D149" s="529">
        <v>0</v>
      </c>
      <c r="E149" s="529">
        <f t="shared" si="17"/>
        <v>16282.614813797716</v>
      </c>
      <c r="F149" s="573">
        <f t="shared" si="17"/>
        <v>-218192.4998827393</v>
      </c>
      <c r="G149" s="573">
        <f t="shared" si="17"/>
        <v>631515.73706794204</v>
      </c>
      <c r="H149" s="573">
        <f t="shared" si="17"/>
        <v>-378787.92682812363</v>
      </c>
      <c r="I149" s="573">
        <f t="shared" si="17"/>
        <v>65154.660921666058</v>
      </c>
      <c r="J149" s="573">
        <f t="shared" si="17"/>
        <v>-1290897.8092719989</v>
      </c>
      <c r="K149" s="529">
        <f t="shared" si="17"/>
        <v>-129.85842457479694</v>
      </c>
      <c r="L149" s="529">
        <f t="shared" si="17"/>
        <v>-9059.0136600463957</v>
      </c>
      <c r="M149" s="529">
        <f t="shared" si="17"/>
        <v>-67886.824228055208</v>
      </c>
      <c r="N149" s="573">
        <f t="shared" si="18"/>
        <v>-1252000.9194921327</v>
      </c>
    </row>
    <row r="150" spans="1:14" x14ac:dyDescent="0.2">
      <c r="A150" s="166">
        <f t="shared" si="19"/>
        <v>75</v>
      </c>
      <c r="C150" s="528" t="s">
        <v>965</v>
      </c>
      <c r="D150" s="529">
        <v>0</v>
      </c>
      <c r="E150" s="529">
        <f t="shared" si="17"/>
        <v>16302.66093197382</v>
      </c>
      <c r="F150" s="573">
        <f t="shared" si="17"/>
        <v>700899.52277143835</v>
      </c>
      <c r="G150" s="573">
        <f t="shared" si="17"/>
        <v>11306359.006173536</v>
      </c>
      <c r="H150" s="573">
        <f t="shared" si="17"/>
        <v>-13601587.666795729</v>
      </c>
      <c r="I150" s="573">
        <f t="shared" si="17"/>
        <v>-59802.120157267869</v>
      </c>
      <c r="J150" s="573">
        <f t="shared" si="17"/>
        <v>-5598076.8787710713</v>
      </c>
      <c r="K150" s="529">
        <f t="shared" si="17"/>
        <v>-136.10196629093963</v>
      </c>
      <c r="L150" s="529">
        <f t="shared" si="17"/>
        <v>-2440.2905579178455</v>
      </c>
      <c r="M150" s="573">
        <f t="shared" si="17"/>
        <v>43008.81634202748</v>
      </c>
      <c r="N150" s="573">
        <f t="shared" si="18"/>
        <v>-7195473.0520293014</v>
      </c>
    </row>
    <row r="151" spans="1:14" x14ac:dyDescent="0.2">
      <c r="A151" s="166">
        <f t="shared" si="19"/>
        <v>76</v>
      </c>
      <c r="C151" s="531" t="s">
        <v>966</v>
      </c>
      <c r="D151" s="529">
        <v>0</v>
      </c>
      <c r="E151" s="529">
        <f t="shared" si="17"/>
        <v>16298.308836747532</v>
      </c>
      <c r="F151" s="573">
        <f t="shared" si="17"/>
        <v>-35908.611133420789</v>
      </c>
      <c r="G151" s="573">
        <f t="shared" si="17"/>
        <v>-6500.6870343724067</v>
      </c>
      <c r="H151" s="573">
        <f t="shared" si="17"/>
        <v>120316.22524634916</v>
      </c>
      <c r="I151" s="573">
        <f t="shared" si="17"/>
        <v>109354.27226661373</v>
      </c>
      <c r="J151" s="573">
        <f t="shared" si="17"/>
        <v>1343257.0718288142</v>
      </c>
      <c r="K151" s="529">
        <f t="shared" si="17"/>
        <v>-134.76869761107864</v>
      </c>
      <c r="L151" s="529">
        <f t="shared" si="17"/>
        <v>-3274.4837952472626</v>
      </c>
      <c r="M151" s="573">
        <f t="shared" si="17"/>
        <v>4844.3267398929656</v>
      </c>
      <c r="N151" s="573">
        <f t="shared" si="18"/>
        <v>1548251.6542577662</v>
      </c>
    </row>
    <row r="152" spans="1:14" x14ac:dyDescent="0.2">
      <c r="A152" s="166">
        <f t="shared" si="19"/>
        <v>77</v>
      </c>
      <c r="C152" s="531" t="s">
        <v>967</v>
      </c>
      <c r="D152" s="529">
        <v>0</v>
      </c>
      <c r="E152" s="529">
        <f t="shared" si="17"/>
        <v>16073.723152455561</v>
      </c>
      <c r="F152" s="573">
        <f t="shared" si="17"/>
        <v>17993.16282550379</v>
      </c>
      <c r="G152" s="573">
        <f t="shared" si="17"/>
        <v>-12932721.951909561</v>
      </c>
      <c r="H152" s="573">
        <f t="shared" si="17"/>
        <v>393504.6524600914</v>
      </c>
      <c r="I152" s="573">
        <f t="shared" si="17"/>
        <v>-12871.873920285261</v>
      </c>
      <c r="J152" s="573">
        <f t="shared" si="17"/>
        <v>4218405.8228597445</v>
      </c>
      <c r="K152" s="529">
        <f t="shared" si="17"/>
        <v>-133.11925284655959</v>
      </c>
      <c r="L152" s="529">
        <f t="shared" si="17"/>
        <v>-5351.8213364378398</v>
      </c>
      <c r="M152" s="573">
        <f t="shared" si="17"/>
        <v>8539.8602136916961</v>
      </c>
      <c r="N152" s="573">
        <f t="shared" si="18"/>
        <v>-8296561.5449076453</v>
      </c>
    </row>
    <row r="153" spans="1:14" x14ac:dyDescent="0.2">
      <c r="A153" s="166">
        <f t="shared" si="19"/>
        <v>78</v>
      </c>
      <c r="C153" s="528" t="s">
        <v>968</v>
      </c>
      <c r="D153" s="529">
        <v>0</v>
      </c>
      <c r="E153" s="529">
        <f t="shared" si="17"/>
        <v>18185.896969988244</v>
      </c>
      <c r="F153" s="573">
        <f t="shared" si="17"/>
        <v>-33700.841330766001</v>
      </c>
      <c r="G153" s="573">
        <f t="shared" si="17"/>
        <v>64034.729395138143</v>
      </c>
      <c r="H153" s="573">
        <f t="shared" si="17"/>
        <v>-469740.35864390276</v>
      </c>
      <c r="I153" s="573">
        <f t="shared" si="17"/>
        <v>1074.3592140365361</v>
      </c>
      <c r="J153" s="573">
        <f t="shared" si="17"/>
        <v>874599.92354557815</v>
      </c>
      <c r="K153" s="529">
        <f t="shared" si="17"/>
        <v>-133.22287174010563</v>
      </c>
      <c r="L153" s="529">
        <f t="shared" si="17"/>
        <v>-8302.5592527975132</v>
      </c>
      <c r="M153" s="573">
        <f t="shared" si="17"/>
        <v>-36730.150242281445</v>
      </c>
      <c r="N153" s="573">
        <f t="shared" si="18"/>
        <v>409287.77678325324</v>
      </c>
    </row>
    <row r="154" spans="1:14" x14ac:dyDescent="0.2">
      <c r="A154" s="166">
        <f t="shared" si="19"/>
        <v>79</v>
      </c>
      <c r="C154" s="528" t="s">
        <v>969</v>
      </c>
      <c r="D154" s="529">
        <v>0</v>
      </c>
      <c r="E154" s="529">
        <f t="shared" si="17"/>
        <v>15138.483781126681</v>
      </c>
      <c r="F154" s="573">
        <f t="shared" si="17"/>
        <v>57516.996044513508</v>
      </c>
      <c r="G154" s="573">
        <f t="shared" si="17"/>
        <v>-5064248.717036264</v>
      </c>
      <c r="H154" s="573">
        <f t="shared" si="17"/>
        <v>-203616.98855878765</v>
      </c>
      <c r="I154" s="573">
        <f t="shared" si="17"/>
        <v>192697.17934931949</v>
      </c>
      <c r="J154" s="573">
        <f t="shared" si="17"/>
        <v>-10026045.007438129</v>
      </c>
      <c r="K154" s="529">
        <f t="shared" si="17"/>
        <v>-128.60897954294447</v>
      </c>
      <c r="L154" s="529">
        <f t="shared" si="17"/>
        <v>4430.2945937117829</v>
      </c>
      <c r="M154" s="573">
        <f t="shared" si="17"/>
        <v>-43883.629438242097</v>
      </c>
      <c r="N154" s="573">
        <f t="shared" si="18"/>
        <v>-15068139.997682294</v>
      </c>
    </row>
    <row r="155" spans="1:14" x14ac:dyDescent="0.2">
      <c r="A155" s="166">
        <f t="shared" si="19"/>
        <v>80</v>
      </c>
      <c r="C155" s="531" t="s">
        <v>970</v>
      </c>
      <c r="D155" s="181">
        <v>0</v>
      </c>
      <c r="E155" s="534">
        <f t="shared" si="17"/>
        <v>16619.726076267914</v>
      </c>
      <c r="F155" s="575">
        <f t="shared" si="17"/>
        <v>-242814.2480696993</v>
      </c>
      <c r="G155" s="575">
        <f t="shared" si="17"/>
        <v>-5440168.1404091194</v>
      </c>
      <c r="H155" s="575">
        <f t="shared" si="17"/>
        <v>-2297101.8366535171</v>
      </c>
      <c r="I155" s="575">
        <f t="shared" si="17"/>
        <v>-159402.84023510502</v>
      </c>
      <c r="J155" s="575">
        <f t="shared" si="17"/>
        <v>-3581594.3284636205</v>
      </c>
      <c r="K155" s="534">
        <f t="shared" si="17"/>
        <v>-125.21929544254711</v>
      </c>
      <c r="L155" s="534">
        <f t="shared" si="17"/>
        <v>-9411.8629821077557</v>
      </c>
      <c r="M155" s="575">
        <f t="shared" si="17"/>
        <v>-91593.966481254043</v>
      </c>
      <c r="N155" s="575">
        <f t="shared" si="18"/>
        <v>-11805592.716513595</v>
      </c>
    </row>
    <row r="156" spans="1:14" x14ac:dyDescent="0.2">
      <c r="A156" s="166">
        <f t="shared" si="19"/>
        <v>81</v>
      </c>
      <c r="C156" s="535" t="s">
        <v>166</v>
      </c>
      <c r="D156" s="527">
        <f>SUM(D144:D155)</f>
        <v>0</v>
      </c>
      <c r="E156" s="527">
        <f t="shared" ref="E156:M156" si="20">SUM(E144:E155)</f>
        <v>238595.7850925806</v>
      </c>
      <c r="F156" s="573">
        <f t="shared" si="20"/>
        <v>-3671655.6866827989</v>
      </c>
      <c r="G156" s="573">
        <f t="shared" si="20"/>
        <v>-63672443.023959227</v>
      </c>
      <c r="H156" s="573">
        <f t="shared" si="20"/>
        <v>6806892.8136429414</v>
      </c>
      <c r="I156" s="573">
        <f t="shared" si="20"/>
        <v>-2262332.7247482929</v>
      </c>
      <c r="J156" s="573">
        <f t="shared" si="20"/>
        <v>-3768097.7219477715</v>
      </c>
      <c r="K156" s="527">
        <f t="shared" si="20"/>
        <v>-2164.1109180700405</v>
      </c>
      <c r="L156" s="527">
        <f t="shared" si="20"/>
        <v>-84413.957123867061</v>
      </c>
      <c r="M156" s="573">
        <f t="shared" si="20"/>
        <v>4078632.3943543104</v>
      </c>
      <c r="N156" s="573">
        <f>SUM(N144:N155)</f>
        <v>-62336986.232290201</v>
      </c>
    </row>
    <row r="158" spans="1:14" x14ac:dyDescent="0.2">
      <c r="B158" s="563" t="s">
        <v>297</v>
      </c>
    </row>
    <row r="159" spans="1:14" x14ac:dyDescent="0.2">
      <c r="B159" s="564" t="s">
        <v>808</v>
      </c>
      <c r="C159" s="163"/>
      <c r="D159" s="163"/>
      <c r="E159" s="163"/>
      <c r="F159" s="163"/>
      <c r="G159" s="163"/>
      <c r="H159" s="163"/>
      <c r="I159" s="163"/>
      <c r="J159" s="163"/>
    </row>
    <row r="160" spans="1:14" x14ac:dyDescent="0.2">
      <c r="B160" s="564" t="s">
        <v>809</v>
      </c>
      <c r="C160" s="163"/>
      <c r="D160" s="163"/>
      <c r="E160" s="163"/>
      <c r="F160" s="163"/>
      <c r="G160" s="163"/>
      <c r="H160" s="163"/>
      <c r="I160" s="163"/>
      <c r="J160" s="163"/>
    </row>
    <row r="161" spans="2:14" x14ac:dyDescent="0.2">
      <c r="B161" s="61" t="s">
        <v>810</v>
      </c>
      <c r="C161" s="52"/>
      <c r="D161" s="52"/>
      <c r="E161" s="52"/>
      <c r="F161" s="52"/>
      <c r="G161" s="52"/>
      <c r="H161" s="52"/>
      <c r="I161" s="52"/>
      <c r="J161" s="163"/>
      <c r="K161" s="163"/>
      <c r="L161" s="52"/>
      <c r="M161" s="52"/>
      <c r="N161" s="163"/>
    </row>
    <row r="162" spans="2:14" x14ac:dyDescent="0.2">
      <c r="B162" s="439" t="s">
        <v>811</v>
      </c>
      <c r="C162" s="52"/>
      <c r="D162" s="52"/>
      <c r="E162" s="52"/>
      <c r="F162" s="52"/>
      <c r="G162" s="52"/>
      <c r="H162" s="52"/>
      <c r="I162" s="52"/>
      <c r="J162" s="52"/>
      <c r="K162" s="52"/>
      <c r="L162" s="52"/>
      <c r="M162" s="52"/>
      <c r="N162" s="163"/>
    </row>
    <row r="163" spans="2:14" x14ac:dyDescent="0.2">
      <c r="B163" s="439" t="s">
        <v>812</v>
      </c>
      <c r="C163" s="52"/>
      <c r="D163" s="52"/>
      <c r="E163" s="52"/>
      <c r="F163" s="52"/>
      <c r="G163" s="52"/>
      <c r="H163" s="52"/>
      <c r="I163" s="52"/>
      <c r="J163" s="52"/>
      <c r="K163" s="52"/>
      <c r="L163" s="52"/>
      <c r="M163" s="52"/>
      <c r="N163" s="163"/>
    </row>
    <row r="164" spans="2:14" x14ac:dyDescent="0.2">
      <c r="B164" s="439" t="s">
        <v>813</v>
      </c>
      <c r="C164" s="52"/>
      <c r="D164" s="52"/>
      <c r="E164" s="52"/>
      <c r="F164" s="52"/>
      <c r="G164" s="52"/>
      <c r="H164" s="52"/>
      <c r="I164" s="52"/>
      <c r="J164" s="52"/>
      <c r="K164" s="52"/>
      <c r="L164" s="52"/>
      <c r="M164" s="52"/>
      <c r="N164" s="163"/>
    </row>
    <row r="165" spans="2:14" x14ac:dyDescent="0.2">
      <c r="B165" s="61" t="s">
        <v>814</v>
      </c>
      <c r="C165" s="52"/>
      <c r="D165" s="52"/>
      <c r="E165" s="52"/>
      <c r="F165" s="52"/>
      <c r="G165" s="52"/>
      <c r="H165" s="52"/>
      <c r="I165" s="52"/>
      <c r="J165" s="52"/>
      <c r="K165" s="52"/>
      <c r="L165" s="52"/>
      <c r="M165" s="52"/>
      <c r="N165" s="163"/>
    </row>
    <row r="166" spans="2:14" x14ac:dyDescent="0.2">
      <c r="B166" s="439" t="s">
        <v>815</v>
      </c>
      <c r="C166" s="52"/>
      <c r="D166" s="52"/>
      <c r="E166" s="52"/>
      <c r="F166" s="52"/>
      <c r="G166" s="52"/>
      <c r="H166" s="52"/>
      <c r="I166" s="52"/>
      <c r="J166" s="52"/>
      <c r="K166" s="52"/>
      <c r="L166" s="52"/>
      <c r="M166" s="52"/>
      <c r="N166" s="163"/>
    </row>
    <row r="167" spans="2:14" x14ac:dyDescent="0.2">
      <c r="B167" s="439" t="s">
        <v>816</v>
      </c>
      <c r="C167" s="52"/>
      <c r="D167" s="52"/>
      <c r="E167" s="52"/>
      <c r="F167" s="52"/>
      <c r="G167" s="52"/>
      <c r="H167" s="52"/>
      <c r="I167" s="52"/>
      <c r="J167" s="52"/>
      <c r="K167" s="52"/>
      <c r="L167" s="52"/>
      <c r="M167" s="52"/>
      <c r="N167" s="163"/>
    </row>
    <row r="168" spans="2:14" x14ac:dyDescent="0.2">
      <c r="B168" s="439" t="s">
        <v>817</v>
      </c>
      <c r="C168" s="52"/>
      <c r="D168" s="52"/>
      <c r="E168" s="52"/>
      <c r="F168" s="52"/>
      <c r="G168" s="52"/>
      <c r="H168" s="52"/>
      <c r="I168" s="52"/>
      <c r="J168" s="52"/>
      <c r="K168" s="52"/>
      <c r="L168" s="52"/>
      <c r="M168" s="52"/>
      <c r="N168" s="163"/>
    </row>
    <row r="169" spans="2:14" x14ac:dyDescent="0.2">
      <c r="B169" s="174" t="str">
        <f>"2) Amounts on Line "&amp;A33&amp;" derived from Plant Study for previous year Prior Year."</f>
        <v>2) Amounts on Line 15 derived from Plant Study for previous year Prior Year.</v>
      </c>
      <c r="C169" s="163"/>
      <c r="D169" s="163"/>
      <c r="E169" s="163"/>
      <c r="F169" s="163"/>
      <c r="G169" s="163"/>
      <c r="H169" s="163"/>
      <c r="I169" s="163"/>
      <c r="J169" s="163"/>
    </row>
    <row r="170" spans="2:14" x14ac:dyDescent="0.2">
      <c r="B170" s="176" t="str">
        <f>"Amounts on Line "&amp;A34&amp;" derived from Plant Study for Prior Year."</f>
        <v>Amounts on Line 16 derived from Plant Study for Prior Year.</v>
      </c>
      <c r="C170" s="163"/>
      <c r="D170" s="163"/>
      <c r="E170" s="163"/>
      <c r="F170" s="163"/>
      <c r="G170" s="163"/>
      <c r="H170" s="163"/>
      <c r="I170" s="163"/>
      <c r="J170" s="163"/>
    </row>
    <row r="171" spans="2:14" x14ac:dyDescent="0.2">
      <c r="B171" s="174" t="s">
        <v>818</v>
      </c>
      <c r="C171" s="163"/>
      <c r="D171" s="163"/>
      <c r="E171" s="163"/>
      <c r="F171" s="163"/>
      <c r="G171" s="163"/>
      <c r="H171" s="163"/>
      <c r="I171" s="163"/>
      <c r="J171" s="163"/>
    </row>
    <row r="172" spans="2:14" x14ac:dyDescent="0.2">
      <c r="B172" s="163" t="s">
        <v>1060</v>
      </c>
      <c r="C172" s="163"/>
      <c r="D172" s="163"/>
      <c r="E172" s="163"/>
      <c r="F172" s="163"/>
      <c r="G172" s="163"/>
      <c r="H172" s="163"/>
      <c r="I172" s="163"/>
      <c r="J172" s="163"/>
    </row>
    <row r="173" spans="2:14" x14ac:dyDescent="0.2">
      <c r="B173" s="174" t="str">
        <f>"5) Amount in matrix on lines "&amp;A71&amp;" to "&amp;A82&amp;" minus amount in matrix on lines "&amp;A91&amp;" to "&amp;A102&amp;"."</f>
        <v>5) Amount in matrix on lines 27 to 38 minus amount in matrix on lines 40 to 51.</v>
      </c>
      <c r="C173" s="163"/>
      <c r="D173" s="163"/>
      <c r="E173" s="163"/>
      <c r="F173" s="163"/>
      <c r="G173" s="163"/>
      <c r="H173" s="163"/>
      <c r="I173" s="163"/>
      <c r="J173" s="163"/>
    </row>
    <row r="174" spans="2:14" x14ac:dyDescent="0.2">
      <c r="B174" s="174" t="str">
        <f>"6) Line "&amp;A24&amp;" - Line "&amp;A12&amp;"."</f>
        <v>6) Line 13 - Line 1.</v>
      </c>
      <c r="C174" s="163"/>
      <c r="D174" s="163"/>
      <c r="E174" s="163"/>
      <c r="F174" s="163"/>
      <c r="G174" s="163"/>
      <c r="H174" s="163"/>
      <c r="I174" s="163"/>
      <c r="J174" s="163"/>
    </row>
    <row r="175" spans="2:14" x14ac:dyDescent="0.2">
      <c r="B175" s="163" t="str">
        <f>"7) Line "&amp;A103&amp;"."</f>
        <v>7) Line 52.</v>
      </c>
      <c r="C175" s="163"/>
      <c r="D175" s="163"/>
      <c r="E175" s="163"/>
      <c r="F175" s="163"/>
      <c r="G175" s="163"/>
      <c r="H175" s="163"/>
      <c r="I175" s="163"/>
      <c r="J175" s="163"/>
    </row>
    <row r="176" spans="2:14" x14ac:dyDescent="0.2">
      <c r="B176" s="174" t="str">
        <f>"8) Line "&amp;A129&amp;" - Line "&amp;A133&amp;"."</f>
        <v>8) Line 66 - Line 67.</v>
      </c>
      <c r="C176" s="163"/>
      <c r="D176" s="163"/>
      <c r="E176" s="163"/>
      <c r="F176" s="163"/>
      <c r="G176" s="163"/>
      <c r="H176" s="163"/>
      <c r="I176" s="163"/>
      <c r="J176" s="163"/>
    </row>
    <row r="177" spans="2:10" x14ac:dyDescent="0.2">
      <c r="B177" s="174" t="str">
        <f>"9) For each column (FERC Account) divide Line "&amp;A136&amp;" by Line "&amp;A123&amp;" to arrive at a ratio for each column."</f>
        <v>9) For each column (FERC Account) divide Line 68 by Line 65 to arrive at a ratio for each column.</v>
      </c>
      <c r="C177" s="163"/>
      <c r="D177" s="163"/>
      <c r="E177" s="163"/>
      <c r="F177" s="163"/>
      <c r="G177" s="163"/>
      <c r="H177" s="163"/>
      <c r="I177" s="163"/>
      <c r="J177" s="163"/>
    </row>
    <row r="178" spans="2:10" x14ac:dyDescent="0.2">
      <c r="B178" s="174" t="str">
        <f>"Apply the ratio of each column to each monthly value from Lines "&amp;A111&amp;"-"&amp;A122&amp;" to calculate the values for"</f>
        <v>Apply the ratio of each column to each monthly value from Lines 53-64 to calculate the values for</v>
      </c>
      <c r="C178" s="163"/>
      <c r="D178" s="163"/>
      <c r="E178" s="163"/>
      <c r="F178" s="163"/>
      <c r="G178" s="163"/>
      <c r="H178" s="163"/>
      <c r="I178" s="163"/>
      <c r="J178" s="163"/>
    </row>
    <row r="179" spans="2:10" x14ac:dyDescent="0.2">
      <c r="B179" s="174" t="str">
        <f>"the corresponsing months listed in Lines "&amp;A144&amp;"-"&amp;A155&amp;"."</f>
        <v>the corresponsing months listed in Lines 69-80.</v>
      </c>
      <c r="C179" s="163"/>
      <c r="D179" s="163"/>
      <c r="E179" s="163"/>
      <c r="F179" s="163"/>
      <c r="G179" s="163"/>
      <c r="H179" s="163"/>
      <c r="I179" s="163"/>
      <c r="J179" s="163"/>
    </row>
  </sheetData>
  <pageMargins left="0.75" right="0.75" top="1" bottom="1" header="0.5" footer="0.5"/>
  <pageSetup scale="65" orientation="landscape" cellComments="asDisplayed" r:id="rId1"/>
  <headerFooter alignWithMargins="0">
    <oddHeader>&amp;CSchedule 8
Accumulated Depreciation
(Revised 2015 True Up TRR)&amp;RTO12 Draft Annual Update
Attachment 4
WP-Schedule 3-One Time Adj True Up Adj
Page &amp;P of &amp;N</oddHeader>
    <oddFooter>&amp;R&amp;A</oddFooter>
  </headerFooter>
  <rowBreaks count="3" manualBreakCount="3">
    <brk id="36" max="16383" man="1"/>
    <brk id="84" max="16383" man="1"/>
    <brk id="124" max="16383" man="1"/>
  </rowBreaks>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72"/>
  <sheetViews>
    <sheetView zoomScaleNormal="100" workbookViewId="0"/>
  </sheetViews>
  <sheetFormatPr defaultRowHeight="12.75" x14ac:dyDescent="0.2"/>
  <cols>
    <col min="1" max="1" width="4.7109375" customWidth="1"/>
    <col min="2" max="2" width="3.7109375" customWidth="1"/>
    <col min="3" max="3" width="16.7109375" customWidth="1"/>
    <col min="4" max="4" width="9.7109375" customWidth="1"/>
    <col min="5" max="8" width="15.7109375" customWidth="1"/>
    <col min="9" max="11" width="14.7109375" customWidth="1"/>
  </cols>
  <sheetData>
    <row r="1" spans="1:10" x14ac:dyDescent="0.2">
      <c r="A1" s="162" t="s">
        <v>819</v>
      </c>
    </row>
    <row r="2" spans="1:10" x14ac:dyDescent="0.2">
      <c r="A2" s="162" t="s">
        <v>820</v>
      </c>
    </row>
    <row r="3" spans="1:10" x14ac:dyDescent="0.2">
      <c r="B3" s="162"/>
      <c r="H3" s="625" t="s">
        <v>821</v>
      </c>
      <c r="I3" s="218"/>
      <c r="J3" s="626"/>
    </row>
    <row r="4" spans="1:10" x14ac:dyDescent="0.2">
      <c r="B4" s="162" t="s">
        <v>822</v>
      </c>
    </row>
    <row r="5" spans="1:10" x14ac:dyDescent="0.2">
      <c r="B5" s="627" t="s">
        <v>823</v>
      </c>
    </row>
    <row r="6" spans="1:10" x14ac:dyDescent="0.2">
      <c r="B6" s="627" t="s">
        <v>824</v>
      </c>
    </row>
    <row r="7" spans="1:10" x14ac:dyDescent="0.2">
      <c r="B7" s="628" t="s">
        <v>825</v>
      </c>
    </row>
    <row r="8" spans="1:10" x14ac:dyDescent="0.2">
      <c r="B8" s="628" t="s">
        <v>826</v>
      </c>
    </row>
    <row r="9" spans="1:10" x14ac:dyDescent="0.2">
      <c r="B9" s="628" t="s">
        <v>827</v>
      </c>
      <c r="D9" s="162"/>
      <c r="E9" s="162"/>
    </row>
    <row r="10" spans="1:10" x14ac:dyDescent="0.2">
      <c r="B10" s="627"/>
    </row>
    <row r="11" spans="1:10" x14ac:dyDescent="0.2">
      <c r="B11" s="627"/>
      <c r="C11" s="223" t="s">
        <v>828</v>
      </c>
    </row>
    <row r="12" spans="1:10" x14ac:dyDescent="0.2">
      <c r="B12" s="627"/>
      <c r="C12" s="247" t="s">
        <v>829</v>
      </c>
    </row>
    <row r="13" spans="1:10" x14ac:dyDescent="0.2">
      <c r="B13" s="627"/>
      <c r="C13" s="176" t="s">
        <v>830</v>
      </c>
      <c r="D13" s="163"/>
      <c r="E13" s="163"/>
      <c r="F13" s="163"/>
      <c r="G13" s="163"/>
      <c r="H13" s="163"/>
      <c r="I13" s="163"/>
    </row>
    <row r="14" spans="1:10" x14ac:dyDescent="0.2">
      <c r="B14" s="627"/>
      <c r="C14" s="176" t="s">
        <v>831</v>
      </c>
      <c r="D14" s="163"/>
      <c r="E14" s="163"/>
      <c r="F14" s="163"/>
      <c r="G14" s="163"/>
      <c r="H14" s="163"/>
      <c r="I14" s="163"/>
    </row>
    <row r="15" spans="1:10" x14ac:dyDescent="0.2">
      <c r="B15" s="627"/>
      <c r="C15" s="264" t="s">
        <v>832</v>
      </c>
      <c r="D15" s="163"/>
      <c r="E15" s="163"/>
      <c r="F15" s="163"/>
      <c r="G15" s="163"/>
      <c r="H15" s="163"/>
      <c r="I15" s="163"/>
    </row>
    <row r="16" spans="1:10" x14ac:dyDescent="0.2">
      <c r="B16" s="627"/>
      <c r="C16" s="176" t="s">
        <v>833</v>
      </c>
      <c r="D16" s="163"/>
      <c r="E16" s="163"/>
      <c r="F16" s="163"/>
      <c r="G16" s="163"/>
      <c r="H16" s="163"/>
      <c r="I16" s="163"/>
    </row>
    <row r="17" spans="1:10" x14ac:dyDescent="0.2">
      <c r="B17" s="627"/>
      <c r="C17" s="176" t="s">
        <v>834</v>
      </c>
      <c r="D17" s="163"/>
      <c r="E17" s="163"/>
      <c r="F17" s="163"/>
      <c r="G17" s="163"/>
      <c r="H17" s="163"/>
      <c r="I17" s="163"/>
    </row>
    <row r="18" spans="1:10" x14ac:dyDescent="0.2">
      <c r="B18" s="627"/>
      <c r="C18" s="176"/>
      <c r="D18" s="163"/>
      <c r="E18" s="163"/>
      <c r="F18" s="163"/>
      <c r="G18" s="163"/>
      <c r="H18" s="163"/>
      <c r="I18" s="163"/>
    </row>
    <row r="19" spans="1:10" x14ac:dyDescent="0.2">
      <c r="C19" s="183" t="s">
        <v>835</v>
      </c>
      <c r="D19" s="163"/>
      <c r="E19" s="163"/>
      <c r="F19" s="163"/>
      <c r="G19" s="163"/>
      <c r="H19" s="163"/>
      <c r="I19" s="163"/>
    </row>
    <row r="20" spans="1:10" x14ac:dyDescent="0.2">
      <c r="C20" s="183"/>
      <c r="D20" s="163"/>
      <c r="E20" s="207" t="s">
        <v>152</v>
      </c>
      <c r="F20" s="207" t="s">
        <v>153</v>
      </c>
      <c r="G20" s="207" t="s">
        <v>154</v>
      </c>
      <c r="H20" s="163"/>
      <c r="I20" s="163"/>
    </row>
    <row r="21" spans="1:10" x14ac:dyDescent="0.2">
      <c r="B21" s="162"/>
      <c r="C21" s="163"/>
      <c r="D21" s="163"/>
      <c r="E21" s="163"/>
      <c r="F21" s="171" t="s">
        <v>564</v>
      </c>
      <c r="G21" s="171" t="s">
        <v>409</v>
      </c>
      <c r="H21" s="163"/>
      <c r="I21" s="163"/>
    </row>
    <row r="22" spans="1:10" x14ac:dyDescent="0.2">
      <c r="B22" s="162"/>
      <c r="C22" s="163"/>
      <c r="D22" s="163"/>
      <c r="E22" s="171" t="s">
        <v>564</v>
      </c>
      <c r="F22" s="209" t="s">
        <v>836</v>
      </c>
      <c r="G22" s="171" t="s">
        <v>837</v>
      </c>
      <c r="H22" s="163"/>
      <c r="I22" s="163"/>
    </row>
    <row r="23" spans="1:10" x14ac:dyDescent="0.2">
      <c r="B23" s="162"/>
      <c r="C23" s="174"/>
      <c r="D23" s="163"/>
      <c r="E23" s="171" t="s">
        <v>838</v>
      </c>
      <c r="F23" s="171" t="s">
        <v>839</v>
      </c>
      <c r="G23" s="171" t="s">
        <v>840</v>
      </c>
      <c r="H23" s="163"/>
      <c r="I23" s="163"/>
    </row>
    <row r="24" spans="1:10" x14ac:dyDescent="0.2">
      <c r="B24" s="162"/>
      <c r="C24" s="171" t="s">
        <v>841</v>
      </c>
      <c r="D24" s="163"/>
      <c r="E24" s="171" t="s">
        <v>66</v>
      </c>
      <c r="F24" s="171" t="s">
        <v>66</v>
      </c>
      <c r="G24" s="209" t="s">
        <v>48</v>
      </c>
      <c r="H24" s="163"/>
      <c r="I24" s="163"/>
    </row>
    <row r="25" spans="1:10" x14ac:dyDescent="0.2">
      <c r="A25" s="169" t="s">
        <v>296</v>
      </c>
      <c r="B25" s="162"/>
      <c r="C25" s="207" t="s">
        <v>842</v>
      </c>
      <c r="D25" s="163"/>
      <c r="E25" s="207" t="s">
        <v>34</v>
      </c>
      <c r="F25" s="207" t="s">
        <v>34</v>
      </c>
      <c r="G25" s="207" t="s">
        <v>34</v>
      </c>
      <c r="H25" s="207" t="s">
        <v>297</v>
      </c>
      <c r="I25" s="172"/>
      <c r="J25" s="629"/>
    </row>
    <row r="26" spans="1:10" x14ac:dyDescent="0.2">
      <c r="A26" s="166">
        <v>1</v>
      </c>
      <c r="B26" s="162"/>
      <c r="C26" s="174" t="s">
        <v>843</v>
      </c>
      <c r="D26" s="163"/>
      <c r="E26" s="173">
        <v>225689500.47</v>
      </c>
      <c r="F26" s="173">
        <v>288028357.17769235</v>
      </c>
      <c r="G26" s="173">
        <v>-225689500.46999964</v>
      </c>
      <c r="H26" s="176" t="s">
        <v>1061</v>
      </c>
      <c r="I26" s="163"/>
    </row>
    <row r="27" spans="1:10" x14ac:dyDescent="0.2">
      <c r="A27" s="166">
        <f t="shared" ref="A27:A37" si="0">A26+1</f>
        <v>2</v>
      </c>
      <c r="B27" s="162"/>
      <c r="C27" s="174" t="s">
        <v>844</v>
      </c>
      <c r="D27" s="163"/>
      <c r="E27" s="173">
        <v>0</v>
      </c>
      <c r="F27" s="173">
        <v>73070.496153846165</v>
      </c>
      <c r="G27" s="173">
        <v>0</v>
      </c>
      <c r="H27" s="176" t="s">
        <v>1062</v>
      </c>
      <c r="I27" s="163"/>
    </row>
    <row r="28" spans="1:10" x14ac:dyDescent="0.2">
      <c r="A28" s="166">
        <f t="shared" si="0"/>
        <v>3</v>
      </c>
      <c r="B28" s="162"/>
      <c r="C28" s="174" t="s">
        <v>845</v>
      </c>
      <c r="D28" s="163"/>
      <c r="E28" s="173">
        <v>0</v>
      </c>
      <c r="F28" s="173">
        <v>0</v>
      </c>
      <c r="G28" s="173">
        <v>0</v>
      </c>
      <c r="H28" s="176" t="s">
        <v>1063</v>
      </c>
      <c r="I28" s="163"/>
    </row>
    <row r="29" spans="1:10" x14ac:dyDescent="0.2">
      <c r="A29" s="166">
        <f t="shared" si="0"/>
        <v>4</v>
      </c>
      <c r="B29" s="162"/>
      <c r="C29" s="174" t="s">
        <v>846</v>
      </c>
      <c r="D29" s="163"/>
      <c r="E29" s="173">
        <v>0</v>
      </c>
      <c r="F29" s="173">
        <v>0</v>
      </c>
      <c r="G29" s="173">
        <v>0</v>
      </c>
      <c r="H29" s="176" t="s">
        <v>1064</v>
      </c>
      <c r="I29" s="163"/>
    </row>
    <row r="30" spans="1:10" x14ac:dyDescent="0.2">
      <c r="A30" s="166">
        <f t="shared" si="0"/>
        <v>5</v>
      </c>
      <c r="B30" s="162"/>
      <c r="C30" s="174" t="s">
        <v>847</v>
      </c>
      <c r="D30" s="163"/>
      <c r="E30" s="173">
        <v>9220094.2599999998</v>
      </c>
      <c r="F30" s="173">
        <v>6908502.0492307711</v>
      </c>
      <c r="G30" s="173">
        <v>-9220094.2599999942</v>
      </c>
      <c r="H30" s="176" t="s">
        <v>1065</v>
      </c>
      <c r="I30" s="163"/>
    </row>
    <row r="31" spans="1:10" x14ac:dyDescent="0.2">
      <c r="A31" s="166">
        <f t="shared" si="0"/>
        <v>6</v>
      </c>
      <c r="B31" s="162"/>
      <c r="C31" s="174" t="s">
        <v>848</v>
      </c>
      <c r="D31" s="163"/>
      <c r="E31" s="173">
        <v>6769086.5099999998</v>
      </c>
      <c r="F31" s="173">
        <v>2561180.597692308</v>
      </c>
      <c r="G31" s="173">
        <v>-1093025.8662307733</v>
      </c>
      <c r="H31" s="176" t="s">
        <v>1066</v>
      </c>
      <c r="I31" s="163"/>
    </row>
    <row r="32" spans="1:10" x14ac:dyDescent="0.2">
      <c r="A32" s="166">
        <f t="shared" si="0"/>
        <v>7</v>
      </c>
      <c r="B32" s="162"/>
      <c r="C32" s="174" t="s">
        <v>849</v>
      </c>
      <c r="D32" s="163"/>
      <c r="E32" s="173">
        <v>0</v>
      </c>
      <c r="F32" s="173">
        <v>443475.07</v>
      </c>
      <c r="G32" s="173">
        <v>0</v>
      </c>
      <c r="H32" s="176" t="s">
        <v>1067</v>
      </c>
      <c r="I32" s="163"/>
    </row>
    <row r="33" spans="1:10" x14ac:dyDescent="0.2">
      <c r="A33" s="166">
        <f t="shared" si="0"/>
        <v>8</v>
      </c>
      <c r="B33" s="162"/>
      <c r="C33" s="174" t="s">
        <v>850</v>
      </c>
      <c r="D33" s="163"/>
      <c r="E33" s="173">
        <v>2844116.01</v>
      </c>
      <c r="F33" s="173">
        <v>35833148.962307684</v>
      </c>
      <c r="G33" s="173">
        <v>4311313.120833341</v>
      </c>
      <c r="H33" s="176" t="s">
        <v>1068</v>
      </c>
      <c r="I33" s="163"/>
    </row>
    <row r="34" spans="1:10" x14ac:dyDescent="0.2">
      <c r="A34" s="166">
        <f t="shared" si="0"/>
        <v>9</v>
      </c>
      <c r="B34" s="162"/>
      <c r="C34" s="174" t="s">
        <v>851</v>
      </c>
      <c r="D34" s="163"/>
      <c r="E34" s="173">
        <v>52084175.729999997</v>
      </c>
      <c r="F34" s="173">
        <v>44730230.869230777</v>
      </c>
      <c r="G34" s="173">
        <v>127839195.10931954</v>
      </c>
      <c r="H34" s="176" t="s">
        <v>1069</v>
      </c>
      <c r="I34" s="163"/>
    </row>
    <row r="35" spans="1:10" x14ac:dyDescent="0.2">
      <c r="A35" s="166">
        <f t="shared" si="0"/>
        <v>10</v>
      </c>
      <c r="B35" s="162"/>
      <c r="C35" s="217" t="s">
        <v>635</v>
      </c>
      <c r="E35" s="630" t="s">
        <v>400</v>
      </c>
      <c r="F35" s="630" t="s">
        <v>400</v>
      </c>
      <c r="G35" s="630" t="s">
        <v>400</v>
      </c>
      <c r="H35" s="217" t="s">
        <v>635</v>
      </c>
      <c r="I35" s="163"/>
      <c r="J35" s="163"/>
    </row>
    <row r="36" spans="1:10" x14ac:dyDescent="0.2">
      <c r="A36" s="166">
        <f t="shared" si="0"/>
        <v>11</v>
      </c>
      <c r="B36" s="162"/>
      <c r="C36" s="631"/>
      <c r="E36" s="630"/>
      <c r="F36" s="630"/>
      <c r="G36" s="630"/>
      <c r="H36" s="247"/>
    </row>
    <row r="37" spans="1:10" x14ac:dyDescent="0.2">
      <c r="A37" s="166">
        <f t="shared" si="0"/>
        <v>12</v>
      </c>
      <c r="B37" s="162"/>
      <c r="D37" s="230" t="s">
        <v>852</v>
      </c>
      <c r="E37" s="221">
        <f>SUM(E26:E34)</f>
        <v>296606972.97999996</v>
      </c>
      <c r="F37" s="173">
        <f>SUM(F26:F34)</f>
        <v>378577965.22230768</v>
      </c>
      <c r="G37" s="173">
        <f>SUM(G26:G34)</f>
        <v>-103852112.36607754</v>
      </c>
      <c r="H37" s="632"/>
    </row>
    <row r="38" spans="1:10" x14ac:dyDescent="0.2">
      <c r="B38" s="162"/>
    </row>
    <row r="39" spans="1:10" x14ac:dyDescent="0.2">
      <c r="B39" s="162"/>
      <c r="C39" s="162" t="s">
        <v>853</v>
      </c>
    </row>
    <row r="40" spans="1:10" x14ac:dyDescent="0.2">
      <c r="B40" s="162"/>
      <c r="C40" s="162"/>
    </row>
    <row r="41" spans="1:10" x14ac:dyDescent="0.2">
      <c r="B41" s="162"/>
      <c r="E41" s="170" t="s">
        <v>152</v>
      </c>
      <c r="F41" s="170" t="s">
        <v>153</v>
      </c>
      <c r="G41" s="170" t="s">
        <v>154</v>
      </c>
    </row>
    <row r="42" spans="1:10" x14ac:dyDescent="0.2">
      <c r="B42" s="162"/>
      <c r="E42" s="453" t="s">
        <v>854</v>
      </c>
      <c r="F42" s="170"/>
      <c r="G42" s="170"/>
    </row>
    <row r="43" spans="1:10" x14ac:dyDescent="0.2">
      <c r="B43" s="162"/>
      <c r="E43" s="166" t="s">
        <v>564</v>
      </c>
      <c r="F43" s="166" t="s">
        <v>855</v>
      </c>
      <c r="G43" s="166" t="s">
        <v>855</v>
      </c>
    </row>
    <row r="44" spans="1:10" x14ac:dyDescent="0.2">
      <c r="B44" s="162"/>
      <c r="E44" s="166" t="s">
        <v>841</v>
      </c>
      <c r="F44" s="166" t="s">
        <v>840</v>
      </c>
      <c r="G44" s="166" t="s">
        <v>856</v>
      </c>
    </row>
    <row r="45" spans="1:10" x14ac:dyDescent="0.2">
      <c r="B45" s="162"/>
      <c r="E45" s="170" t="s">
        <v>71</v>
      </c>
      <c r="F45" s="170" t="s">
        <v>857</v>
      </c>
      <c r="G45" s="170" t="s">
        <v>858</v>
      </c>
      <c r="H45" s="170" t="s">
        <v>297</v>
      </c>
    </row>
    <row r="46" spans="1:10" x14ac:dyDescent="0.2">
      <c r="A46" s="166">
        <f>A37+1</f>
        <v>13</v>
      </c>
      <c r="B46" s="162"/>
      <c r="C46" t="s">
        <v>859</v>
      </c>
      <c r="E46" s="250">
        <f>F46+G46</f>
        <v>159718238.86265433</v>
      </c>
      <c r="F46" s="173">
        <v>0</v>
      </c>
      <c r="G46" s="173">
        <f>H84</f>
        <v>159718238.86265433</v>
      </c>
      <c r="H46" s="247" t="str">
        <f>"Line "&amp;A84&amp;", C4"</f>
        <v>Line 37, C4</v>
      </c>
    </row>
    <row r="47" spans="1:10" x14ac:dyDescent="0.2">
      <c r="A47" s="166">
        <f>A46+1</f>
        <v>14</v>
      </c>
      <c r="B47" s="162"/>
      <c r="C47" t="s">
        <v>860</v>
      </c>
      <c r="E47" s="250">
        <f>F47+G47</f>
        <v>2721169268.0444202</v>
      </c>
      <c r="F47" s="173">
        <f>E26</f>
        <v>225689500.47</v>
      </c>
      <c r="G47" s="173">
        <f>F84</f>
        <v>2495479767.5744205</v>
      </c>
      <c r="H47" s="247" t="str">
        <f>"Line "&amp;A26&amp;", C1, and Line "&amp;A84&amp;", C2"</f>
        <v>Line 1, C1, and Line 37, C2</v>
      </c>
    </row>
    <row r="48" spans="1:10" x14ac:dyDescent="0.2">
      <c r="A48" s="166">
        <f>A47+1</f>
        <v>15</v>
      </c>
      <c r="B48" s="162"/>
      <c r="C48" s="223" t="s">
        <v>861</v>
      </c>
      <c r="E48" s="186">
        <f>F48+G48</f>
        <v>729026909.21031749</v>
      </c>
      <c r="F48" s="173">
        <f>E27</f>
        <v>0</v>
      </c>
      <c r="G48" s="179">
        <f>G84</f>
        <v>729026909.21031749</v>
      </c>
      <c r="H48" s="247" t="str">
        <f>"Line "&amp;A27&amp;", C1, and Line "&amp;A84&amp;", C3"</f>
        <v>Line 2, C1, and Line 37, C3</v>
      </c>
    </row>
    <row r="49" spans="1:8" x14ac:dyDescent="0.2">
      <c r="A49" s="166">
        <f>A48+1</f>
        <v>16</v>
      </c>
      <c r="B49" s="162"/>
      <c r="C49" s="217" t="s">
        <v>635</v>
      </c>
      <c r="E49" s="453" t="s">
        <v>400</v>
      </c>
      <c r="F49" s="453" t="s">
        <v>400</v>
      </c>
      <c r="G49" s="453" t="s">
        <v>400</v>
      </c>
      <c r="H49" s="217" t="s">
        <v>635</v>
      </c>
    </row>
    <row r="50" spans="1:8" x14ac:dyDescent="0.2">
      <c r="A50" s="166">
        <f>A49+1</f>
        <v>17</v>
      </c>
      <c r="B50" s="162"/>
      <c r="C50" s="631"/>
      <c r="E50" s="453"/>
      <c r="F50" s="453"/>
      <c r="G50" s="453"/>
      <c r="H50" s="247"/>
    </row>
    <row r="51" spans="1:8" x14ac:dyDescent="0.2">
      <c r="A51" s="166">
        <f>A50+1</f>
        <v>18</v>
      </c>
      <c r="B51" s="162"/>
      <c r="D51" s="224" t="s">
        <v>862</v>
      </c>
      <c r="E51" s="179">
        <f>SUM(E46:E48)</f>
        <v>3609914416.1173921</v>
      </c>
      <c r="F51" s="453"/>
      <c r="G51" s="453"/>
      <c r="H51" s="247" t="s">
        <v>863</v>
      </c>
    </row>
    <row r="52" spans="1:8" x14ac:dyDescent="0.2">
      <c r="B52" s="162"/>
    </row>
    <row r="53" spans="1:8" x14ac:dyDescent="0.2">
      <c r="B53" s="162"/>
      <c r="C53" s="162" t="s">
        <v>864</v>
      </c>
    </row>
    <row r="54" spans="1:8" x14ac:dyDescent="0.2">
      <c r="B54" s="162"/>
      <c r="C54" s="162"/>
    </row>
    <row r="55" spans="1:8" x14ac:dyDescent="0.2">
      <c r="B55" s="162"/>
      <c r="C55" s="162"/>
      <c r="E55" s="170" t="s">
        <v>152</v>
      </c>
      <c r="F55" s="170" t="s">
        <v>153</v>
      </c>
      <c r="G55" s="170" t="s">
        <v>154</v>
      </c>
    </row>
    <row r="56" spans="1:8" x14ac:dyDescent="0.2">
      <c r="B56" s="162"/>
      <c r="E56" s="453" t="s">
        <v>854</v>
      </c>
      <c r="G56" s="166" t="s">
        <v>48</v>
      </c>
    </row>
    <row r="57" spans="1:8" x14ac:dyDescent="0.2">
      <c r="B57" s="162"/>
      <c r="E57" s="166" t="s">
        <v>564</v>
      </c>
      <c r="F57" s="166" t="s">
        <v>48</v>
      </c>
      <c r="G57" s="166" t="s">
        <v>856</v>
      </c>
    </row>
    <row r="58" spans="1:8" x14ac:dyDescent="0.2">
      <c r="B58" s="162"/>
      <c r="C58" s="166" t="s">
        <v>841</v>
      </c>
      <c r="E58" s="166" t="s">
        <v>841</v>
      </c>
      <c r="F58" s="166" t="s">
        <v>840</v>
      </c>
      <c r="G58" s="166" t="s">
        <v>858</v>
      </c>
    </row>
    <row r="59" spans="1:8" ht="12.75" customHeight="1" x14ac:dyDescent="0.2">
      <c r="B59" s="162"/>
      <c r="C59" s="170" t="s">
        <v>842</v>
      </c>
      <c r="E59" s="170" t="s">
        <v>71</v>
      </c>
      <c r="F59" s="170" t="s">
        <v>857</v>
      </c>
      <c r="G59" s="170" t="s">
        <v>857</v>
      </c>
      <c r="H59" s="170" t="s">
        <v>297</v>
      </c>
    </row>
    <row r="60" spans="1:8" x14ac:dyDescent="0.2">
      <c r="A60" s="166">
        <f>A51+1</f>
        <v>19</v>
      </c>
      <c r="B60" s="162"/>
      <c r="C60" t="s">
        <v>859</v>
      </c>
      <c r="E60" s="250">
        <f>F60+G60</f>
        <v>162088989.50446436</v>
      </c>
      <c r="F60" s="173">
        <v>0</v>
      </c>
      <c r="G60" s="633">
        <f>H85</f>
        <v>162088989.50446436</v>
      </c>
      <c r="H60" s="247" t="str">
        <f>"Line "&amp;A85&amp;", C4"</f>
        <v>Line 38, C4</v>
      </c>
    </row>
    <row r="61" spans="1:8" x14ac:dyDescent="0.2">
      <c r="A61" s="166">
        <f>A60+1</f>
        <v>20</v>
      </c>
      <c r="B61" s="162"/>
      <c r="C61" t="s">
        <v>860</v>
      </c>
      <c r="E61" s="250">
        <f>F61+G61</f>
        <v>2627490664.8974462</v>
      </c>
      <c r="F61" s="173">
        <f>F26</f>
        <v>288028357.17769235</v>
      </c>
      <c r="G61" s="633">
        <f>F85</f>
        <v>2339462307.7197537</v>
      </c>
      <c r="H61" s="247" t="str">
        <f>"Line "&amp;A26&amp;", C2, and Line "&amp;A85&amp;", C2"</f>
        <v>Line 1, C2, and Line 38, C2</v>
      </c>
    </row>
    <row r="62" spans="1:8" x14ac:dyDescent="0.2">
      <c r="A62" s="166">
        <f>A61+1</f>
        <v>21</v>
      </c>
      <c r="B62" s="162"/>
      <c r="C62" s="223" t="s">
        <v>865</v>
      </c>
      <c r="E62" s="186">
        <f>F62+G62</f>
        <v>739229720.78937244</v>
      </c>
      <c r="F62" s="173">
        <f>F27</f>
        <v>73070.496153846165</v>
      </c>
      <c r="G62" s="634">
        <f>G85</f>
        <v>739156650.29321861</v>
      </c>
      <c r="H62" s="247" t="str">
        <f>"Line "&amp;A27&amp;", C2, and Line "&amp;A85&amp;", C3"</f>
        <v>Line 2, C2, and Line 38, C3</v>
      </c>
    </row>
    <row r="63" spans="1:8" x14ac:dyDescent="0.2">
      <c r="A63" s="166">
        <f>A62+1</f>
        <v>22</v>
      </c>
      <c r="B63" s="162"/>
      <c r="C63" s="217" t="s">
        <v>635</v>
      </c>
      <c r="E63" s="453" t="s">
        <v>400</v>
      </c>
      <c r="F63" s="453" t="s">
        <v>400</v>
      </c>
      <c r="G63" s="453" t="s">
        <v>400</v>
      </c>
      <c r="H63" s="217" t="s">
        <v>635</v>
      </c>
    </row>
    <row r="64" spans="1:8" x14ac:dyDescent="0.2">
      <c r="A64" s="166">
        <f>A63+1</f>
        <v>23</v>
      </c>
      <c r="B64" s="162"/>
      <c r="C64" s="631"/>
      <c r="E64" s="453"/>
      <c r="F64" s="453"/>
      <c r="G64" s="453"/>
      <c r="H64" s="247"/>
    </row>
    <row r="65" spans="1:11" x14ac:dyDescent="0.2">
      <c r="A65" s="166">
        <f>A64+1</f>
        <v>24</v>
      </c>
      <c r="B65" s="162"/>
      <c r="D65" s="224" t="s">
        <v>862</v>
      </c>
      <c r="E65" s="179">
        <f>SUM(E60:E62)</f>
        <v>3528809375.1912827</v>
      </c>
      <c r="H65" s="635" t="s">
        <v>866</v>
      </c>
    </row>
    <row r="66" spans="1:11" x14ac:dyDescent="0.2">
      <c r="A66" s="166"/>
      <c r="B66" s="162"/>
      <c r="D66" s="224"/>
      <c r="E66" s="221"/>
    </row>
    <row r="67" spans="1:11" x14ac:dyDescent="0.2">
      <c r="C67" s="162" t="s">
        <v>867</v>
      </c>
    </row>
    <row r="68" spans="1:11" x14ac:dyDescent="0.2">
      <c r="E68" s="227" t="s">
        <v>152</v>
      </c>
      <c r="F68" s="227" t="s">
        <v>153</v>
      </c>
      <c r="G68" s="227" t="s">
        <v>154</v>
      </c>
      <c r="H68" s="227" t="s">
        <v>155</v>
      </c>
      <c r="I68" s="227" t="s">
        <v>371</v>
      </c>
      <c r="J68" s="227"/>
    </row>
    <row r="69" spans="1:11" x14ac:dyDescent="0.2">
      <c r="C69" s="166" t="s">
        <v>868</v>
      </c>
      <c r="E69" s="166" t="s">
        <v>869</v>
      </c>
      <c r="F69" s="636" t="str">
        <f>"L "&amp;A117&amp;" to L "&amp;A129&amp;", C3"</f>
        <v>L 53 to L 65, C3</v>
      </c>
      <c r="G69" s="636" t="str">
        <f>"L "&amp;A157&amp;" to L "&amp;A169&amp;", C3"</f>
        <v>L 79 to L 91, C3</v>
      </c>
      <c r="H69" s="636" t="str">
        <f>"L "&amp;A137&amp;" to L "&amp;A149&amp;", C3"</f>
        <v>L 66 to L 78, C3</v>
      </c>
      <c r="I69" s="218"/>
      <c r="K69" s="166"/>
    </row>
    <row r="70" spans="1:11" x14ac:dyDescent="0.2">
      <c r="C70" s="166" t="s">
        <v>17</v>
      </c>
      <c r="E70" s="166" t="s">
        <v>870</v>
      </c>
      <c r="F70" s="163"/>
      <c r="G70" s="171" t="s">
        <v>375</v>
      </c>
      <c r="H70" s="171" t="s">
        <v>871</v>
      </c>
      <c r="I70" s="637"/>
      <c r="J70" s="217"/>
      <c r="K70" s="166"/>
    </row>
    <row r="71" spans="1:11" x14ac:dyDescent="0.2">
      <c r="A71" s="169"/>
      <c r="C71" s="57" t="s">
        <v>16</v>
      </c>
      <c r="D71" s="57" t="s">
        <v>17</v>
      </c>
      <c r="E71" s="170" t="s">
        <v>858</v>
      </c>
      <c r="F71" s="207" t="s">
        <v>378</v>
      </c>
      <c r="G71" s="207" t="s">
        <v>379</v>
      </c>
      <c r="H71" s="207" t="s">
        <v>872</v>
      </c>
      <c r="I71" s="638"/>
      <c r="J71" s="170" t="s">
        <v>45</v>
      </c>
    </row>
    <row r="72" spans="1:11" x14ac:dyDescent="0.2">
      <c r="A72" s="166">
        <f>A65+1</f>
        <v>25</v>
      </c>
      <c r="C72" s="58" t="s">
        <v>6</v>
      </c>
      <c r="D72" s="639">
        <v>2014</v>
      </c>
      <c r="E72" s="598">
        <f>SUM(F72:H72)</f>
        <v>2761944736.8342519</v>
      </c>
      <c r="F72" s="641">
        <f>G117</f>
        <v>1848586992.542968</v>
      </c>
      <c r="G72" s="642">
        <f>G157</f>
        <v>748888049.81078637</v>
      </c>
      <c r="H72" s="641">
        <f>G137</f>
        <v>164469694.48049724</v>
      </c>
      <c r="I72" s="217" t="s">
        <v>400</v>
      </c>
      <c r="J72" s="629" t="s">
        <v>873</v>
      </c>
    </row>
    <row r="73" spans="1:11" x14ac:dyDescent="0.2">
      <c r="A73" s="166">
        <f>A72+1</f>
        <v>26</v>
      </c>
      <c r="C73" s="58" t="s">
        <v>7</v>
      </c>
      <c r="D73" s="371">
        <v>2015</v>
      </c>
      <c r="E73" s="598">
        <f t="shared" ref="E73:E84" si="1">SUM(F73:H73)</f>
        <v>2803504606.4234805</v>
      </c>
      <c r="F73" s="641">
        <f t="shared" ref="F73:F84" si="2">G118</f>
        <v>1891956110.1844282</v>
      </c>
      <c r="G73" s="642">
        <f t="shared" ref="G73:G84" si="3">G158</f>
        <v>747473765.43715596</v>
      </c>
      <c r="H73" s="641">
        <f t="shared" ref="H73:H84" si="4">G138</f>
        <v>164074730.80189648</v>
      </c>
      <c r="I73" s="217" t="s">
        <v>400</v>
      </c>
      <c r="J73" s="247" t="s">
        <v>874</v>
      </c>
    </row>
    <row r="74" spans="1:11" x14ac:dyDescent="0.2">
      <c r="A74" s="166">
        <f t="shared" ref="A74:A85" si="5">A73+1</f>
        <v>27</v>
      </c>
      <c r="C74" s="53" t="s">
        <v>8</v>
      </c>
      <c r="D74" s="371">
        <v>2015</v>
      </c>
      <c r="E74" s="598">
        <f t="shared" si="1"/>
        <v>2795587888.8005767</v>
      </c>
      <c r="F74" s="641">
        <f t="shared" si="2"/>
        <v>1885717377.1122127</v>
      </c>
      <c r="G74" s="642">
        <f t="shared" si="3"/>
        <v>746204306.45506799</v>
      </c>
      <c r="H74" s="641">
        <f t="shared" si="4"/>
        <v>163666205.23329577</v>
      </c>
      <c r="I74" s="217" t="s">
        <v>400</v>
      </c>
      <c r="J74" s="217" t="s">
        <v>875</v>
      </c>
      <c r="K74" s="166"/>
    </row>
    <row r="75" spans="1:11" x14ac:dyDescent="0.2">
      <c r="A75" s="166">
        <f t="shared" si="5"/>
        <v>28</v>
      </c>
      <c r="C75" s="53" t="s">
        <v>18</v>
      </c>
      <c r="D75" s="371">
        <v>2015</v>
      </c>
      <c r="E75" s="598">
        <f t="shared" si="1"/>
        <v>3194885481.4035792</v>
      </c>
      <c r="F75" s="641">
        <f t="shared" si="2"/>
        <v>2287372676.6299777</v>
      </c>
      <c r="G75" s="642">
        <f t="shared" si="3"/>
        <v>744241534.17385852</v>
      </c>
      <c r="H75" s="641">
        <f t="shared" si="4"/>
        <v>163271270.59974277</v>
      </c>
      <c r="I75" s="217" t="s">
        <v>400</v>
      </c>
      <c r="J75" s="217"/>
      <c r="K75" s="166"/>
    </row>
    <row r="76" spans="1:11" x14ac:dyDescent="0.2">
      <c r="A76" s="166">
        <f t="shared" si="5"/>
        <v>29</v>
      </c>
      <c r="C76" s="58" t="s">
        <v>9</v>
      </c>
      <c r="D76" s="371">
        <v>2015</v>
      </c>
      <c r="E76" s="598">
        <f t="shared" si="1"/>
        <v>3417320295.1055222</v>
      </c>
      <c r="F76" s="641">
        <f t="shared" si="2"/>
        <v>2511443084.4152517</v>
      </c>
      <c r="G76" s="642">
        <f t="shared" si="3"/>
        <v>743000874.72408056</v>
      </c>
      <c r="H76" s="641">
        <f t="shared" si="4"/>
        <v>162876335.96618977</v>
      </c>
      <c r="I76" s="217" t="s">
        <v>400</v>
      </c>
      <c r="J76" s="217"/>
      <c r="K76" s="166"/>
    </row>
    <row r="77" spans="1:11" x14ac:dyDescent="0.2">
      <c r="A77" s="166">
        <f t="shared" si="5"/>
        <v>30</v>
      </c>
      <c r="C77" s="53" t="s">
        <v>10</v>
      </c>
      <c r="D77" s="371">
        <v>2015</v>
      </c>
      <c r="E77" s="598">
        <f t="shared" si="1"/>
        <v>3414727938.2817888</v>
      </c>
      <c r="F77" s="641">
        <f t="shared" si="2"/>
        <v>2510980941.9269123</v>
      </c>
      <c r="G77" s="642">
        <f t="shared" si="3"/>
        <v>741265595.02223957</v>
      </c>
      <c r="H77" s="641">
        <f t="shared" si="4"/>
        <v>162481401.33263677</v>
      </c>
      <c r="I77" s="217" t="s">
        <v>400</v>
      </c>
      <c r="J77" s="217"/>
      <c r="K77" s="166"/>
    </row>
    <row r="78" spans="1:11" x14ac:dyDescent="0.2">
      <c r="A78" s="166">
        <f t="shared" si="5"/>
        <v>31</v>
      </c>
      <c r="C78" s="53" t="s">
        <v>383</v>
      </c>
      <c r="D78" s="371">
        <v>2015</v>
      </c>
      <c r="E78" s="598">
        <f t="shared" si="1"/>
        <v>3403755262.2121034</v>
      </c>
      <c r="F78" s="641">
        <f t="shared" si="2"/>
        <v>2502757829.7793803</v>
      </c>
      <c r="G78" s="642">
        <f t="shared" si="3"/>
        <v>738910965.73363912</v>
      </c>
      <c r="H78" s="641">
        <f t="shared" si="4"/>
        <v>162086466.69908378</v>
      </c>
      <c r="I78" s="217" t="s">
        <v>400</v>
      </c>
      <c r="J78" s="217"/>
      <c r="K78" s="166"/>
    </row>
    <row r="79" spans="1:11" x14ac:dyDescent="0.2">
      <c r="A79" s="166">
        <f t="shared" si="5"/>
        <v>32</v>
      </c>
      <c r="C79" s="58" t="s">
        <v>11</v>
      </c>
      <c r="D79" s="371">
        <v>2015</v>
      </c>
      <c r="E79" s="598">
        <f t="shared" si="1"/>
        <v>3399385987.3788495</v>
      </c>
      <c r="F79" s="641">
        <f t="shared" si="2"/>
        <v>2500340949.5421481</v>
      </c>
      <c r="G79" s="642">
        <f t="shared" si="3"/>
        <v>737353505.77117062</v>
      </c>
      <c r="H79" s="641">
        <f t="shared" si="4"/>
        <v>161691532.06553078</v>
      </c>
      <c r="I79" s="217" t="s">
        <v>400</v>
      </c>
      <c r="J79" s="217"/>
      <c r="K79" s="164"/>
    </row>
    <row r="80" spans="1:11" x14ac:dyDescent="0.2">
      <c r="A80" s="166">
        <f t="shared" si="5"/>
        <v>33</v>
      </c>
      <c r="C80" s="53" t="s">
        <v>12</v>
      </c>
      <c r="D80" s="371">
        <v>2015</v>
      </c>
      <c r="E80" s="598">
        <f t="shared" si="1"/>
        <v>3397541233.3658857</v>
      </c>
      <c r="F80" s="641">
        <f t="shared" si="2"/>
        <v>2500420969.0852065</v>
      </c>
      <c r="G80" s="642">
        <f t="shared" si="3"/>
        <v>735823614.62870181</v>
      </c>
      <c r="H80" s="641">
        <f t="shared" si="4"/>
        <v>161296649.65197778</v>
      </c>
      <c r="I80" s="217" t="s">
        <v>400</v>
      </c>
      <c r="J80" s="217"/>
      <c r="K80" s="166"/>
    </row>
    <row r="81" spans="1:11" x14ac:dyDescent="0.2">
      <c r="A81" s="166">
        <f t="shared" si="5"/>
        <v>34</v>
      </c>
      <c r="C81" s="53" t="s">
        <v>13</v>
      </c>
      <c r="D81" s="371">
        <v>2015</v>
      </c>
      <c r="E81" s="598">
        <f t="shared" si="1"/>
        <v>3392167196.5913482</v>
      </c>
      <c r="F81" s="641">
        <f t="shared" si="2"/>
        <v>2496995372.9722252</v>
      </c>
      <c r="G81" s="642">
        <f t="shared" si="3"/>
        <v>734268774.11818457</v>
      </c>
      <c r="H81" s="641">
        <f t="shared" si="4"/>
        <v>160903049.50093856</v>
      </c>
      <c r="I81" s="217" t="s">
        <v>400</v>
      </c>
      <c r="J81" s="217"/>
      <c r="K81" s="166"/>
    </row>
    <row r="82" spans="1:11" x14ac:dyDescent="0.2">
      <c r="A82" s="166">
        <f t="shared" si="5"/>
        <v>35</v>
      </c>
      <c r="C82" s="58" t="s">
        <v>384</v>
      </c>
      <c r="D82" s="371">
        <v>2015</v>
      </c>
      <c r="E82" s="598">
        <f t="shared" si="1"/>
        <v>3384208211.9309602</v>
      </c>
      <c r="F82" s="641">
        <f t="shared" si="2"/>
        <v>2491625762.9935217</v>
      </c>
      <c r="G82" s="642">
        <f t="shared" si="3"/>
        <v>732074336.31592786</v>
      </c>
      <c r="H82" s="641">
        <f t="shared" si="4"/>
        <v>160508112.62151048</v>
      </c>
      <c r="I82" s="217" t="s">
        <v>400</v>
      </c>
      <c r="J82" s="217"/>
      <c r="K82" s="166"/>
    </row>
    <row r="83" spans="1:11" x14ac:dyDescent="0.2">
      <c r="A83" s="166">
        <f t="shared" si="5"/>
        <v>36</v>
      </c>
      <c r="C83" s="58" t="s">
        <v>14</v>
      </c>
      <c r="D83" s="371">
        <v>2015</v>
      </c>
      <c r="E83" s="598">
        <f t="shared" si="1"/>
        <v>3379949563.7509432</v>
      </c>
      <c r="F83" s="641">
        <f t="shared" si="2"/>
        <v>2489332165.5981483</v>
      </c>
      <c r="G83" s="642">
        <f t="shared" si="3"/>
        <v>730504222.410712</v>
      </c>
      <c r="H83" s="641">
        <f t="shared" si="4"/>
        <v>160113175.74208242</v>
      </c>
      <c r="I83" s="217" t="s">
        <v>400</v>
      </c>
      <c r="J83" s="217"/>
      <c r="K83" s="166"/>
    </row>
    <row r="84" spans="1:11" x14ac:dyDescent="0.2">
      <c r="A84" s="166">
        <f t="shared" si="5"/>
        <v>37</v>
      </c>
      <c r="C84" s="58" t="s">
        <v>6</v>
      </c>
      <c r="D84" s="371">
        <v>2015</v>
      </c>
      <c r="E84" s="643">
        <f t="shared" si="1"/>
        <v>3384224915.6473923</v>
      </c>
      <c r="F84" s="644">
        <f t="shared" si="2"/>
        <v>2495479767.5744205</v>
      </c>
      <c r="G84" s="643">
        <f t="shared" si="3"/>
        <v>729026909.21031749</v>
      </c>
      <c r="H84" s="644">
        <f t="shared" si="4"/>
        <v>159718238.86265433</v>
      </c>
      <c r="I84" s="217" t="s">
        <v>400</v>
      </c>
      <c r="J84" s="217"/>
      <c r="K84" s="166"/>
    </row>
    <row r="85" spans="1:11" x14ac:dyDescent="0.2">
      <c r="A85" s="166">
        <f t="shared" si="5"/>
        <v>38</v>
      </c>
      <c r="C85" s="58"/>
      <c r="D85" s="378" t="s">
        <v>385</v>
      </c>
      <c r="E85" s="598">
        <f>SUM(E72:E84)/13</f>
        <v>3240707947.5174375</v>
      </c>
      <c r="F85" s="599">
        <f>SUM(F72:F84)/13</f>
        <v>2339462307.7197537</v>
      </c>
      <c r="G85" s="598">
        <f>SUM(G72:G84)/13</f>
        <v>739156650.29321861</v>
      </c>
      <c r="H85" s="599">
        <f>SUM(H72:H84)/13</f>
        <v>162088989.50446436</v>
      </c>
      <c r="I85" s="183"/>
      <c r="J85" s="162"/>
      <c r="K85" s="166"/>
    </row>
    <row r="87" spans="1:11" x14ac:dyDescent="0.2">
      <c r="A87" s="166"/>
      <c r="C87" s="645" t="s">
        <v>876</v>
      </c>
      <c r="D87" s="378"/>
      <c r="E87" s="599"/>
      <c r="F87" s="599"/>
      <c r="G87" s="599"/>
      <c r="H87" s="599"/>
      <c r="I87" s="162"/>
      <c r="J87" s="162"/>
    </row>
    <row r="88" spans="1:11" x14ac:dyDescent="0.2">
      <c r="A88" s="166"/>
      <c r="C88" s="645"/>
      <c r="D88" s="378"/>
      <c r="E88" s="227" t="s">
        <v>152</v>
      </c>
      <c r="F88" s="227" t="s">
        <v>153</v>
      </c>
      <c r="G88" s="227" t="s">
        <v>154</v>
      </c>
      <c r="H88" s="599"/>
      <c r="I88" s="162"/>
      <c r="J88" s="162"/>
    </row>
    <row r="89" spans="1:11" x14ac:dyDescent="0.2">
      <c r="A89" s="166"/>
      <c r="C89" s="58"/>
      <c r="D89" s="378"/>
      <c r="G89" s="453" t="s">
        <v>877</v>
      </c>
      <c r="H89" s="599"/>
      <c r="I89" s="162"/>
      <c r="J89" s="162"/>
    </row>
    <row r="90" spans="1:11" x14ac:dyDescent="0.2">
      <c r="A90" s="166"/>
      <c r="C90" s="58"/>
      <c r="D90" s="378"/>
      <c r="E90" s="600" t="s">
        <v>348</v>
      </c>
      <c r="F90" s="599"/>
      <c r="G90" s="646" t="s">
        <v>878</v>
      </c>
      <c r="H90" s="599"/>
      <c r="I90" s="162"/>
      <c r="J90" s="162"/>
    </row>
    <row r="91" spans="1:11" x14ac:dyDescent="0.2">
      <c r="A91" s="166"/>
      <c r="C91" s="166" t="s">
        <v>868</v>
      </c>
      <c r="E91" s="600" t="s">
        <v>879</v>
      </c>
      <c r="F91" s="600" t="s">
        <v>328</v>
      </c>
      <c r="G91" s="600" t="s">
        <v>879</v>
      </c>
      <c r="H91" s="599"/>
      <c r="I91" s="162"/>
      <c r="J91" s="162"/>
    </row>
    <row r="92" spans="1:11" x14ac:dyDescent="0.2">
      <c r="A92" s="166"/>
      <c r="C92" s="166" t="s">
        <v>17</v>
      </c>
      <c r="E92" s="600" t="s">
        <v>841</v>
      </c>
      <c r="F92" s="226" t="s">
        <v>880</v>
      </c>
      <c r="G92" s="600" t="s">
        <v>841</v>
      </c>
      <c r="H92" s="599"/>
      <c r="I92" s="162"/>
      <c r="J92" s="162"/>
    </row>
    <row r="93" spans="1:11" x14ac:dyDescent="0.2">
      <c r="A93" s="166"/>
      <c r="C93" s="57" t="s">
        <v>16</v>
      </c>
      <c r="D93" s="57" t="s">
        <v>17</v>
      </c>
      <c r="E93" s="601" t="s">
        <v>881</v>
      </c>
      <c r="F93" s="170" t="s">
        <v>882</v>
      </c>
      <c r="G93" s="601" t="s">
        <v>881</v>
      </c>
      <c r="H93" s="601" t="s">
        <v>883</v>
      </c>
      <c r="I93" s="162"/>
      <c r="J93" s="162"/>
    </row>
    <row r="94" spans="1:11" ht="12.75" customHeight="1" x14ac:dyDescent="0.2">
      <c r="A94" s="166">
        <f>A85+1</f>
        <v>39</v>
      </c>
      <c r="C94" s="58" t="s">
        <v>6</v>
      </c>
      <c r="D94" s="639">
        <v>2014</v>
      </c>
      <c r="E94" s="221">
        <f t="shared" ref="E94:E106" si="6">H117+H137+H157+H176+H195+H214+H233+H252+H271+H290</f>
        <v>0</v>
      </c>
      <c r="F94" s="592">
        <v>0</v>
      </c>
      <c r="G94" s="599">
        <f>E94-F94</f>
        <v>0</v>
      </c>
      <c r="H94" s="647" t="s">
        <v>884</v>
      </c>
      <c r="I94" s="162"/>
      <c r="J94" s="221"/>
    </row>
    <row r="95" spans="1:11" x14ac:dyDescent="0.2">
      <c r="A95" s="166">
        <f>A94+1</f>
        <v>40</v>
      </c>
      <c r="C95" s="58" t="s">
        <v>7</v>
      </c>
      <c r="D95" s="371">
        <v>2015</v>
      </c>
      <c r="E95" s="221">
        <f t="shared" si="6"/>
        <v>47678423.669999972</v>
      </c>
      <c r="F95" s="592">
        <v>0</v>
      </c>
      <c r="G95" s="599">
        <f t="shared" ref="G95:G106" si="7">E95-F95</f>
        <v>47678423.669999972</v>
      </c>
      <c r="H95" s="647" t="s">
        <v>885</v>
      </c>
      <c r="I95" s="612"/>
      <c r="J95" s="221"/>
    </row>
    <row r="96" spans="1:11" x14ac:dyDescent="0.2">
      <c r="A96" s="166">
        <f t="shared" ref="A96:A107" si="8">A95+1</f>
        <v>41</v>
      </c>
      <c r="C96" s="53" t="s">
        <v>8</v>
      </c>
      <c r="D96" s="371">
        <v>2015</v>
      </c>
      <c r="E96" s="221">
        <f t="shared" si="6"/>
        <v>-1579879.2700000182</v>
      </c>
      <c r="F96" s="592">
        <v>0</v>
      </c>
      <c r="G96" s="599">
        <f t="shared" si="7"/>
        <v>-1579879.2700000182</v>
      </c>
      <c r="H96" s="647"/>
      <c r="I96" s="612"/>
      <c r="J96" s="221"/>
    </row>
    <row r="97" spans="1:10" x14ac:dyDescent="0.2">
      <c r="A97" s="166">
        <f t="shared" si="8"/>
        <v>42</v>
      </c>
      <c r="C97" s="53" t="s">
        <v>18</v>
      </c>
      <c r="D97" s="371">
        <v>2015</v>
      </c>
      <c r="E97" s="221">
        <f t="shared" si="6"/>
        <v>405673040.31999981</v>
      </c>
      <c r="F97" s="592">
        <v>0</v>
      </c>
      <c r="G97" s="599">
        <f t="shared" si="7"/>
        <v>405673040.31999981</v>
      </c>
      <c r="H97" s="599"/>
      <c r="I97" s="612"/>
      <c r="J97" s="221"/>
    </row>
    <row r="98" spans="1:10" x14ac:dyDescent="0.2">
      <c r="A98" s="166">
        <f t="shared" si="8"/>
        <v>43</v>
      </c>
      <c r="C98" s="58" t="s">
        <v>9</v>
      </c>
      <c r="D98" s="371">
        <v>2015</v>
      </c>
      <c r="E98" s="221">
        <f t="shared" si="6"/>
        <v>229804484.38000008</v>
      </c>
      <c r="F98" s="592">
        <v>0</v>
      </c>
      <c r="G98" s="599">
        <f t="shared" si="7"/>
        <v>229804484.38000008</v>
      </c>
      <c r="H98" s="599"/>
      <c r="I98" s="612"/>
      <c r="J98" s="221"/>
    </row>
    <row r="99" spans="1:10" x14ac:dyDescent="0.2">
      <c r="A99" s="166">
        <f t="shared" si="8"/>
        <v>44</v>
      </c>
      <c r="C99" s="53" t="s">
        <v>10</v>
      </c>
      <c r="D99" s="371">
        <v>2015</v>
      </c>
      <c r="E99" s="221">
        <f t="shared" si="6"/>
        <v>4846482.1399998665</v>
      </c>
      <c r="F99" s="592">
        <v>0</v>
      </c>
      <c r="G99" s="599">
        <f t="shared" si="7"/>
        <v>4846482.1399998665</v>
      </c>
      <c r="H99" s="599"/>
      <c r="I99" s="612"/>
      <c r="J99" s="221"/>
    </row>
    <row r="100" spans="1:10" x14ac:dyDescent="0.2">
      <c r="A100" s="166">
        <f t="shared" si="8"/>
        <v>45</v>
      </c>
      <c r="C100" s="53" t="s">
        <v>383</v>
      </c>
      <c r="D100" s="371">
        <v>2015</v>
      </c>
      <c r="E100" s="221">
        <f t="shared" si="6"/>
        <v>-717222.79999967664</v>
      </c>
      <c r="F100" s="592">
        <v>0</v>
      </c>
      <c r="G100" s="599">
        <f t="shared" si="7"/>
        <v>-717222.79999967664</v>
      </c>
      <c r="H100" s="599"/>
      <c r="I100" s="612"/>
      <c r="J100" s="221"/>
    </row>
    <row r="101" spans="1:10" x14ac:dyDescent="0.2">
      <c r="A101" s="166">
        <f t="shared" si="8"/>
        <v>46</v>
      </c>
      <c r="C101" s="58" t="s">
        <v>11</v>
      </c>
      <c r="D101" s="371">
        <v>2015</v>
      </c>
      <c r="E101" s="221">
        <f t="shared" si="6"/>
        <v>4296330.9199999869</v>
      </c>
      <c r="F101" s="592">
        <v>0</v>
      </c>
      <c r="G101" s="599">
        <f t="shared" si="7"/>
        <v>4296330.9199999869</v>
      </c>
      <c r="H101" s="599"/>
      <c r="I101" s="612"/>
      <c r="J101" s="221"/>
    </row>
    <row r="102" spans="1:10" x14ac:dyDescent="0.2">
      <c r="A102" s="166">
        <f t="shared" si="8"/>
        <v>47</v>
      </c>
      <c r="C102" s="53" t="s">
        <v>12</v>
      </c>
      <c r="D102" s="371">
        <v>2015</v>
      </c>
      <c r="E102" s="221">
        <f t="shared" si="6"/>
        <v>5780203.3899996802</v>
      </c>
      <c r="F102" s="592">
        <v>0</v>
      </c>
      <c r="G102" s="599">
        <f t="shared" si="7"/>
        <v>5780203.3899996802</v>
      </c>
      <c r="H102" s="599"/>
      <c r="I102" s="612"/>
      <c r="J102" s="221"/>
    </row>
    <row r="103" spans="1:10" x14ac:dyDescent="0.2">
      <c r="A103" s="166">
        <f t="shared" si="8"/>
        <v>48</v>
      </c>
      <c r="C103" s="53" t="s">
        <v>13</v>
      </c>
      <c r="D103" s="371">
        <v>2015</v>
      </c>
      <c r="E103" s="221">
        <f t="shared" si="6"/>
        <v>2334923.0800001547</v>
      </c>
      <c r="F103" s="592">
        <v>0</v>
      </c>
      <c r="G103" s="599">
        <f t="shared" si="7"/>
        <v>2334923.0800001547</v>
      </c>
      <c r="H103" s="599"/>
      <c r="I103" s="612"/>
      <c r="J103" s="221"/>
    </row>
    <row r="104" spans="1:10" x14ac:dyDescent="0.2">
      <c r="A104" s="166">
        <f t="shared" si="8"/>
        <v>49</v>
      </c>
      <c r="C104" s="58" t="s">
        <v>384</v>
      </c>
      <c r="D104" s="371">
        <v>2015</v>
      </c>
      <c r="E104" s="221">
        <f t="shared" si="6"/>
        <v>-159990.97999975085</v>
      </c>
      <c r="F104" s="592">
        <v>0</v>
      </c>
      <c r="G104" s="599">
        <f t="shared" si="7"/>
        <v>-159990.97999975085</v>
      </c>
      <c r="H104" s="599"/>
      <c r="I104" s="612"/>
      <c r="J104" s="221"/>
    </row>
    <row r="105" spans="1:10" x14ac:dyDescent="0.2">
      <c r="A105" s="166">
        <f t="shared" si="8"/>
        <v>50</v>
      </c>
      <c r="C105" s="58" t="s">
        <v>14</v>
      </c>
      <c r="D105" s="371">
        <v>2015</v>
      </c>
      <c r="E105" s="221">
        <f t="shared" si="6"/>
        <v>1175857.5700006709</v>
      </c>
      <c r="F105" s="592">
        <v>0</v>
      </c>
      <c r="G105" s="599">
        <f t="shared" si="7"/>
        <v>1175857.5700006709</v>
      </c>
      <c r="H105" s="599"/>
      <c r="I105" s="612"/>
      <c r="J105" s="221"/>
    </row>
    <row r="106" spans="1:10" x14ac:dyDescent="0.2">
      <c r="A106" s="166">
        <f t="shared" si="8"/>
        <v>51</v>
      </c>
      <c r="C106" s="58" t="s">
        <v>6</v>
      </c>
      <c r="D106" s="371">
        <v>2015</v>
      </c>
      <c r="E106" s="225">
        <f t="shared" si="6"/>
        <v>14285017.899999417</v>
      </c>
      <c r="F106" s="597">
        <v>0</v>
      </c>
      <c r="G106" s="644">
        <f t="shared" si="7"/>
        <v>14285017.899999417</v>
      </c>
      <c r="H106" s="599"/>
      <c r="I106" s="612"/>
      <c r="J106" s="221"/>
    </row>
    <row r="107" spans="1:10" x14ac:dyDescent="0.2">
      <c r="A107" s="166">
        <f t="shared" si="8"/>
        <v>52</v>
      </c>
      <c r="C107" s="58" t="s">
        <v>325</v>
      </c>
      <c r="D107" s="54"/>
      <c r="E107" s="173">
        <f>SUM(E94:E106)</f>
        <v>713417670.32000005</v>
      </c>
      <c r="F107" s="173">
        <f t="shared" ref="F107:G107" si="9">SUM(F94:F106)</f>
        <v>0</v>
      </c>
      <c r="G107" s="173">
        <f t="shared" si="9"/>
        <v>713417670.32000005</v>
      </c>
      <c r="H107" s="599"/>
      <c r="I107" s="612"/>
      <c r="J107" s="162"/>
    </row>
    <row r="108" spans="1:10" x14ac:dyDescent="0.2">
      <c r="A108" s="166"/>
      <c r="C108" s="58"/>
      <c r="D108" s="54"/>
      <c r="E108" s="173"/>
      <c r="F108" s="599"/>
      <c r="G108" s="599"/>
      <c r="H108" s="599"/>
      <c r="I108" s="612"/>
      <c r="J108" s="162"/>
    </row>
    <row r="110" spans="1:10" x14ac:dyDescent="0.2">
      <c r="C110" s="388" t="s">
        <v>886</v>
      </c>
    </row>
    <row r="112" spans="1:10" x14ac:dyDescent="0.2">
      <c r="C112" s="162" t="s">
        <v>887</v>
      </c>
      <c r="E112" s="227" t="s">
        <v>152</v>
      </c>
      <c r="F112" s="227" t="s">
        <v>153</v>
      </c>
      <c r="G112" s="227" t="s">
        <v>154</v>
      </c>
      <c r="H112" s="227" t="s">
        <v>155</v>
      </c>
    </row>
    <row r="113" spans="1:9" x14ac:dyDescent="0.2">
      <c r="G113" s="453" t="s">
        <v>877</v>
      </c>
      <c r="H113" s="453" t="s">
        <v>888</v>
      </c>
    </row>
    <row r="114" spans="1:9" x14ac:dyDescent="0.2">
      <c r="C114" s="166" t="s">
        <v>868</v>
      </c>
      <c r="H114" s="591" t="s">
        <v>889</v>
      </c>
    </row>
    <row r="115" spans="1:9" x14ac:dyDescent="0.2">
      <c r="C115" s="166" t="s">
        <v>17</v>
      </c>
      <c r="E115" s="166" t="s">
        <v>329</v>
      </c>
      <c r="F115" s="166" t="s">
        <v>890</v>
      </c>
      <c r="G115" s="166" t="s">
        <v>891</v>
      </c>
      <c r="H115" s="166" t="s">
        <v>326</v>
      </c>
    </row>
    <row r="116" spans="1:9" x14ac:dyDescent="0.2">
      <c r="C116" s="57" t="s">
        <v>16</v>
      </c>
      <c r="D116" s="57" t="s">
        <v>17</v>
      </c>
      <c r="E116" s="170" t="s">
        <v>892</v>
      </c>
      <c r="F116" s="170" t="s">
        <v>893</v>
      </c>
      <c r="G116" s="170" t="s">
        <v>858</v>
      </c>
      <c r="H116" s="170" t="s">
        <v>882</v>
      </c>
    </row>
    <row r="117" spans="1:9" x14ac:dyDescent="0.2">
      <c r="A117" s="166">
        <f>A107+1</f>
        <v>53</v>
      </c>
      <c r="C117" s="58" t="s">
        <v>6</v>
      </c>
      <c r="D117" s="639">
        <v>2014</v>
      </c>
      <c r="E117" s="244">
        <v>1953449287.4872146</v>
      </c>
      <c r="F117" s="244">
        <v>104862294.9442465</v>
      </c>
      <c r="G117" s="221">
        <f t="shared" ref="G117:G129" si="10">E117-F117</f>
        <v>1848586992.542968</v>
      </c>
      <c r="H117" s="221">
        <f>E117-E117</f>
        <v>0</v>
      </c>
      <c r="I117" s="648"/>
    </row>
    <row r="118" spans="1:9" x14ac:dyDescent="0.2">
      <c r="A118" s="166">
        <f>A117+1</f>
        <v>54</v>
      </c>
      <c r="C118" s="58" t="s">
        <v>7</v>
      </c>
      <c r="D118" s="371">
        <v>2015</v>
      </c>
      <c r="E118" s="244">
        <v>2000965179.9772146</v>
      </c>
      <c r="F118" s="244">
        <v>109009069.79278642</v>
      </c>
      <c r="G118" s="221">
        <f t="shared" si="10"/>
        <v>1891956110.1844282</v>
      </c>
      <c r="H118" s="221">
        <f>E118-E117</f>
        <v>47515892.49000001</v>
      </c>
    </row>
    <row r="119" spans="1:9" x14ac:dyDescent="0.2">
      <c r="A119" s="166">
        <f t="shared" ref="A119:A129" si="11">A118+1</f>
        <v>55</v>
      </c>
      <c r="C119" s="53" t="s">
        <v>8</v>
      </c>
      <c r="D119" s="371">
        <v>2015</v>
      </c>
      <c r="E119" s="244">
        <v>1998982914.0972145</v>
      </c>
      <c r="F119" s="244">
        <v>113265536.98500173</v>
      </c>
      <c r="G119" s="221">
        <f t="shared" si="10"/>
        <v>1885717377.1122127</v>
      </c>
      <c r="H119" s="221">
        <f t="shared" ref="H119:H129" si="12">E119-E118</f>
        <v>-1982265.8800001144</v>
      </c>
    </row>
    <row r="120" spans="1:9" x14ac:dyDescent="0.2">
      <c r="A120" s="166">
        <f t="shared" si="11"/>
        <v>56</v>
      </c>
      <c r="C120" s="53" t="s">
        <v>18</v>
      </c>
      <c r="D120" s="371">
        <v>2015</v>
      </c>
      <c r="E120" s="244">
        <v>2404889627.8472142</v>
      </c>
      <c r="F120" s="244">
        <v>117516951.2172363</v>
      </c>
      <c r="G120" s="221">
        <f t="shared" si="10"/>
        <v>2287372676.6299777</v>
      </c>
      <c r="H120" s="221">
        <f t="shared" si="12"/>
        <v>405906713.74999976</v>
      </c>
    </row>
    <row r="121" spans="1:9" x14ac:dyDescent="0.2">
      <c r="A121" s="166">
        <f t="shared" si="11"/>
        <v>57</v>
      </c>
      <c r="C121" s="58" t="s">
        <v>9</v>
      </c>
      <c r="D121" s="371">
        <v>2015</v>
      </c>
      <c r="E121" s="244">
        <v>2634134061.0672145</v>
      </c>
      <c r="F121" s="244">
        <v>122690976.65196279</v>
      </c>
      <c r="G121" s="221">
        <f t="shared" si="10"/>
        <v>2511443084.4152517</v>
      </c>
      <c r="H121" s="221">
        <f t="shared" si="12"/>
        <v>229244433.22000027</v>
      </c>
    </row>
    <row r="122" spans="1:9" x14ac:dyDescent="0.2">
      <c r="A122" s="166">
        <f t="shared" si="11"/>
        <v>58</v>
      </c>
      <c r="C122" s="53" t="s">
        <v>10</v>
      </c>
      <c r="D122" s="371">
        <v>2015</v>
      </c>
      <c r="E122" s="244">
        <v>2639281798.8272142</v>
      </c>
      <c r="F122" s="244">
        <v>128300856.90030202</v>
      </c>
      <c r="G122" s="221">
        <f t="shared" si="10"/>
        <v>2510980941.9269123</v>
      </c>
      <c r="H122" s="221">
        <f t="shared" si="12"/>
        <v>5147737.759999752</v>
      </c>
    </row>
    <row r="123" spans="1:9" x14ac:dyDescent="0.2">
      <c r="A123" s="166">
        <f t="shared" si="11"/>
        <v>59</v>
      </c>
      <c r="C123" s="53" t="s">
        <v>383</v>
      </c>
      <c r="D123" s="371">
        <v>2015</v>
      </c>
      <c r="E123" s="244">
        <v>2636679091.2972145</v>
      </c>
      <c r="F123" s="244">
        <v>133921261.51783419</v>
      </c>
      <c r="G123" s="221">
        <f t="shared" si="10"/>
        <v>2502757829.7793803</v>
      </c>
      <c r="H123" s="221">
        <f t="shared" si="12"/>
        <v>-2602707.529999733</v>
      </c>
    </row>
    <row r="124" spans="1:9" x14ac:dyDescent="0.2">
      <c r="A124" s="166">
        <f t="shared" si="11"/>
        <v>60</v>
      </c>
      <c r="C124" s="58" t="s">
        <v>11</v>
      </c>
      <c r="D124" s="371">
        <v>2015</v>
      </c>
      <c r="E124" s="244">
        <v>2639874992.4172144</v>
      </c>
      <c r="F124" s="244">
        <v>139534042.87506643</v>
      </c>
      <c r="G124" s="221">
        <f t="shared" si="10"/>
        <v>2500340949.5421481</v>
      </c>
      <c r="H124" s="221">
        <f t="shared" si="12"/>
        <v>3195901.1199998856</v>
      </c>
    </row>
    <row r="125" spans="1:9" x14ac:dyDescent="0.2">
      <c r="A125" s="166">
        <f t="shared" si="11"/>
        <v>61</v>
      </c>
      <c r="C125" s="53" t="s">
        <v>12</v>
      </c>
      <c r="D125" s="371">
        <v>2015</v>
      </c>
      <c r="E125" s="244">
        <v>2645574628.4072142</v>
      </c>
      <c r="F125" s="244">
        <v>145153659.32200775</v>
      </c>
      <c r="G125" s="221">
        <f t="shared" si="10"/>
        <v>2500420969.0852065</v>
      </c>
      <c r="H125" s="221">
        <f t="shared" si="12"/>
        <v>5699635.9899997711</v>
      </c>
    </row>
    <row r="126" spans="1:9" x14ac:dyDescent="0.2">
      <c r="A126" s="166">
        <f t="shared" si="11"/>
        <v>62</v>
      </c>
      <c r="C126" s="53" t="s">
        <v>13</v>
      </c>
      <c r="D126" s="371">
        <v>2015</v>
      </c>
      <c r="E126" s="244">
        <v>2647780916.4572144</v>
      </c>
      <c r="F126" s="244">
        <v>150785543.48498929</v>
      </c>
      <c r="G126" s="221">
        <f t="shared" si="10"/>
        <v>2496995372.9722252</v>
      </c>
      <c r="H126" s="221">
        <f t="shared" si="12"/>
        <v>2206288.0500001907</v>
      </c>
    </row>
    <row r="127" spans="1:9" x14ac:dyDescent="0.2">
      <c r="A127" s="166">
        <f t="shared" si="11"/>
        <v>63</v>
      </c>
      <c r="C127" s="58" t="s">
        <v>384</v>
      </c>
      <c r="D127" s="371">
        <v>2015</v>
      </c>
      <c r="E127" s="244">
        <v>2648047719.9972148</v>
      </c>
      <c r="F127" s="244">
        <v>156421957.00369331</v>
      </c>
      <c r="G127" s="221">
        <f t="shared" si="10"/>
        <v>2491625762.9935217</v>
      </c>
      <c r="H127" s="221">
        <f t="shared" si="12"/>
        <v>266803.54000043869</v>
      </c>
    </row>
    <row r="128" spans="1:9" x14ac:dyDescent="0.2">
      <c r="A128" s="166">
        <f t="shared" si="11"/>
        <v>64</v>
      </c>
      <c r="C128" s="58" t="s">
        <v>14</v>
      </c>
      <c r="D128" s="371">
        <v>2015</v>
      </c>
      <c r="E128" s="244">
        <v>2651391577.5572152</v>
      </c>
      <c r="F128" s="244">
        <v>162059411.95906705</v>
      </c>
      <c r="G128" s="221">
        <f t="shared" si="10"/>
        <v>2489332165.5981483</v>
      </c>
      <c r="H128" s="221">
        <f t="shared" si="12"/>
        <v>3343857.5600004196</v>
      </c>
    </row>
    <row r="129" spans="1:8" x14ac:dyDescent="0.2">
      <c r="A129" s="166">
        <f t="shared" si="11"/>
        <v>65</v>
      </c>
      <c r="C129" s="58" t="s">
        <v>6</v>
      </c>
      <c r="D129" s="371">
        <v>2015</v>
      </c>
      <c r="E129" s="244">
        <v>2663183372.3872147</v>
      </c>
      <c r="F129" s="244">
        <v>167703604.81279424</v>
      </c>
      <c r="G129" s="221">
        <f t="shared" si="10"/>
        <v>2495479767.5744205</v>
      </c>
      <c r="H129" s="221">
        <f t="shared" si="12"/>
        <v>11791794.829999447</v>
      </c>
    </row>
    <row r="130" spans="1:8" x14ac:dyDescent="0.2">
      <c r="A130" s="166"/>
      <c r="C130" s="58"/>
      <c r="D130" s="54"/>
    </row>
    <row r="132" spans="1:8" x14ac:dyDescent="0.2">
      <c r="C132" s="388" t="s">
        <v>894</v>
      </c>
      <c r="E132" s="227" t="s">
        <v>152</v>
      </c>
      <c r="F132" s="227" t="s">
        <v>153</v>
      </c>
      <c r="G132" s="227" t="s">
        <v>154</v>
      </c>
      <c r="H132" s="227" t="s">
        <v>155</v>
      </c>
    </row>
    <row r="133" spans="1:8" x14ac:dyDescent="0.2">
      <c r="G133" s="453" t="s">
        <v>877</v>
      </c>
      <c r="H133" s="453" t="s">
        <v>888</v>
      </c>
    </row>
    <row r="134" spans="1:8" x14ac:dyDescent="0.2">
      <c r="C134" s="166" t="s">
        <v>868</v>
      </c>
      <c r="H134" s="591" t="s">
        <v>889</v>
      </c>
    </row>
    <row r="135" spans="1:8" x14ac:dyDescent="0.2">
      <c r="C135" s="166" t="s">
        <v>17</v>
      </c>
      <c r="E135" s="166" t="s">
        <v>329</v>
      </c>
      <c r="F135" s="166" t="s">
        <v>890</v>
      </c>
      <c r="G135" s="166" t="s">
        <v>891</v>
      </c>
      <c r="H135" s="166" t="s">
        <v>326</v>
      </c>
    </row>
    <row r="136" spans="1:8" x14ac:dyDescent="0.2">
      <c r="C136" s="57" t="s">
        <v>16</v>
      </c>
      <c r="D136" s="57" t="s">
        <v>17</v>
      </c>
      <c r="E136" s="170" t="s">
        <v>892</v>
      </c>
      <c r="F136" s="170" t="s">
        <v>893</v>
      </c>
      <c r="G136" s="170" t="s">
        <v>858</v>
      </c>
      <c r="H136" s="170" t="s">
        <v>882</v>
      </c>
    </row>
    <row r="137" spans="1:8" x14ac:dyDescent="0.2">
      <c r="A137" s="166">
        <f>A129+1</f>
        <v>66</v>
      </c>
      <c r="C137" s="58" t="s">
        <v>6</v>
      </c>
      <c r="D137" s="639">
        <v>2014</v>
      </c>
      <c r="E137" s="244">
        <v>191520883.09999996</v>
      </c>
      <c r="F137" s="244">
        <v>27051188.619502723</v>
      </c>
      <c r="G137" s="221">
        <f>E137-F137</f>
        <v>164469694.48049724</v>
      </c>
      <c r="H137" s="221">
        <f>E137-E137</f>
        <v>0</v>
      </c>
    </row>
    <row r="138" spans="1:8" x14ac:dyDescent="0.2">
      <c r="A138" s="166">
        <f>A137+1</f>
        <v>67</v>
      </c>
      <c r="C138" s="58" t="s">
        <v>7</v>
      </c>
      <c r="D138" s="371">
        <v>2015</v>
      </c>
      <c r="E138" s="244">
        <v>191520883.09999996</v>
      </c>
      <c r="F138" s="244">
        <v>27446152.298103474</v>
      </c>
      <c r="G138" s="221">
        <f t="shared" ref="G138:G149" si="13">E138-F138</f>
        <v>164074730.80189648</v>
      </c>
      <c r="H138" s="221">
        <f>E138-E137</f>
        <v>0</v>
      </c>
    </row>
    <row r="139" spans="1:8" x14ac:dyDescent="0.2">
      <c r="A139" s="166">
        <f t="shared" ref="A139:A149" si="14">A138+1</f>
        <v>68</v>
      </c>
      <c r="C139" s="53" t="s">
        <v>8</v>
      </c>
      <c r="D139" s="371">
        <v>2015</v>
      </c>
      <c r="E139" s="244">
        <v>191507321.20999998</v>
      </c>
      <c r="F139" s="244">
        <v>27841115.976704217</v>
      </c>
      <c r="G139" s="221">
        <f t="shared" si="13"/>
        <v>163666205.23329577</v>
      </c>
      <c r="H139" s="221">
        <f t="shared" ref="H139:H149" si="15">E139-E138</f>
        <v>-13561.889999985695</v>
      </c>
    </row>
    <row r="140" spans="1:8" x14ac:dyDescent="0.2">
      <c r="A140" s="166">
        <f t="shared" si="14"/>
        <v>69</v>
      </c>
      <c r="C140" s="53" t="s">
        <v>18</v>
      </c>
      <c r="D140" s="371">
        <v>2015</v>
      </c>
      <c r="E140" s="244">
        <v>191507321.20999998</v>
      </c>
      <c r="F140" s="244">
        <v>28236050.61025722</v>
      </c>
      <c r="G140" s="221">
        <f t="shared" si="13"/>
        <v>163271270.59974277</v>
      </c>
      <c r="H140" s="221">
        <f t="shared" si="15"/>
        <v>0</v>
      </c>
    </row>
    <row r="141" spans="1:8" x14ac:dyDescent="0.2">
      <c r="A141" s="166">
        <f t="shared" si="14"/>
        <v>70</v>
      </c>
      <c r="C141" s="58" t="s">
        <v>9</v>
      </c>
      <c r="D141" s="371">
        <v>2015</v>
      </c>
      <c r="E141" s="244">
        <v>191507321.20999998</v>
      </c>
      <c r="F141" s="244">
        <v>28630985.243810218</v>
      </c>
      <c r="G141" s="221">
        <f t="shared" si="13"/>
        <v>162876335.96618977</v>
      </c>
      <c r="H141" s="221">
        <f t="shared" si="15"/>
        <v>0</v>
      </c>
    </row>
    <row r="142" spans="1:8" x14ac:dyDescent="0.2">
      <c r="A142" s="166">
        <f t="shared" si="14"/>
        <v>71</v>
      </c>
      <c r="C142" s="53" t="s">
        <v>10</v>
      </c>
      <c r="D142" s="371">
        <v>2015</v>
      </c>
      <c r="E142" s="244">
        <v>191507321.20999998</v>
      </c>
      <c r="F142" s="244">
        <v>29025919.877363216</v>
      </c>
      <c r="G142" s="221">
        <f t="shared" si="13"/>
        <v>162481401.33263677</v>
      </c>
      <c r="H142" s="221">
        <f t="shared" si="15"/>
        <v>0</v>
      </c>
    </row>
    <row r="143" spans="1:8" x14ac:dyDescent="0.2">
      <c r="A143" s="166">
        <f t="shared" si="14"/>
        <v>72</v>
      </c>
      <c r="C143" s="53" t="s">
        <v>383</v>
      </c>
      <c r="D143" s="371">
        <v>2015</v>
      </c>
      <c r="E143" s="244">
        <v>191507321.20999998</v>
      </c>
      <c r="F143" s="244">
        <v>29420854.510916214</v>
      </c>
      <c r="G143" s="221">
        <f t="shared" si="13"/>
        <v>162086466.69908378</v>
      </c>
      <c r="H143" s="221">
        <f t="shared" si="15"/>
        <v>0</v>
      </c>
    </row>
    <row r="144" spans="1:8" x14ac:dyDescent="0.2">
      <c r="A144" s="166">
        <f t="shared" si="14"/>
        <v>73</v>
      </c>
      <c r="C144" s="58" t="s">
        <v>11</v>
      </c>
      <c r="D144" s="371">
        <v>2015</v>
      </c>
      <c r="E144" s="244">
        <v>191507321.20999998</v>
      </c>
      <c r="F144" s="244">
        <v>29815789.144469213</v>
      </c>
      <c r="G144" s="221">
        <f t="shared" si="13"/>
        <v>161691532.06553078</v>
      </c>
      <c r="H144" s="221">
        <f t="shared" si="15"/>
        <v>0</v>
      </c>
    </row>
    <row r="145" spans="1:8" x14ac:dyDescent="0.2">
      <c r="A145" s="166">
        <f t="shared" si="14"/>
        <v>74</v>
      </c>
      <c r="C145" s="53" t="s">
        <v>12</v>
      </c>
      <c r="D145" s="371">
        <v>2015</v>
      </c>
      <c r="E145" s="244">
        <v>191507373.42999998</v>
      </c>
      <c r="F145" s="244">
        <v>30210723.778022211</v>
      </c>
      <c r="G145" s="221">
        <f t="shared" si="13"/>
        <v>161296649.65197778</v>
      </c>
      <c r="H145" s="221">
        <f t="shared" si="15"/>
        <v>52.219999998807907</v>
      </c>
    </row>
    <row r="146" spans="1:8" x14ac:dyDescent="0.2">
      <c r="A146" s="166">
        <f t="shared" si="14"/>
        <v>75</v>
      </c>
      <c r="C146" s="53" t="s">
        <v>13</v>
      </c>
      <c r="D146" s="371">
        <v>2015</v>
      </c>
      <c r="E146" s="244">
        <v>191508708.01999995</v>
      </c>
      <c r="F146" s="244">
        <v>30605658.519061379</v>
      </c>
      <c r="G146" s="221">
        <f t="shared" si="13"/>
        <v>160903049.50093856</v>
      </c>
      <c r="H146" s="221">
        <f t="shared" si="15"/>
        <v>1334.589999973774</v>
      </c>
    </row>
    <row r="147" spans="1:8" x14ac:dyDescent="0.2">
      <c r="A147" s="166">
        <f t="shared" si="14"/>
        <v>76</v>
      </c>
      <c r="C147" s="58" t="s">
        <v>384</v>
      </c>
      <c r="D147" s="371">
        <v>2015</v>
      </c>
      <c r="E147" s="244">
        <v>191508708.01999995</v>
      </c>
      <c r="F147" s="244">
        <v>31000595.398489464</v>
      </c>
      <c r="G147" s="221">
        <f t="shared" si="13"/>
        <v>160508112.62151048</v>
      </c>
      <c r="H147" s="221">
        <f t="shared" si="15"/>
        <v>0</v>
      </c>
    </row>
    <row r="148" spans="1:8" x14ac:dyDescent="0.2">
      <c r="A148" s="166">
        <f t="shared" si="14"/>
        <v>77</v>
      </c>
      <c r="C148" s="58" t="s">
        <v>14</v>
      </c>
      <c r="D148" s="371">
        <v>2015</v>
      </c>
      <c r="E148" s="244">
        <v>191508708.01999995</v>
      </c>
      <c r="F148" s="244">
        <v>31395532.277917549</v>
      </c>
      <c r="G148" s="221">
        <f t="shared" si="13"/>
        <v>160113175.74208242</v>
      </c>
      <c r="H148" s="221">
        <f t="shared" si="15"/>
        <v>0</v>
      </c>
    </row>
    <row r="149" spans="1:8" x14ac:dyDescent="0.2">
      <c r="A149" s="166">
        <f t="shared" si="14"/>
        <v>78</v>
      </c>
      <c r="C149" s="58" t="s">
        <v>6</v>
      </c>
      <c r="D149" s="371">
        <v>2015</v>
      </c>
      <c r="E149" s="244">
        <v>191508708.01999995</v>
      </c>
      <c r="F149" s="244">
        <v>31790469.15734563</v>
      </c>
      <c r="G149" s="221">
        <f t="shared" si="13"/>
        <v>159718238.86265433</v>
      </c>
      <c r="H149" s="221">
        <f t="shared" si="15"/>
        <v>0</v>
      </c>
    </row>
    <row r="150" spans="1:8" x14ac:dyDescent="0.2">
      <c r="A150" s="166"/>
    </row>
    <row r="151" spans="1:8" ht="12.75" customHeight="1" x14ac:dyDescent="0.2"/>
    <row r="152" spans="1:8" x14ac:dyDescent="0.2">
      <c r="C152" s="388" t="s">
        <v>895</v>
      </c>
      <c r="E152" s="227" t="s">
        <v>152</v>
      </c>
      <c r="F152" s="227" t="s">
        <v>153</v>
      </c>
      <c r="G152" s="227" t="s">
        <v>154</v>
      </c>
      <c r="H152" s="227" t="s">
        <v>155</v>
      </c>
    </row>
    <row r="153" spans="1:8" x14ac:dyDescent="0.2">
      <c r="G153" s="453" t="s">
        <v>877</v>
      </c>
      <c r="H153" s="453" t="s">
        <v>888</v>
      </c>
    </row>
    <row r="154" spans="1:8" x14ac:dyDescent="0.2">
      <c r="C154" s="166" t="s">
        <v>868</v>
      </c>
      <c r="H154" s="591" t="s">
        <v>889</v>
      </c>
    </row>
    <row r="155" spans="1:8" x14ac:dyDescent="0.2">
      <c r="C155" s="166" t="s">
        <v>17</v>
      </c>
      <c r="E155" s="166" t="s">
        <v>329</v>
      </c>
      <c r="F155" s="166" t="s">
        <v>890</v>
      </c>
      <c r="G155" s="166" t="s">
        <v>891</v>
      </c>
      <c r="H155" s="166" t="s">
        <v>326</v>
      </c>
    </row>
    <row r="156" spans="1:8" ht="13.5" thickBot="1" x14ac:dyDescent="0.25">
      <c r="C156" s="57" t="s">
        <v>16</v>
      </c>
      <c r="D156" s="57" t="s">
        <v>17</v>
      </c>
      <c r="E156" s="170" t="s">
        <v>892</v>
      </c>
      <c r="F156" s="170" t="s">
        <v>893</v>
      </c>
      <c r="G156" s="170" t="s">
        <v>858</v>
      </c>
      <c r="H156" s="170" t="s">
        <v>882</v>
      </c>
    </row>
    <row r="157" spans="1:8" x14ac:dyDescent="0.2">
      <c r="A157" s="166">
        <f>A149+1</f>
        <v>79</v>
      </c>
      <c r="C157" s="58" t="s">
        <v>6</v>
      </c>
      <c r="D157" s="639">
        <v>2014</v>
      </c>
      <c r="E157" s="593">
        <v>775298395.81999993</v>
      </c>
      <c r="F157" s="593">
        <v>26410346.009213585</v>
      </c>
      <c r="G157" s="179">
        <f t="shared" ref="G157:G169" si="16">E157-F157</f>
        <v>748888049.81078637</v>
      </c>
      <c r="H157" s="221">
        <f>E157-E157</f>
        <v>0</v>
      </c>
    </row>
    <row r="158" spans="1:8" x14ac:dyDescent="0.2">
      <c r="A158" s="166">
        <f>A157+1</f>
        <v>80</v>
      </c>
      <c r="C158" s="58" t="s">
        <v>7</v>
      </c>
      <c r="D158" s="371">
        <v>2015</v>
      </c>
      <c r="E158" s="595">
        <v>775540008.19999993</v>
      </c>
      <c r="F158" s="595">
        <v>28066242.762843918</v>
      </c>
      <c r="G158" s="179">
        <f t="shared" si="16"/>
        <v>747473765.43715596</v>
      </c>
      <c r="H158" s="221">
        <f>E158-E157</f>
        <v>241612.37999999523</v>
      </c>
    </row>
    <row r="159" spans="1:8" x14ac:dyDescent="0.2">
      <c r="A159" s="166">
        <f t="shared" ref="A159:A169" si="17">A158+1</f>
        <v>81</v>
      </c>
      <c r="C159" s="53" t="s">
        <v>8</v>
      </c>
      <c r="D159" s="371">
        <v>2015</v>
      </c>
      <c r="E159" s="595">
        <v>775927037.15999997</v>
      </c>
      <c r="F159" s="595">
        <v>29722730.704931997</v>
      </c>
      <c r="G159" s="179">
        <f t="shared" si="16"/>
        <v>746204306.45506799</v>
      </c>
      <c r="H159" s="221">
        <f t="shared" ref="H159:H169" si="18">E159-E158</f>
        <v>387028.96000003815</v>
      </c>
    </row>
    <row r="160" spans="1:8" x14ac:dyDescent="0.2">
      <c r="A160" s="166">
        <f t="shared" si="17"/>
        <v>82</v>
      </c>
      <c r="C160" s="53" t="s">
        <v>18</v>
      </c>
      <c r="D160" s="371">
        <v>2015</v>
      </c>
      <c r="E160" s="595">
        <v>775621639.25999999</v>
      </c>
      <c r="F160" s="595">
        <v>31380105.086141415</v>
      </c>
      <c r="G160" s="179">
        <f t="shared" si="16"/>
        <v>744241534.17385852</v>
      </c>
      <c r="H160" s="221">
        <f t="shared" si="18"/>
        <v>-305397.89999997616</v>
      </c>
    </row>
    <row r="161" spans="1:8" x14ac:dyDescent="0.2">
      <c r="A161" s="166">
        <f t="shared" si="17"/>
        <v>83</v>
      </c>
      <c r="C161" s="58" t="s">
        <v>9</v>
      </c>
      <c r="D161" s="371">
        <v>2015</v>
      </c>
      <c r="E161" s="595">
        <v>776037717.90999985</v>
      </c>
      <c r="F161" s="595">
        <v>33036843.185919337</v>
      </c>
      <c r="G161" s="179">
        <f t="shared" si="16"/>
        <v>743000874.72408056</v>
      </c>
      <c r="H161" s="221">
        <f t="shared" si="18"/>
        <v>416078.64999985695</v>
      </c>
    </row>
    <row r="162" spans="1:8" x14ac:dyDescent="0.2">
      <c r="A162" s="166">
        <f t="shared" si="17"/>
        <v>84</v>
      </c>
      <c r="C162" s="53" t="s">
        <v>10</v>
      </c>
      <c r="D162" s="371">
        <v>2015</v>
      </c>
      <c r="E162" s="595">
        <v>775960161.38999999</v>
      </c>
      <c r="F162" s="595">
        <v>34694566.367760412</v>
      </c>
      <c r="G162" s="179">
        <f t="shared" si="16"/>
        <v>741265595.02223957</v>
      </c>
      <c r="H162" s="221">
        <f t="shared" si="18"/>
        <v>-77556.519999861717</v>
      </c>
    </row>
    <row r="163" spans="1:8" x14ac:dyDescent="0.2">
      <c r="A163" s="166">
        <f t="shared" si="17"/>
        <v>85</v>
      </c>
      <c r="C163" s="53" t="s">
        <v>383</v>
      </c>
      <c r="D163" s="371">
        <v>2015</v>
      </c>
      <c r="E163" s="595">
        <v>775263122.60000002</v>
      </c>
      <c r="F163" s="595">
        <v>36352156.866360918</v>
      </c>
      <c r="G163" s="179">
        <f t="shared" si="16"/>
        <v>738910965.73363912</v>
      </c>
      <c r="H163" s="221">
        <f t="shared" si="18"/>
        <v>-697038.78999996185</v>
      </c>
    </row>
    <row r="164" spans="1:8" x14ac:dyDescent="0.2">
      <c r="A164" s="166">
        <f t="shared" si="17"/>
        <v>86</v>
      </c>
      <c r="C164" s="58" t="s">
        <v>11</v>
      </c>
      <c r="D164" s="371">
        <v>2015</v>
      </c>
      <c r="E164" s="595">
        <v>775361487.80000007</v>
      </c>
      <c r="F164" s="595">
        <v>38007982.0288295</v>
      </c>
      <c r="G164" s="179">
        <f t="shared" si="16"/>
        <v>737353505.77117062</v>
      </c>
      <c r="H164" s="221">
        <f t="shared" si="18"/>
        <v>98365.200000047684</v>
      </c>
    </row>
    <row r="165" spans="1:8" x14ac:dyDescent="0.2">
      <c r="A165" s="166">
        <f t="shared" si="17"/>
        <v>87</v>
      </c>
      <c r="C165" s="53" t="s">
        <v>12</v>
      </c>
      <c r="D165" s="371">
        <v>2015</v>
      </c>
      <c r="E165" s="595">
        <v>775487603.12</v>
      </c>
      <c r="F165" s="595">
        <v>39663988.491298169</v>
      </c>
      <c r="G165" s="179">
        <f t="shared" si="16"/>
        <v>735823614.62870181</v>
      </c>
      <c r="H165" s="221">
        <f t="shared" si="18"/>
        <v>126115.31999993324</v>
      </c>
    </row>
    <row r="166" spans="1:8" x14ac:dyDescent="0.2">
      <c r="A166" s="166">
        <f t="shared" si="17"/>
        <v>88</v>
      </c>
      <c r="C166" s="53" t="s">
        <v>13</v>
      </c>
      <c r="D166" s="371">
        <v>2015</v>
      </c>
      <c r="E166" s="595">
        <v>775589035.13999999</v>
      </c>
      <c r="F166" s="595">
        <v>41320261.021815412</v>
      </c>
      <c r="G166" s="179">
        <f t="shared" si="16"/>
        <v>734268774.11818457</v>
      </c>
      <c r="H166" s="221">
        <f t="shared" si="18"/>
        <v>101432.01999998093</v>
      </c>
    </row>
    <row r="167" spans="1:8" x14ac:dyDescent="0.2">
      <c r="A167" s="166">
        <f t="shared" si="17"/>
        <v>89</v>
      </c>
      <c r="C167" s="58" t="s">
        <v>384</v>
      </c>
      <c r="D167" s="371">
        <v>2015</v>
      </c>
      <c r="E167" s="595">
        <v>775051083.3599999</v>
      </c>
      <c r="F167" s="595">
        <v>42976747.044072002</v>
      </c>
      <c r="G167" s="179">
        <f t="shared" si="16"/>
        <v>732074336.31592786</v>
      </c>
      <c r="H167" s="221">
        <f t="shared" si="18"/>
        <v>-537951.7800000906</v>
      </c>
    </row>
    <row r="168" spans="1:8" x14ac:dyDescent="0.2">
      <c r="A168" s="166">
        <f t="shared" si="17"/>
        <v>90</v>
      </c>
      <c r="C168" s="58" t="s">
        <v>14</v>
      </c>
      <c r="D168" s="371">
        <v>2015</v>
      </c>
      <c r="E168" s="595">
        <v>775136320.09000003</v>
      </c>
      <c r="F168" s="595">
        <v>44632097.679288</v>
      </c>
      <c r="G168" s="179">
        <f t="shared" si="16"/>
        <v>730504222.410712</v>
      </c>
      <c r="H168" s="221">
        <f t="shared" si="18"/>
        <v>85236.730000138283</v>
      </c>
    </row>
    <row r="169" spans="1:8" ht="13.5" thickBot="1" x14ac:dyDescent="0.25">
      <c r="A169" s="166">
        <f t="shared" si="17"/>
        <v>91</v>
      </c>
      <c r="C169" s="58" t="s">
        <v>6</v>
      </c>
      <c r="D169" s="371">
        <v>2015</v>
      </c>
      <c r="E169" s="596">
        <v>775314541.12</v>
      </c>
      <c r="F169" s="596">
        <v>46287631.909682505</v>
      </c>
      <c r="G169" s="179">
        <f t="shared" si="16"/>
        <v>729026909.21031749</v>
      </c>
      <c r="H169" s="221">
        <f t="shared" si="18"/>
        <v>178221.02999997139</v>
      </c>
    </row>
    <row r="171" spans="1:8" x14ac:dyDescent="0.2">
      <c r="C171" s="388" t="s">
        <v>896</v>
      </c>
      <c r="E171" s="227" t="s">
        <v>152</v>
      </c>
      <c r="F171" s="227" t="s">
        <v>153</v>
      </c>
      <c r="G171" s="227" t="s">
        <v>154</v>
      </c>
      <c r="H171" s="227" t="s">
        <v>155</v>
      </c>
    </row>
    <row r="172" spans="1:8" x14ac:dyDescent="0.2">
      <c r="G172" s="453" t="s">
        <v>877</v>
      </c>
      <c r="H172" s="453" t="s">
        <v>888</v>
      </c>
    </row>
    <row r="173" spans="1:8" x14ac:dyDescent="0.2">
      <c r="C173" s="166" t="s">
        <v>868</v>
      </c>
      <c r="H173" s="591" t="s">
        <v>889</v>
      </c>
    </row>
    <row r="174" spans="1:8" x14ac:dyDescent="0.2">
      <c r="C174" s="166" t="s">
        <v>17</v>
      </c>
      <c r="E174" s="166" t="s">
        <v>329</v>
      </c>
      <c r="F174" s="166" t="s">
        <v>890</v>
      </c>
      <c r="G174" s="166" t="s">
        <v>891</v>
      </c>
      <c r="H174" s="166" t="s">
        <v>326</v>
      </c>
    </row>
    <row r="175" spans="1:8" x14ac:dyDescent="0.2">
      <c r="C175" s="57" t="s">
        <v>16</v>
      </c>
      <c r="D175" s="57" t="s">
        <v>17</v>
      </c>
      <c r="E175" s="170" t="s">
        <v>892</v>
      </c>
      <c r="F175" s="170" t="s">
        <v>893</v>
      </c>
      <c r="G175" s="170" t="s">
        <v>858</v>
      </c>
      <c r="H175" s="170" t="s">
        <v>882</v>
      </c>
    </row>
    <row r="176" spans="1:8" x14ac:dyDescent="0.2">
      <c r="A176" s="166">
        <f>A169+1</f>
        <v>92</v>
      </c>
      <c r="C176" s="58" t="s">
        <v>6</v>
      </c>
      <c r="D176" s="639">
        <v>2014</v>
      </c>
      <c r="E176" s="244">
        <v>315362755.60999995</v>
      </c>
      <c r="F176" s="244">
        <v>12420969.35639333</v>
      </c>
      <c r="G176" s="221">
        <f t="shared" ref="G176:G188" si="19">E176-F176</f>
        <v>302941786.25360662</v>
      </c>
      <c r="H176" s="221">
        <f>E176-E176</f>
        <v>0</v>
      </c>
    </row>
    <row r="177" spans="1:8" x14ac:dyDescent="0.2">
      <c r="A177" s="166">
        <f>A176+1</f>
        <v>93</v>
      </c>
      <c r="C177" s="58" t="s">
        <v>7</v>
      </c>
      <c r="D177" s="371">
        <v>2015</v>
      </c>
      <c r="E177" s="244">
        <v>315278806.94999993</v>
      </c>
      <c r="F177" s="244">
        <v>13156613.627222998</v>
      </c>
      <c r="G177" s="221">
        <f t="shared" si="19"/>
        <v>302122193.32277691</v>
      </c>
      <c r="H177" s="221">
        <f>E177-E176</f>
        <v>-83948.660000026226</v>
      </c>
    </row>
    <row r="178" spans="1:8" x14ac:dyDescent="0.2">
      <c r="A178" s="166">
        <f t="shared" ref="A178:A188" si="20">A177+1</f>
        <v>94</v>
      </c>
      <c r="C178" s="53" t="s">
        <v>8</v>
      </c>
      <c r="D178" s="371">
        <v>2015</v>
      </c>
      <c r="E178" s="244">
        <v>315263673.70999998</v>
      </c>
      <c r="F178" s="244">
        <v>13892083.157615079</v>
      </c>
      <c r="G178" s="221">
        <f t="shared" si="19"/>
        <v>301371590.55238491</v>
      </c>
      <c r="H178" s="221">
        <f t="shared" ref="H178:H188" si="21">E178-E177</f>
        <v>-15133.239999949932</v>
      </c>
    </row>
    <row r="179" spans="1:8" x14ac:dyDescent="0.2">
      <c r="A179" s="166">
        <f t="shared" si="20"/>
        <v>95</v>
      </c>
      <c r="C179" s="53" t="s">
        <v>18</v>
      </c>
      <c r="D179" s="371">
        <v>2015</v>
      </c>
      <c r="E179" s="244">
        <v>315318229.74000001</v>
      </c>
      <c r="F179" s="244">
        <v>14627521.59427708</v>
      </c>
      <c r="G179" s="221">
        <f t="shared" si="19"/>
        <v>300690708.14572293</v>
      </c>
      <c r="H179" s="221">
        <f t="shared" si="21"/>
        <v>54556.030000030994</v>
      </c>
    </row>
    <row r="180" spans="1:8" x14ac:dyDescent="0.2">
      <c r="A180" s="166">
        <f t="shared" si="20"/>
        <v>96</v>
      </c>
      <c r="C180" s="58" t="s">
        <v>9</v>
      </c>
      <c r="D180" s="371">
        <v>2015</v>
      </c>
      <c r="E180" s="244">
        <v>315435999.50999999</v>
      </c>
      <c r="F180" s="244">
        <v>15363074.418282164</v>
      </c>
      <c r="G180" s="221">
        <f t="shared" si="19"/>
        <v>300072925.09171784</v>
      </c>
      <c r="H180" s="221">
        <f t="shared" si="21"/>
        <v>117769.76999998093</v>
      </c>
    </row>
    <row r="181" spans="1:8" x14ac:dyDescent="0.2">
      <c r="A181" s="166">
        <f t="shared" si="20"/>
        <v>97</v>
      </c>
      <c r="C181" s="53" t="s">
        <v>10</v>
      </c>
      <c r="D181" s="371">
        <v>2015</v>
      </c>
      <c r="E181" s="244">
        <v>315360035.16999996</v>
      </c>
      <c r="F181" s="244">
        <v>16098872.563626995</v>
      </c>
      <c r="G181" s="221">
        <f t="shared" si="19"/>
        <v>299261162.60637295</v>
      </c>
      <c r="H181" s="221">
        <f t="shared" si="21"/>
        <v>-75964.340000033379</v>
      </c>
    </row>
    <row r="182" spans="1:8" x14ac:dyDescent="0.2">
      <c r="A182" s="166">
        <f t="shared" si="20"/>
        <v>98</v>
      </c>
      <c r="C182" s="53" t="s">
        <v>383</v>
      </c>
      <c r="D182" s="371">
        <v>2015</v>
      </c>
      <c r="E182" s="244">
        <v>315363424.81</v>
      </c>
      <c r="F182" s="244">
        <v>16834513.624867663</v>
      </c>
      <c r="G182" s="221">
        <f t="shared" si="19"/>
        <v>298528911.18513232</v>
      </c>
      <c r="H182" s="221">
        <f t="shared" si="21"/>
        <v>3389.6400000452995</v>
      </c>
    </row>
    <row r="183" spans="1:8" x14ac:dyDescent="0.2">
      <c r="A183" s="166">
        <f t="shared" si="20"/>
        <v>99</v>
      </c>
      <c r="C183" s="58" t="s">
        <v>11</v>
      </c>
      <c r="D183" s="371">
        <v>2015</v>
      </c>
      <c r="E183" s="244">
        <v>315717067.16000003</v>
      </c>
      <c r="F183" s="244">
        <v>17570162.177741244</v>
      </c>
      <c r="G183" s="221">
        <f t="shared" si="19"/>
        <v>298146904.9822588</v>
      </c>
      <c r="H183" s="221">
        <f t="shared" si="21"/>
        <v>353642.35000002384</v>
      </c>
    </row>
    <row r="184" spans="1:8" x14ac:dyDescent="0.2">
      <c r="A184" s="166">
        <f t="shared" si="20"/>
        <v>100</v>
      </c>
      <c r="C184" s="53" t="s">
        <v>12</v>
      </c>
      <c r="D184" s="371">
        <v>2015</v>
      </c>
      <c r="E184" s="244">
        <v>315717303.81</v>
      </c>
      <c r="F184" s="244">
        <v>18306300.941199996</v>
      </c>
      <c r="G184" s="221">
        <f t="shared" si="19"/>
        <v>297411002.86879998</v>
      </c>
      <c r="H184" s="221">
        <f t="shared" si="21"/>
        <v>236.64999997615814</v>
      </c>
    </row>
    <row r="185" spans="1:8" x14ac:dyDescent="0.2">
      <c r="A185" s="166">
        <f t="shared" si="20"/>
        <v>101</v>
      </c>
      <c r="C185" s="53" t="s">
        <v>13</v>
      </c>
      <c r="D185" s="371">
        <v>2015</v>
      </c>
      <c r="E185" s="244">
        <v>315717648.67000002</v>
      </c>
      <c r="F185" s="244">
        <v>19042439.823218245</v>
      </c>
      <c r="G185" s="221">
        <f t="shared" si="19"/>
        <v>296675208.84678179</v>
      </c>
      <c r="H185" s="221">
        <f t="shared" si="21"/>
        <v>344.86000001430511</v>
      </c>
    </row>
    <row r="186" spans="1:8" x14ac:dyDescent="0.2">
      <c r="A186" s="166">
        <f t="shared" si="20"/>
        <v>102</v>
      </c>
      <c r="C186" s="58" t="s">
        <v>384</v>
      </c>
      <c r="D186" s="371">
        <v>2015</v>
      </c>
      <c r="E186" s="244">
        <v>315716349.18999994</v>
      </c>
      <c r="F186" s="244">
        <v>19778579.427231662</v>
      </c>
      <c r="G186" s="221">
        <f t="shared" si="19"/>
        <v>295937769.76276827</v>
      </c>
      <c r="H186" s="221">
        <f t="shared" si="21"/>
        <v>-1299.4800000786781</v>
      </c>
    </row>
    <row r="187" spans="1:8" x14ac:dyDescent="0.2">
      <c r="A187" s="166">
        <f t="shared" si="20"/>
        <v>103</v>
      </c>
      <c r="C187" s="58" t="s">
        <v>14</v>
      </c>
      <c r="D187" s="371">
        <v>2015</v>
      </c>
      <c r="E187" s="244">
        <v>315711680.68000001</v>
      </c>
      <c r="F187" s="244">
        <v>20515130.203423493</v>
      </c>
      <c r="G187" s="221">
        <f t="shared" si="19"/>
        <v>295196550.47657651</v>
      </c>
      <c r="H187" s="221">
        <f t="shared" si="21"/>
        <v>-4668.5099999308586</v>
      </c>
    </row>
    <row r="188" spans="1:8" x14ac:dyDescent="0.2">
      <c r="A188" s="166">
        <f t="shared" si="20"/>
        <v>104</v>
      </c>
      <c r="C188" s="58" t="s">
        <v>6</v>
      </c>
      <c r="D188" s="371">
        <v>2015</v>
      </c>
      <c r="E188" s="244">
        <v>315716881.74000001</v>
      </c>
      <c r="F188" s="244">
        <v>21251670.594933741</v>
      </c>
      <c r="G188" s="221">
        <f t="shared" si="19"/>
        <v>294465211.14506626</v>
      </c>
      <c r="H188" s="221">
        <f t="shared" si="21"/>
        <v>5201.0600000023842</v>
      </c>
    </row>
    <row r="190" spans="1:8" x14ac:dyDescent="0.2">
      <c r="C190" s="388" t="s">
        <v>897</v>
      </c>
      <c r="E190" s="227" t="s">
        <v>152</v>
      </c>
      <c r="F190" s="227" t="s">
        <v>153</v>
      </c>
      <c r="G190" s="227" t="s">
        <v>154</v>
      </c>
      <c r="H190" s="227" t="s">
        <v>155</v>
      </c>
    </row>
    <row r="191" spans="1:8" x14ac:dyDescent="0.2">
      <c r="G191" s="453" t="s">
        <v>877</v>
      </c>
      <c r="H191" s="453" t="s">
        <v>888</v>
      </c>
    </row>
    <row r="192" spans="1:8" x14ac:dyDescent="0.2">
      <c r="C192" s="166" t="s">
        <v>868</v>
      </c>
      <c r="H192" s="591" t="s">
        <v>889</v>
      </c>
    </row>
    <row r="193" spans="1:8" x14ac:dyDescent="0.2">
      <c r="C193" s="166" t="s">
        <v>17</v>
      </c>
      <c r="E193" s="166" t="s">
        <v>329</v>
      </c>
      <c r="F193" s="166" t="s">
        <v>890</v>
      </c>
      <c r="G193" s="166" t="s">
        <v>891</v>
      </c>
      <c r="H193" s="166" t="s">
        <v>326</v>
      </c>
    </row>
    <row r="194" spans="1:8" x14ac:dyDescent="0.2">
      <c r="C194" s="57" t="s">
        <v>16</v>
      </c>
      <c r="D194" s="57" t="s">
        <v>17</v>
      </c>
      <c r="E194" s="170" t="s">
        <v>892</v>
      </c>
      <c r="F194" s="170" t="s">
        <v>893</v>
      </c>
      <c r="G194" s="170" t="s">
        <v>858</v>
      </c>
      <c r="H194" s="170" t="s">
        <v>882</v>
      </c>
    </row>
    <row r="195" spans="1:8" x14ac:dyDescent="0.2">
      <c r="A195" s="166">
        <f>A188+1</f>
        <v>105</v>
      </c>
      <c r="C195" s="58" t="s">
        <v>6</v>
      </c>
      <c r="D195" s="639">
        <v>2014</v>
      </c>
      <c r="E195" s="244">
        <v>0</v>
      </c>
      <c r="F195" s="244">
        <v>0</v>
      </c>
      <c r="G195" s="221">
        <f t="shared" ref="G195:G207" si="22">E195-F195</f>
        <v>0</v>
      </c>
      <c r="H195" s="221">
        <f>E195-E195</f>
        <v>0</v>
      </c>
    </row>
    <row r="196" spans="1:8" x14ac:dyDescent="0.2">
      <c r="A196" s="166">
        <f>A195+1</f>
        <v>106</v>
      </c>
      <c r="C196" s="58" t="s">
        <v>7</v>
      </c>
      <c r="D196" s="371">
        <v>2015</v>
      </c>
      <c r="E196" s="244">
        <v>0</v>
      </c>
      <c r="F196" s="244">
        <v>0</v>
      </c>
      <c r="G196" s="221">
        <f t="shared" si="22"/>
        <v>0</v>
      </c>
      <c r="H196" s="221">
        <f>E196-E195</f>
        <v>0</v>
      </c>
    </row>
    <row r="197" spans="1:8" x14ac:dyDescent="0.2">
      <c r="A197" s="166">
        <f t="shared" ref="A197:A207" si="23">A196+1</f>
        <v>107</v>
      </c>
      <c r="C197" s="53" t="s">
        <v>8</v>
      </c>
      <c r="D197" s="371">
        <v>2015</v>
      </c>
      <c r="E197" s="244">
        <v>0</v>
      </c>
      <c r="F197" s="244">
        <v>0</v>
      </c>
      <c r="G197" s="221">
        <f t="shared" si="22"/>
        <v>0</v>
      </c>
      <c r="H197" s="221">
        <f t="shared" ref="H197:H207" si="24">E197-E196</f>
        <v>0</v>
      </c>
    </row>
    <row r="198" spans="1:8" x14ac:dyDescent="0.2">
      <c r="A198" s="166">
        <f t="shared" si="23"/>
        <v>108</v>
      </c>
      <c r="C198" s="53" t="s">
        <v>18</v>
      </c>
      <c r="D198" s="371">
        <v>2015</v>
      </c>
      <c r="E198" s="244">
        <v>0</v>
      </c>
      <c r="F198" s="244">
        <v>0</v>
      </c>
      <c r="G198" s="221">
        <f t="shared" si="22"/>
        <v>0</v>
      </c>
      <c r="H198" s="221">
        <f t="shared" si="24"/>
        <v>0</v>
      </c>
    </row>
    <row r="199" spans="1:8" x14ac:dyDescent="0.2">
      <c r="A199" s="166">
        <f t="shared" si="23"/>
        <v>109</v>
      </c>
      <c r="C199" s="58" t="s">
        <v>9</v>
      </c>
      <c r="D199" s="371">
        <v>2015</v>
      </c>
      <c r="E199" s="244">
        <v>0</v>
      </c>
      <c r="F199" s="244">
        <v>0</v>
      </c>
      <c r="G199" s="221">
        <f t="shared" si="22"/>
        <v>0</v>
      </c>
      <c r="H199" s="221">
        <f t="shared" si="24"/>
        <v>0</v>
      </c>
    </row>
    <row r="200" spans="1:8" x14ac:dyDescent="0.2">
      <c r="A200" s="166">
        <f t="shared" si="23"/>
        <v>110</v>
      </c>
      <c r="C200" s="53" t="s">
        <v>10</v>
      </c>
      <c r="D200" s="371">
        <v>2015</v>
      </c>
      <c r="E200" s="244">
        <v>0</v>
      </c>
      <c r="F200" s="244">
        <v>0</v>
      </c>
      <c r="G200" s="221">
        <f t="shared" si="22"/>
        <v>0</v>
      </c>
      <c r="H200" s="221">
        <f t="shared" si="24"/>
        <v>0</v>
      </c>
    </row>
    <row r="201" spans="1:8" x14ac:dyDescent="0.2">
      <c r="A201" s="166">
        <f t="shared" si="23"/>
        <v>111</v>
      </c>
      <c r="C201" s="53" t="s">
        <v>383</v>
      </c>
      <c r="D201" s="371">
        <v>2015</v>
      </c>
      <c r="E201" s="244">
        <v>0</v>
      </c>
      <c r="F201" s="244">
        <v>0</v>
      </c>
      <c r="G201" s="221">
        <f t="shared" si="22"/>
        <v>0</v>
      </c>
      <c r="H201" s="221">
        <f t="shared" si="24"/>
        <v>0</v>
      </c>
    </row>
    <row r="202" spans="1:8" x14ac:dyDescent="0.2">
      <c r="A202" s="166">
        <f t="shared" si="23"/>
        <v>112</v>
      </c>
      <c r="C202" s="58" t="s">
        <v>11</v>
      </c>
      <c r="D202" s="371">
        <v>2015</v>
      </c>
      <c r="E202" s="244">
        <v>0</v>
      </c>
      <c r="F202" s="244">
        <v>0</v>
      </c>
      <c r="G202" s="221">
        <f t="shared" si="22"/>
        <v>0</v>
      </c>
      <c r="H202" s="221">
        <f t="shared" si="24"/>
        <v>0</v>
      </c>
    </row>
    <row r="203" spans="1:8" x14ac:dyDescent="0.2">
      <c r="A203" s="166">
        <f t="shared" si="23"/>
        <v>113</v>
      </c>
      <c r="C203" s="53" t="s">
        <v>12</v>
      </c>
      <c r="D203" s="371">
        <v>2015</v>
      </c>
      <c r="E203" s="244">
        <v>0</v>
      </c>
      <c r="F203" s="244">
        <v>0</v>
      </c>
      <c r="G203" s="221">
        <f t="shared" si="22"/>
        <v>0</v>
      </c>
      <c r="H203" s="221">
        <f t="shared" si="24"/>
        <v>0</v>
      </c>
    </row>
    <row r="204" spans="1:8" x14ac:dyDescent="0.2">
      <c r="A204" s="166">
        <f t="shared" si="23"/>
        <v>114</v>
      </c>
      <c r="C204" s="53" t="s">
        <v>13</v>
      </c>
      <c r="D204" s="371">
        <v>2015</v>
      </c>
      <c r="E204" s="244">
        <v>0</v>
      </c>
      <c r="F204" s="244">
        <v>0</v>
      </c>
      <c r="G204" s="221">
        <f t="shared" si="22"/>
        <v>0</v>
      </c>
      <c r="H204" s="221">
        <f t="shared" si="24"/>
        <v>0</v>
      </c>
    </row>
    <row r="205" spans="1:8" x14ac:dyDescent="0.2">
      <c r="A205" s="166">
        <f t="shared" si="23"/>
        <v>115</v>
      </c>
      <c r="C205" s="58" t="s">
        <v>384</v>
      </c>
      <c r="D205" s="371">
        <v>2015</v>
      </c>
      <c r="E205" s="244">
        <v>0</v>
      </c>
      <c r="F205" s="244">
        <v>0</v>
      </c>
      <c r="G205" s="221">
        <f t="shared" si="22"/>
        <v>0</v>
      </c>
      <c r="H205" s="221">
        <f t="shared" si="24"/>
        <v>0</v>
      </c>
    </row>
    <row r="206" spans="1:8" x14ac:dyDescent="0.2">
      <c r="A206" s="166">
        <f t="shared" si="23"/>
        <v>116</v>
      </c>
      <c r="C206" s="58" t="s">
        <v>14</v>
      </c>
      <c r="D206" s="371">
        <v>2015</v>
      </c>
      <c r="E206" s="244">
        <v>0</v>
      </c>
      <c r="F206" s="244">
        <v>0</v>
      </c>
      <c r="G206" s="221">
        <f t="shared" si="22"/>
        <v>0</v>
      </c>
      <c r="H206" s="221">
        <f t="shared" si="24"/>
        <v>0</v>
      </c>
    </row>
    <row r="207" spans="1:8" x14ac:dyDescent="0.2">
      <c r="A207" s="166">
        <f t="shared" si="23"/>
        <v>117</v>
      </c>
      <c r="C207" s="58" t="s">
        <v>6</v>
      </c>
      <c r="D207" s="371">
        <v>2015</v>
      </c>
      <c r="E207" s="244">
        <v>0</v>
      </c>
      <c r="F207" s="244">
        <v>0</v>
      </c>
      <c r="G207" s="221">
        <f t="shared" si="22"/>
        <v>0</v>
      </c>
      <c r="H207" s="221">
        <f t="shared" si="24"/>
        <v>0</v>
      </c>
    </row>
    <row r="209" spans="1:8" x14ac:dyDescent="0.2">
      <c r="C209" s="388" t="s">
        <v>898</v>
      </c>
      <c r="E209" s="227" t="s">
        <v>152</v>
      </c>
      <c r="F209" s="227" t="s">
        <v>153</v>
      </c>
      <c r="G209" s="227" t="s">
        <v>154</v>
      </c>
      <c r="H209" s="227" t="s">
        <v>155</v>
      </c>
    </row>
    <row r="210" spans="1:8" x14ac:dyDescent="0.2">
      <c r="G210" s="453" t="s">
        <v>877</v>
      </c>
      <c r="H210" s="453" t="s">
        <v>888</v>
      </c>
    </row>
    <row r="211" spans="1:8" x14ac:dyDescent="0.2">
      <c r="C211" s="166" t="s">
        <v>868</v>
      </c>
      <c r="H211" s="591" t="s">
        <v>889</v>
      </c>
    </row>
    <row r="212" spans="1:8" x14ac:dyDescent="0.2">
      <c r="C212" s="166" t="s">
        <v>17</v>
      </c>
      <c r="E212" s="166" t="s">
        <v>329</v>
      </c>
      <c r="F212" s="166" t="s">
        <v>890</v>
      </c>
      <c r="G212" s="166" t="s">
        <v>891</v>
      </c>
      <c r="H212" s="166" t="s">
        <v>326</v>
      </c>
    </row>
    <row r="213" spans="1:8" x14ac:dyDescent="0.2">
      <c r="C213" s="57" t="s">
        <v>16</v>
      </c>
      <c r="D213" s="57" t="s">
        <v>17</v>
      </c>
      <c r="E213" s="170" t="s">
        <v>892</v>
      </c>
      <c r="F213" s="170" t="s">
        <v>893</v>
      </c>
      <c r="G213" s="170" t="s">
        <v>858</v>
      </c>
      <c r="H213" s="170" t="s">
        <v>882</v>
      </c>
    </row>
    <row r="214" spans="1:8" x14ac:dyDescent="0.2">
      <c r="A214" s="166">
        <f>A207+1</f>
        <v>118</v>
      </c>
      <c r="C214" s="58" t="s">
        <v>6</v>
      </c>
      <c r="D214" s="639">
        <v>2014</v>
      </c>
      <c r="E214" s="244">
        <v>225899760.88999999</v>
      </c>
      <c r="F214" s="244">
        <v>7969659.1805972494</v>
      </c>
      <c r="G214" s="221">
        <f t="shared" ref="G214:G226" si="25">E214-F214</f>
        <v>217930101.70940274</v>
      </c>
      <c r="H214" s="221">
        <f>E214-E214</f>
        <v>0</v>
      </c>
    </row>
    <row r="215" spans="1:8" x14ac:dyDescent="0.2">
      <c r="A215" s="166">
        <f>A214+1</f>
        <v>119</v>
      </c>
      <c r="C215" s="58" t="s">
        <v>7</v>
      </c>
      <c r="D215" s="371">
        <v>2015</v>
      </c>
      <c r="E215" s="244">
        <v>225899760.88999999</v>
      </c>
      <c r="F215" s="244">
        <v>8444382.1629414167</v>
      </c>
      <c r="G215" s="221">
        <f t="shared" si="25"/>
        <v>217455378.72705856</v>
      </c>
      <c r="H215" s="221">
        <f>E215-E214</f>
        <v>0</v>
      </c>
    </row>
    <row r="216" spans="1:8" x14ac:dyDescent="0.2">
      <c r="A216" s="166">
        <f t="shared" ref="A216:A226" si="26">A215+1</f>
        <v>120</v>
      </c>
      <c r="C216" s="53" t="s">
        <v>8</v>
      </c>
      <c r="D216" s="371">
        <v>2015</v>
      </c>
      <c r="E216" s="244">
        <v>225900091.64999998</v>
      </c>
      <c r="F216" s="244">
        <v>8919105.1452855822</v>
      </c>
      <c r="G216" s="221">
        <f t="shared" si="25"/>
        <v>216980986.5047144</v>
      </c>
      <c r="H216" s="221">
        <f t="shared" ref="H216:H226" si="27">E216-E215</f>
        <v>330.75999999046326</v>
      </c>
    </row>
    <row r="217" spans="1:8" x14ac:dyDescent="0.2">
      <c r="A217" s="166">
        <f t="shared" si="26"/>
        <v>121</v>
      </c>
      <c r="C217" s="53" t="s">
        <v>18</v>
      </c>
      <c r="D217" s="371">
        <v>2015</v>
      </c>
      <c r="E217" s="244">
        <v>225904431.42999995</v>
      </c>
      <c r="F217" s="244">
        <v>9393828.8084549159</v>
      </c>
      <c r="G217" s="221">
        <f t="shared" si="25"/>
        <v>216510602.62154502</v>
      </c>
      <c r="H217" s="221">
        <f t="shared" si="27"/>
        <v>4339.7799999713898</v>
      </c>
    </row>
    <row r="218" spans="1:8" x14ac:dyDescent="0.2">
      <c r="A218" s="166">
        <f t="shared" si="26"/>
        <v>122</v>
      </c>
      <c r="C218" s="58" t="s">
        <v>9</v>
      </c>
      <c r="D218" s="371">
        <v>2015</v>
      </c>
      <c r="E218" s="244">
        <v>225906409.77999994</v>
      </c>
      <c r="F218" s="244">
        <v>9868561.404480584</v>
      </c>
      <c r="G218" s="221">
        <f t="shared" si="25"/>
        <v>216037848.37551937</v>
      </c>
      <c r="H218" s="221">
        <f t="shared" si="27"/>
        <v>1978.3499999940395</v>
      </c>
    </row>
    <row r="219" spans="1:8" x14ac:dyDescent="0.2">
      <c r="A219" s="166">
        <f t="shared" si="26"/>
        <v>123</v>
      </c>
      <c r="C219" s="53" t="s">
        <v>10</v>
      </c>
      <c r="D219" s="371">
        <v>2015</v>
      </c>
      <c r="E219" s="244">
        <v>225906653.61999995</v>
      </c>
      <c r="F219" s="244">
        <v>10343298.072675001</v>
      </c>
      <c r="G219" s="221">
        <f t="shared" si="25"/>
        <v>215563355.54732496</v>
      </c>
      <c r="H219" s="221">
        <f t="shared" si="27"/>
        <v>243.84000000357628</v>
      </c>
    </row>
    <row r="220" spans="1:8" x14ac:dyDescent="0.2">
      <c r="A220" s="166">
        <f t="shared" si="26"/>
        <v>124</v>
      </c>
      <c r="C220" s="53" t="s">
        <v>383</v>
      </c>
      <c r="D220" s="371">
        <v>2015</v>
      </c>
      <c r="E220" s="244">
        <v>225936314.95999992</v>
      </c>
      <c r="F220" s="244">
        <v>10818035.242780918</v>
      </c>
      <c r="G220" s="221">
        <f t="shared" si="25"/>
        <v>215118279.717219</v>
      </c>
      <c r="H220" s="221">
        <f t="shared" si="27"/>
        <v>29661.339999973774</v>
      </c>
    </row>
    <row r="221" spans="1:8" x14ac:dyDescent="0.2">
      <c r="A221" s="166">
        <f t="shared" si="26"/>
        <v>125</v>
      </c>
      <c r="C221" s="58" t="s">
        <v>11</v>
      </c>
      <c r="D221" s="371">
        <v>2015</v>
      </c>
      <c r="E221" s="244">
        <v>226459682.14999995</v>
      </c>
      <c r="F221" s="244">
        <v>11292833.466780834</v>
      </c>
      <c r="G221" s="221">
        <f t="shared" si="25"/>
        <v>215166848.68321911</v>
      </c>
      <c r="H221" s="221">
        <f t="shared" si="27"/>
        <v>523367.19000002742</v>
      </c>
    </row>
    <row r="222" spans="1:8" x14ac:dyDescent="0.2">
      <c r="A222" s="166">
        <f t="shared" si="26"/>
        <v>126</v>
      </c>
      <c r="C222" s="53" t="s">
        <v>12</v>
      </c>
      <c r="D222" s="371">
        <v>2015</v>
      </c>
      <c r="E222" s="244">
        <v>226454461.16999996</v>
      </c>
      <c r="F222" s="244">
        <v>11768752.503407666</v>
      </c>
      <c r="G222" s="221">
        <f t="shared" si="25"/>
        <v>214685708.6665923</v>
      </c>
      <c r="H222" s="221">
        <f t="shared" si="27"/>
        <v>-5220.9799999892712</v>
      </c>
    </row>
    <row r="223" spans="1:8" x14ac:dyDescent="0.2">
      <c r="A223" s="166">
        <f t="shared" si="26"/>
        <v>127</v>
      </c>
      <c r="C223" s="53" t="s">
        <v>13</v>
      </c>
      <c r="D223" s="371">
        <v>2015</v>
      </c>
      <c r="E223" s="244">
        <v>226455092.80999994</v>
      </c>
      <c r="F223" s="244">
        <v>12244656.873339498</v>
      </c>
      <c r="G223" s="221">
        <f t="shared" si="25"/>
        <v>214210435.93666044</v>
      </c>
      <c r="H223" s="221">
        <f t="shared" si="27"/>
        <v>631.63999998569489</v>
      </c>
    </row>
    <row r="224" spans="1:8" x14ac:dyDescent="0.2">
      <c r="A224" s="166">
        <f t="shared" si="26"/>
        <v>128</v>
      </c>
      <c r="C224" s="58" t="s">
        <v>384</v>
      </c>
      <c r="D224" s="371">
        <v>2015</v>
      </c>
      <c r="E224" s="244">
        <v>226464487.82999992</v>
      </c>
      <c r="F224" s="244">
        <v>12720562.593135333</v>
      </c>
      <c r="G224" s="221">
        <f t="shared" si="25"/>
        <v>213743925.2368646</v>
      </c>
      <c r="H224" s="221">
        <f t="shared" si="27"/>
        <v>9395.0199999809265</v>
      </c>
    </row>
    <row r="225" spans="1:8" x14ac:dyDescent="0.2">
      <c r="A225" s="166">
        <f t="shared" si="26"/>
        <v>129</v>
      </c>
      <c r="C225" s="58" t="s">
        <v>14</v>
      </c>
      <c r="D225" s="371">
        <v>2015</v>
      </c>
      <c r="E225" s="244">
        <v>224178102.43999997</v>
      </c>
      <c r="F225" s="244">
        <v>13196487.796106499</v>
      </c>
      <c r="G225" s="221">
        <f t="shared" si="25"/>
        <v>210981614.64389348</v>
      </c>
      <c r="H225" s="221">
        <f t="shared" si="27"/>
        <v>-2286385.3899999559</v>
      </c>
    </row>
    <row r="226" spans="1:8" x14ac:dyDescent="0.2">
      <c r="A226" s="166">
        <f t="shared" si="26"/>
        <v>130</v>
      </c>
      <c r="C226" s="58" t="s">
        <v>6</v>
      </c>
      <c r="D226" s="371">
        <v>2015</v>
      </c>
      <c r="E226" s="244">
        <v>226465461.50999996</v>
      </c>
      <c r="F226" s="244">
        <v>13667285.197647</v>
      </c>
      <c r="G226" s="221">
        <f t="shared" si="25"/>
        <v>212798176.31235296</v>
      </c>
      <c r="H226" s="221">
        <f t="shared" si="27"/>
        <v>2287359.0699999928</v>
      </c>
    </row>
    <row r="228" spans="1:8" x14ac:dyDescent="0.2">
      <c r="C228" s="388" t="s">
        <v>899</v>
      </c>
      <c r="H228" s="227" t="s">
        <v>155</v>
      </c>
    </row>
    <row r="229" spans="1:8" x14ac:dyDescent="0.2">
      <c r="E229" s="227" t="s">
        <v>152</v>
      </c>
      <c r="F229" s="227" t="s">
        <v>153</v>
      </c>
      <c r="G229" s="227" t="s">
        <v>154</v>
      </c>
      <c r="H229" s="453" t="s">
        <v>888</v>
      </c>
    </row>
    <row r="230" spans="1:8" x14ac:dyDescent="0.2">
      <c r="C230" s="166" t="s">
        <v>868</v>
      </c>
      <c r="G230" s="453" t="s">
        <v>877</v>
      </c>
      <c r="H230" s="591" t="s">
        <v>889</v>
      </c>
    </row>
    <row r="231" spans="1:8" x14ac:dyDescent="0.2">
      <c r="C231" s="166" t="s">
        <v>17</v>
      </c>
      <c r="E231" s="166" t="s">
        <v>329</v>
      </c>
      <c r="F231" s="166" t="s">
        <v>890</v>
      </c>
      <c r="G231" s="166" t="s">
        <v>891</v>
      </c>
      <c r="H231" s="166" t="s">
        <v>326</v>
      </c>
    </row>
    <row r="232" spans="1:8" x14ac:dyDescent="0.2">
      <c r="C232" s="57" t="s">
        <v>16</v>
      </c>
      <c r="D232" s="57" t="s">
        <v>17</v>
      </c>
      <c r="E232" s="170" t="s">
        <v>892</v>
      </c>
      <c r="F232" s="170" t="s">
        <v>893</v>
      </c>
      <c r="G232" s="170" t="s">
        <v>858</v>
      </c>
      <c r="H232" s="170" t="s">
        <v>882</v>
      </c>
    </row>
    <row r="233" spans="1:8" x14ac:dyDescent="0.2">
      <c r="A233" s="166">
        <f>A226+1</f>
        <v>131</v>
      </c>
      <c r="C233" s="58" t="s">
        <v>6</v>
      </c>
      <c r="D233" s="639">
        <v>2014</v>
      </c>
      <c r="E233" s="244">
        <v>53764367.100000001</v>
      </c>
      <c r="F233" s="244">
        <v>373129.19955175003</v>
      </c>
      <c r="G233" s="221">
        <f t="shared" ref="G233:G245" si="28">E233-F233</f>
        <v>53391237.900448248</v>
      </c>
      <c r="H233" s="221">
        <f>E233-E233</f>
        <v>0</v>
      </c>
    </row>
    <row r="234" spans="1:8" x14ac:dyDescent="0.2">
      <c r="A234" s="166">
        <f>A233+1</f>
        <v>132</v>
      </c>
      <c r="C234" s="58" t="s">
        <v>7</v>
      </c>
      <c r="D234" s="371">
        <v>2015</v>
      </c>
      <c r="E234" s="244">
        <v>53768091.32</v>
      </c>
      <c r="F234" s="244">
        <v>483856.15570258338</v>
      </c>
      <c r="G234" s="221">
        <f t="shared" si="28"/>
        <v>53284235.164297417</v>
      </c>
      <c r="H234" s="221">
        <f>E234-E233</f>
        <v>3724.2199999988079</v>
      </c>
    </row>
    <row r="235" spans="1:8" x14ac:dyDescent="0.2">
      <c r="A235" s="166">
        <f t="shared" ref="A235:A245" si="29">A234+1</f>
        <v>133</v>
      </c>
      <c r="C235" s="53" t="s">
        <v>8</v>
      </c>
      <c r="D235" s="371">
        <v>2015</v>
      </c>
      <c r="E235" s="244">
        <v>53811813.340000004</v>
      </c>
      <c r="F235" s="244">
        <v>594590.78082791669</v>
      </c>
      <c r="G235" s="221">
        <f t="shared" si="28"/>
        <v>53217222.559172086</v>
      </c>
      <c r="H235" s="221">
        <f t="shared" ref="H235:H245" si="30">E235-E234</f>
        <v>43722.020000003278</v>
      </c>
    </row>
    <row r="236" spans="1:8" x14ac:dyDescent="0.2">
      <c r="A236" s="166">
        <f t="shared" si="29"/>
        <v>134</v>
      </c>
      <c r="C236" s="53" t="s">
        <v>18</v>
      </c>
      <c r="D236" s="371">
        <v>2015</v>
      </c>
      <c r="E236" s="244">
        <v>53824642.000000007</v>
      </c>
      <c r="F236" s="244">
        <v>705415.43490775011</v>
      </c>
      <c r="G236" s="221">
        <f t="shared" si="28"/>
        <v>53119226.565092258</v>
      </c>
      <c r="H236" s="221">
        <f t="shared" si="30"/>
        <v>12828.660000003874</v>
      </c>
    </row>
    <row r="237" spans="1:8" x14ac:dyDescent="0.2">
      <c r="A237" s="166">
        <f t="shared" si="29"/>
        <v>135</v>
      </c>
      <c r="C237" s="58" t="s">
        <v>9</v>
      </c>
      <c r="D237" s="371">
        <v>2015</v>
      </c>
      <c r="E237" s="244">
        <v>53848866.390000001</v>
      </c>
      <c r="F237" s="244">
        <v>816266.51525858336</v>
      </c>
      <c r="G237" s="221">
        <f t="shared" si="28"/>
        <v>53032599.87474142</v>
      </c>
      <c r="H237" s="221">
        <f t="shared" si="30"/>
        <v>24224.389999993145</v>
      </c>
    </row>
    <row r="238" spans="1:8" x14ac:dyDescent="0.2">
      <c r="A238" s="166">
        <f t="shared" si="29"/>
        <v>136</v>
      </c>
      <c r="C238" s="53" t="s">
        <v>10</v>
      </c>
      <c r="D238" s="371">
        <v>2015</v>
      </c>
      <c r="E238" s="244">
        <v>53700887.790000007</v>
      </c>
      <c r="F238" s="244">
        <v>927167.47637050017</v>
      </c>
      <c r="G238" s="221">
        <f t="shared" si="28"/>
        <v>52773720.313629508</v>
      </c>
      <c r="H238" s="221">
        <f t="shared" si="30"/>
        <v>-147978.59999999404</v>
      </c>
    </row>
    <row r="239" spans="1:8" x14ac:dyDescent="0.2">
      <c r="A239" s="166">
        <f t="shared" si="29"/>
        <v>137</v>
      </c>
      <c r="C239" s="53" t="s">
        <v>383</v>
      </c>
      <c r="D239" s="371">
        <v>2015</v>
      </c>
      <c r="E239" s="244">
        <v>53717002.440000005</v>
      </c>
      <c r="F239" s="244">
        <v>1037763.8567199169</v>
      </c>
      <c r="G239" s="221">
        <f t="shared" si="28"/>
        <v>52679238.583280087</v>
      </c>
      <c r="H239" s="221">
        <f t="shared" si="30"/>
        <v>16114.64999999851</v>
      </c>
    </row>
    <row r="240" spans="1:8" x14ac:dyDescent="0.2">
      <c r="A240" s="166">
        <f t="shared" si="29"/>
        <v>138</v>
      </c>
      <c r="C240" s="58" t="s">
        <v>11</v>
      </c>
      <c r="D240" s="371">
        <v>2015</v>
      </c>
      <c r="E240" s="244">
        <v>53721383.93</v>
      </c>
      <c r="F240" s="244">
        <v>1148393.417836417</v>
      </c>
      <c r="G240" s="221">
        <f t="shared" si="28"/>
        <v>52572990.512163579</v>
      </c>
      <c r="H240" s="221">
        <f t="shared" si="30"/>
        <v>4381.4899999946356</v>
      </c>
    </row>
    <row r="241" spans="1:8" x14ac:dyDescent="0.2">
      <c r="A241" s="166">
        <f t="shared" si="29"/>
        <v>139</v>
      </c>
      <c r="C241" s="53" t="s">
        <v>12</v>
      </c>
      <c r="D241" s="371">
        <v>2015</v>
      </c>
      <c r="E241" s="244">
        <v>53632405.629999995</v>
      </c>
      <c r="F241" s="244">
        <v>1259032.0030273336</v>
      </c>
      <c r="G241" s="221">
        <f t="shared" si="28"/>
        <v>52373373.62697266</v>
      </c>
      <c r="H241" s="221">
        <f t="shared" si="30"/>
        <v>-88978.30000000447</v>
      </c>
    </row>
    <row r="242" spans="1:8" x14ac:dyDescent="0.2">
      <c r="A242" s="166">
        <f t="shared" si="29"/>
        <v>140</v>
      </c>
      <c r="C242" s="53" t="s">
        <v>13</v>
      </c>
      <c r="D242" s="371">
        <v>2015</v>
      </c>
      <c r="E242" s="244">
        <v>53632678.119999997</v>
      </c>
      <c r="F242" s="244">
        <v>1369487.4413849169</v>
      </c>
      <c r="G242" s="221">
        <f t="shared" si="28"/>
        <v>52263190.678615078</v>
      </c>
      <c r="H242" s="221">
        <f t="shared" si="30"/>
        <v>272.49000000208616</v>
      </c>
    </row>
    <row r="243" spans="1:8" x14ac:dyDescent="0.2">
      <c r="A243" s="166">
        <f t="shared" si="29"/>
        <v>141</v>
      </c>
      <c r="C243" s="58" t="s">
        <v>384</v>
      </c>
      <c r="D243" s="371">
        <v>2015</v>
      </c>
      <c r="E243" s="244">
        <v>53633211.520000003</v>
      </c>
      <c r="F243" s="244">
        <v>1479943.4405152502</v>
      </c>
      <c r="G243" s="221">
        <f t="shared" si="28"/>
        <v>52153268.079484753</v>
      </c>
      <c r="H243" s="221">
        <f t="shared" si="30"/>
        <v>533.40000000596046</v>
      </c>
    </row>
    <row r="244" spans="1:8" x14ac:dyDescent="0.2">
      <c r="A244" s="166">
        <f t="shared" si="29"/>
        <v>142</v>
      </c>
      <c r="C244" s="58" t="s">
        <v>14</v>
      </c>
      <c r="D244" s="371">
        <v>2015</v>
      </c>
      <c r="E244" s="244">
        <v>53634144</v>
      </c>
      <c r="F244" s="244">
        <v>1590400.5390297503</v>
      </c>
      <c r="G244" s="221">
        <f t="shared" si="28"/>
        <v>52043743.460970253</v>
      </c>
      <c r="H244" s="221">
        <f t="shared" si="30"/>
        <v>932.47999999672174</v>
      </c>
    </row>
    <row r="245" spans="1:8" x14ac:dyDescent="0.2">
      <c r="A245" s="166">
        <f t="shared" si="29"/>
        <v>143</v>
      </c>
      <c r="C245" s="58" t="s">
        <v>6</v>
      </c>
      <c r="D245" s="371">
        <v>2015</v>
      </c>
      <c r="E245" s="244">
        <v>53634941.600000001</v>
      </c>
      <c r="F245" s="244">
        <v>1700859.5580780834</v>
      </c>
      <c r="G245" s="221">
        <f t="shared" si="28"/>
        <v>51934082.041921921</v>
      </c>
      <c r="H245" s="221">
        <f t="shared" si="30"/>
        <v>797.60000000149012</v>
      </c>
    </row>
    <row r="247" spans="1:8" x14ac:dyDescent="0.2">
      <c r="C247" s="388" t="s">
        <v>900</v>
      </c>
      <c r="H247" s="227" t="s">
        <v>155</v>
      </c>
    </row>
    <row r="248" spans="1:8" x14ac:dyDescent="0.2">
      <c r="E248" s="227" t="s">
        <v>152</v>
      </c>
      <c r="F248" s="227" t="s">
        <v>153</v>
      </c>
      <c r="G248" s="227" t="s">
        <v>154</v>
      </c>
      <c r="H248" s="453" t="s">
        <v>888</v>
      </c>
    </row>
    <row r="249" spans="1:8" x14ac:dyDescent="0.2">
      <c r="C249" s="166" t="s">
        <v>868</v>
      </c>
      <c r="G249" s="453" t="s">
        <v>877</v>
      </c>
      <c r="H249" s="591" t="s">
        <v>889</v>
      </c>
    </row>
    <row r="250" spans="1:8" x14ac:dyDescent="0.2">
      <c r="C250" s="166" t="s">
        <v>17</v>
      </c>
      <c r="E250" s="166" t="s">
        <v>329</v>
      </c>
      <c r="F250" s="166" t="s">
        <v>890</v>
      </c>
      <c r="G250" s="166" t="s">
        <v>891</v>
      </c>
      <c r="H250" s="166" t="s">
        <v>326</v>
      </c>
    </row>
    <row r="251" spans="1:8" ht="13.5" thickBot="1" x14ac:dyDescent="0.25">
      <c r="C251" s="57" t="s">
        <v>16</v>
      </c>
      <c r="D251" s="57" t="s">
        <v>17</v>
      </c>
      <c r="E251" s="170" t="s">
        <v>892</v>
      </c>
      <c r="F251" s="170" t="s">
        <v>893</v>
      </c>
      <c r="G251" s="170" t="s">
        <v>858</v>
      </c>
      <c r="H251" s="170" t="s">
        <v>882</v>
      </c>
    </row>
    <row r="252" spans="1:8" x14ac:dyDescent="0.2">
      <c r="A252" s="166">
        <f>A245+1</f>
        <v>144</v>
      </c>
      <c r="C252" s="58" t="s">
        <v>6</v>
      </c>
      <c r="D252" s="639">
        <v>2014</v>
      </c>
      <c r="E252" s="593">
        <v>67843036.730000019</v>
      </c>
      <c r="F252" s="593">
        <v>2510530.7387999999</v>
      </c>
      <c r="G252" s="179">
        <f t="shared" ref="G252:G264" si="31">E252-F252</f>
        <v>65332505.991200022</v>
      </c>
      <c r="H252" s="221">
        <f>E252-E252</f>
        <v>0</v>
      </c>
    </row>
    <row r="253" spans="1:8" x14ac:dyDescent="0.2">
      <c r="A253" s="166">
        <f>A252+1</f>
        <v>145</v>
      </c>
      <c r="C253" s="58" t="s">
        <v>7</v>
      </c>
      <c r="D253" s="371">
        <v>2015</v>
      </c>
      <c r="E253" s="595">
        <v>67844179.970000014</v>
      </c>
      <c r="F253" s="595">
        <v>2651024.2744017499</v>
      </c>
      <c r="G253" s="179">
        <f t="shared" si="31"/>
        <v>65193155.695598267</v>
      </c>
      <c r="H253" s="221">
        <f>E253-E252</f>
        <v>1143.2399999946356</v>
      </c>
    </row>
    <row r="254" spans="1:8" x14ac:dyDescent="0.2">
      <c r="A254" s="166">
        <f t="shared" ref="A254:A264" si="32">A253+1</f>
        <v>146</v>
      </c>
      <c r="C254" s="53" t="s">
        <v>8</v>
      </c>
      <c r="D254" s="371">
        <v>2015</v>
      </c>
      <c r="E254" s="595">
        <v>67844179.970000014</v>
      </c>
      <c r="F254" s="595">
        <v>2791520.1737708333</v>
      </c>
      <c r="G254" s="179">
        <f t="shared" si="31"/>
        <v>65052659.796229184</v>
      </c>
      <c r="H254" s="221">
        <f t="shared" ref="H254:H264" si="33">E254-E253</f>
        <v>0</v>
      </c>
    </row>
    <row r="255" spans="1:8" x14ac:dyDescent="0.2">
      <c r="A255" s="166">
        <f t="shared" si="32"/>
        <v>147</v>
      </c>
      <c r="C255" s="53" t="s">
        <v>18</v>
      </c>
      <c r="D255" s="371">
        <v>2015</v>
      </c>
      <c r="E255" s="595">
        <v>67844179.970000014</v>
      </c>
      <c r="F255" s="595">
        <v>2932146.3520690831</v>
      </c>
      <c r="G255" s="179">
        <f t="shared" si="31"/>
        <v>64912033.617930934</v>
      </c>
      <c r="H255" s="221">
        <f t="shared" si="33"/>
        <v>0</v>
      </c>
    </row>
    <row r="256" spans="1:8" x14ac:dyDescent="0.2">
      <c r="A256" s="166">
        <f t="shared" si="32"/>
        <v>148</v>
      </c>
      <c r="C256" s="58" t="s">
        <v>9</v>
      </c>
      <c r="D256" s="371">
        <v>2015</v>
      </c>
      <c r="E256" s="595">
        <v>67844179.970000014</v>
      </c>
      <c r="F256" s="595">
        <v>3072772.530367333</v>
      </c>
      <c r="G256" s="179">
        <f t="shared" si="31"/>
        <v>64771407.439632684</v>
      </c>
      <c r="H256" s="221">
        <f t="shared" si="33"/>
        <v>0</v>
      </c>
    </row>
    <row r="257" spans="1:8" x14ac:dyDescent="0.2">
      <c r="A257" s="166">
        <f t="shared" si="32"/>
        <v>149</v>
      </c>
      <c r="C257" s="53" t="s">
        <v>10</v>
      </c>
      <c r="D257" s="371">
        <v>2015</v>
      </c>
      <c r="E257" s="595">
        <v>67844179.970000014</v>
      </c>
      <c r="F257" s="595">
        <v>3213398.7086655833</v>
      </c>
      <c r="G257" s="179">
        <f t="shared" si="31"/>
        <v>64630781.261334434</v>
      </c>
      <c r="H257" s="221">
        <f t="shared" si="33"/>
        <v>0</v>
      </c>
    </row>
    <row r="258" spans="1:8" x14ac:dyDescent="0.2">
      <c r="A258" s="166">
        <f t="shared" si="32"/>
        <v>150</v>
      </c>
      <c r="C258" s="53" t="s">
        <v>383</v>
      </c>
      <c r="D258" s="371">
        <v>2015</v>
      </c>
      <c r="E258" s="595">
        <v>70377537.860000014</v>
      </c>
      <c r="F258" s="595">
        <v>3354024.8869638331</v>
      </c>
      <c r="G258" s="179">
        <f t="shared" si="31"/>
        <v>67023512.973036185</v>
      </c>
      <c r="H258" s="221">
        <f t="shared" si="33"/>
        <v>2533357.8900000006</v>
      </c>
    </row>
    <row r="259" spans="1:8" x14ac:dyDescent="0.2">
      <c r="A259" s="166">
        <f t="shared" si="32"/>
        <v>151</v>
      </c>
      <c r="C259" s="58" t="s">
        <v>11</v>
      </c>
      <c r="D259" s="371">
        <v>2015</v>
      </c>
      <c r="E259" s="595">
        <v>70498211.430000022</v>
      </c>
      <c r="F259" s="595">
        <v>3499865.5602523331</v>
      </c>
      <c r="G259" s="179">
        <f t="shared" si="31"/>
        <v>66998345.869747691</v>
      </c>
      <c r="H259" s="221">
        <f t="shared" si="33"/>
        <v>120673.57000000775</v>
      </c>
    </row>
    <row r="260" spans="1:8" x14ac:dyDescent="0.2">
      <c r="A260" s="166">
        <f t="shared" si="32"/>
        <v>152</v>
      </c>
      <c r="C260" s="53" t="s">
        <v>12</v>
      </c>
      <c r="D260" s="371">
        <v>2015</v>
      </c>
      <c r="E260" s="595">
        <v>70546573.920000017</v>
      </c>
      <c r="F260" s="595">
        <v>3645954.6199724167</v>
      </c>
      <c r="G260" s="179">
        <f t="shared" si="31"/>
        <v>66900619.300027601</v>
      </c>
      <c r="H260" s="221">
        <f t="shared" si="33"/>
        <v>48362.489999994636</v>
      </c>
    </row>
    <row r="261" spans="1:8" x14ac:dyDescent="0.2">
      <c r="A261" s="166">
        <f t="shared" si="32"/>
        <v>153</v>
      </c>
      <c r="C261" s="53" t="s">
        <v>13</v>
      </c>
      <c r="D261" s="371">
        <v>2015</v>
      </c>
      <c r="E261" s="595">
        <v>70571193.350000024</v>
      </c>
      <c r="F261" s="595">
        <v>3792143.2258177502</v>
      </c>
      <c r="G261" s="179">
        <f t="shared" si="31"/>
        <v>66779050.124182276</v>
      </c>
      <c r="H261" s="221">
        <f t="shared" si="33"/>
        <v>24619.430000007153</v>
      </c>
    </row>
    <row r="262" spans="1:8" x14ac:dyDescent="0.2">
      <c r="A262" s="166">
        <f t="shared" si="32"/>
        <v>154</v>
      </c>
      <c r="C262" s="58" t="s">
        <v>384</v>
      </c>
      <c r="D262" s="371">
        <v>2015</v>
      </c>
      <c r="E262" s="595">
        <v>70673721.670000017</v>
      </c>
      <c r="F262" s="595">
        <v>3938382.5066565</v>
      </c>
      <c r="G262" s="179">
        <f t="shared" si="31"/>
        <v>66735339.163343519</v>
      </c>
      <c r="H262" s="221">
        <f t="shared" si="33"/>
        <v>102528.31999999285</v>
      </c>
    </row>
    <row r="263" spans="1:8" x14ac:dyDescent="0.2">
      <c r="A263" s="166">
        <f t="shared" si="32"/>
        <v>155</v>
      </c>
      <c r="C263" s="58" t="s">
        <v>14</v>
      </c>
      <c r="D263" s="371">
        <v>2015</v>
      </c>
      <c r="E263" s="595">
        <v>70710606.37000002</v>
      </c>
      <c r="F263" s="595">
        <v>4084832.8249539165</v>
      </c>
      <c r="G263" s="179">
        <f t="shared" si="31"/>
        <v>66625773.545046106</v>
      </c>
      <c r="H263" s="221">
        <f t="shared" si="33"/>
        <v>36884.70000000298</v>
      </c>
    </row>
    <row r="264" spans="1:8" ht="13.5" thickBot="1" x14ac:dyDescent="0.25">
      <c r="A264" s="166">
        <f t="shared" si="32"/>
        <v>156</v>
      </c>
      <c r="C264" s="58" t="s">
        <v>6</v>
      </c>
      <c r="D264" s="371">
        <v>2015</v>
      </c>
      <c r="E264" s="596">
        <v>70732250.680000022</v>
      </c>
      <c r="F264" s="596">
        <v>4231359.0642588334</v>
      </c>
      <c r="G264" s="179">
        <f t="shared" si="31"/>
        <v>66500891.615741186</v>
      </c>
      <c r="H264" s="221">
        <f t="shared" si="33"/>
        <v>21644.310000002384</v>
      </c>
    </row>
    <row r="266" spans="1:8" x14ac:dyDescent="0.2">
      <c r="C266" s="388" t="s">
        <v>901</v>
      </c>
      <c r="E266" s="227" t="s">
        <v>152</v>
      </c>
      <c r="F266" s="227" t="s">
        <v>153</v>
      </c>
      <c r="G266" s="227" t="s">
        <v>154</v>
      </c>
      <c r="H266" s="227" t="s">
        <v>155</v>
      </c>
    </row>
    <row r="267" spans="1:8" x14ac:dyDescent="0.2">
      <c r="G267" s="453" t="s">
        <v>877</v>
      </c>
      <c r="H267" s="453" t="s">
        <v>888</v>
      </c>
    </row>
    <row r="268" spans="1:8" x14ac:dyDescent="0.2">
      <c r="C268" s="166" t="s">
        <v>868</v>
      </c>
      <c r="H268" s="591" t="s">
        <v>889</v>
      </c>
    </row>
    <row r="269" spans="1:8" x14ac:dyDescent="0.2">
      <c r="C269" s="166" t="s">
        <v>17</v>
      </c>
      <c r="E269" s="166" t="s">
        <v>329</v>
      </c>
      <c r="F269" s="166" t="s">
        <v>890</v>
      </c>
      <c r="G269" s="166" t="s">
        <v>891</v>
      </c>
      <c r="H269" s="166" t="s">
        <v>326</v>
      </c>
    </row>
    <row r="270" spans="1:8" x14ac:dyDescent="0.2">
      <c r="C270" s="57" t="s">
        <v>16</v>
      </c>
      <c r="D270" s="57" t="s">
        <v>17</v>
      </c>
      <c r="E270" s="170" t="s">
        <v>892</v>
      </c>
      <c r="F270" s="170" t="s">
        <v>893</v>
      </c>
      <c r="G270" s="170" t="s">
        <v>858</v>
      </c>
      <c r="H270" s="170" t="s">
        <v>882</v>
      </c>
    </row>
    <row r="271" spans="1:8" x14ac:dyDescent="0.2">
      <c r="A271" s="166">
        <f>A264+1</f>
        <v>157</v>
      </c>
      <c r="C271" s="58" t="s">
        <v>6</v>
      </c>
      <c r="D271" s="639">
        <v>2014</v>
      </c>
      <c r="E271" s="244">
        <v>0</v>
      </c>
      <c r="F271" s="244">
        <v>0</v>
      </c>
      <c r="G271" s="221">
        <f t="shared" ref="G271:G283" si="34">E271-F271</f>
        <v>0</v>
      </c>
      <c r="H271" s="173">
        <f>E271-E271</f>
        <v>0</v>
      </c>
    </row>
    <row r="272" spans="1:8" x14ac:dyDescent="0.2">
      <c r="A272" s="166">
        <f>A271+1</f>
        <v>158</v>
      </c>
      <c r="C272" s="58" t="s">
        <v>7</v>
      </c>
      <c r="D272" s="371">
        <v>2015</v>
      </c>
      <c r="E272" s="244">
        <v>0</v>
      </c>
      <c r="F272" s="244">
        <v>0</v>
      </c>
      <c r="G272" s="221">
        <f t="shared" si="34"/>
        <v>0</v>
      </c>
      <c r="H272" s="221">
        <f>E272-E271</f>
        <v>0</v>
      </c>
    </row>
    <row r="273" spans="1:8" x14ac:dyDescent="0.2">
      <c r="A273" s="166">
        <f t="shared" ref="A273:A283" si="35">A272+1</f>
        <v>159</v>
      </c>
      <c r="C273" s="53" t="s">
        <v>8</v>
      </c>
      <c r="D273" s="371">
        <v>2015</v>
      </c>
      <c r="E273" s="244">
        <v>0</v>
      </c>
      <c r="F273" s="244">
        <v>0</v>
      </c>
      <c r="G273" s="221">
        <f t="shared" si="34"/>
        <v>0</v>
      </c>
      <c r="H273" s="221">
        <f t="shared" ref="H273:H283" si="36">E273-E272</f>
        <v>0</v>
      </c>
    </row>
    <row r="274" spans="1:8" x14ac:dyDescent="0.2">
      <c r="A274" s="166">
        <f t="shared" si="35"/>
        <v>160</v>
      </c>
      <c r="C274" s="53" t="s">
        <v>18</v>
      </c>
      <c r="D274" s="371">
        <v>2015</v>
      </c>
      <c r="E274" s="244">
        <v>0</v>
      </c>
      <c r="F274" s="244">
        <v>0</v>
      </c>
      <c r="G274" s="221">
        <f t="shared" si="34"/>
        <v>0</v>
      </c>
      <c r="H274" s="221">
        <f t="shared" si="36"/>
        <v>0</v>
      </c>
    </row>
    <row r="275" spans="1:8" x14ac:dyDescent="0.2">
      <c r="A275" s="166">
        <f t="shared" si="35"/>
        <v>161</v>
      </c>
      <c r="C275" s="58" t="s">
        <v>9</v>
      </c>
      <c r="D275" s="371">
        <v>2015</v>
      </c>
      <c r="E275" s="244">
        <v>0</v>
      </c>
      <c r="F275" s="244">
        <v>0</v>
      </c>
      <c r="G275" s="221">
        <f t="shared" si="34"/>
        <v>0</v>
      </c>
      <c r="H275" s="221">
        <f t="shared" si="36"/>
        <v>0</v>
      </c>
    </row>
    <row r="276" spans="1:8" x14ac:dyDescent="0.2">
      <c r="A276" s="166">
        <f t="shared" si="35"/>
        <v>162</v>
      </c>
      <c r="C276" s="53" t="s">
        <v>10</v>
      </c>
      <c r="D276" s="371">
        <v>2015</v>
      </c>
      <c r="E276" s="244">
        <v>0</v>
      </c>
      <c r="F276" s="244">
        <v>0</v>
      </c>
      <c r="G276" s="221">
        <f t="shared" si="34"/>
        <v>0</v>
      </c>
      <c r="H276" s="221">
        <f t="shared" si="36"/>
        <v>0</v>
      </c>
    </row>
    <row r="277" spans="1:8" x14ac:dyDescent="0.2">
      <c r="A277" s="166">
        <f t="shared" si="35"/>
        <v>163</v>
      </c>
      <c r="C277" s="53" t="s">
        <v>383</v>
      </c>
      <c r="D277" s="371">
        <v>2015</v>
      </c>
      <c r="E277" s="244">
        <v>0</v>
      </c>
      <c r="F277" s="244">
        <v>0</v>
      </c>
      <c r="G277" s="221">
        <f t="shared" si="34"/>
        <v>0</v>
      </c>
      <c r="H277" s="221">
        <f t="shared" si="36"/>
        <v>0</v>
      </c>
    </row>
    <row r="278" spans="1:8" x14ac:dyDescent="0.2">
      <c r="A278" s="166">
        <f t="shared" si="35"/>
        <v>164</v>
      </c>
      <c r="C278" s="58" t="s">
        <v>11</v>
      </c>
      <c r="D278" s="371">
        <v>2015</v>
      </c>
      <c r="E278" s="244">
        <v>0</v>
      </c>
      <c r="F278" s="244">
        <v>0</v>
      </c>
      <c r="G278" s="221">
        <f t="shared" si="34"/>
        <v>0</v>
      </c>
      <c r="H278" s="221">
        <f t="shared" si="36"/>
        <v>0</v>
      </c>
    </row>
    <row r="279" spans="1:8" x14ac:dyDescent="0.2">
      <c r="A279" s="166">
        <f t="shared" si="35"/>
        <v>165</v>
      </c>
      <c r="C279" s="53" t="s">
        <v>12</v>
      </c>
      <c r="D279" s="371">
        <v>2015</v>
      </c>
      <c r="E279" s="244">
        <v>0</v>
      </c>
      <c r="F279" s="244">
        <v>0</v>
      </c>
      <c r="G279" s="221">
        <f t="shared" si="34"/>
        <v>0</v>
      </c>
      <c r="H279" s="221">
        <f t="shared" si="36"/>
        <v>0</v>
      </c>
    </row>
    <row r="280" spans="1:8" x14ac:dyDescent="0.2">
      <c r="A280" s="166">
        <f t="shared" si="35"/>
        <v>166</v>
      </c>
      <c r="C280" s="53" t="s">
        <v>13</v>
      </c>
      <c r="D280" s="371">
        <v>2015</v>
      </c>
      <c r="E280" s="244">
        <v>0</v>
      </c>
      <c r="F280" s="244">
        <v>0</v>
      </c>
      <c r="G280" s="221">
        <f t="shared" si="34"/>
        <v>0</v>
      </c>
      <c r="H280" s="221">
        <f t="shared" si="36"/>
        <v>0</v>
      </c>
    </row>
    <row r="281" spans="1:8" x14ac:dyDescent="0.2">
      <c r="A281" s="166">
        <f t="shared" si="35"/>
        <v>167</v>
      </c>
      <c r="C281" s="58" t="s">
        <v>384</v>
      </c>
      <c r="D281" s="371">
        <v>2015</v>
      </c>
      <c r="E281" s="244">
        <v>0</v>
      </c>
      <c r="F281" s="244">
        <v>0</v>
      </c>
      <c r="G281" s="221">
        <f t="shared" si="34"/>
        <v>0</v>
      </c>
      <c r="H281" s="221">
        <f t="shared" si="36"/>
        <v>0</v>
      </c>
    </row>
    <row r="282" spans="1:8" x14ac:dyDescent="0.2">
      <c r="A282" s="166">
        <f t="shared" si="35"/>
        <v>168</v>
      </c>
      <c r="C282" s="58" t="s">
        <v>14</v>
      </c>
      <c r="D282" s="371">
        <v>2015</v>
      </c>
      <c r="E282" s="244">
        <v>0</v>
      </c>
      <c r="F282" s="244">
        <v>0</v>
      </c>
      <c r="G282" s="221">
        <f t="shared" si="34"/>
        <v>0</v>
      </c>
      <c r="H282" s="221">
        <f t="shared" si="36"/>
        <v>0</v>
      </c>
    </row>
    <row r="283" spans="1:8" x14ac:dyDescent="0.2">
      <c r="A283" s="166">
        <f t="shared" si="35"/>
        <v>169</v>
      </c>
      <c r="C283" s="58" t="s">
        <v>6</v>
      </c>
      <c r="D283" s="371">
        <v>2015</v>
      </c>
      <c r="E283" s="244">
        <v>0</v>
      </c>
      <c r="F283" s="244">
        <v>0</v>
      </c>
      <c r="G283" s="221">
        <f t="shared" si="34"/>
        <v>0</v>
      </c>
      <c r="H283" s="221">
        <f t="shared" si="36"/>
        <v>0</v>
      </c>
    </row>
    <row r="285" spans="1:8" x14ac:dyDescent="0.2">
      <c r="C285" s="388" t="s">
        <v>902</v>
      </c>
      <c r="E285" s="227" t="s">
        <v>152</v>
      </c>
      <c r="F285" s="227" t="s">
        <v>153</v>
      </c>
      <c r="G285" s="227" t="s">
        <v>154</v>
      </c>
      <c r="H285" s="227" t="s">
        <v>155</v>
      </c>
    </row>
    <row r="286" spans="1:8" x14ac:dyDescent="0.2">
      <c r="G286" s="453" t="s">
        <v>877</v>
      </c>
      <c r="H286" s="453" t="s">
        <v>888</v>
      </c>
    </row>
    <row r="287" spans="1:8" x14ac:dyDescent="0.2">
      <c r="C287" s="166" t="s">
        <v>868</v>
      </c>
      <c r="H287" s="591" t="s">
        <v>889</v>
      </c>
    </row>
    <row r="288" spans="1:8" x14ac:dyDescent="0.2">
      <c r="C288" s="166" t="s">
        <v>17</v>
      </c>
      <c r="E288" s="166" t="s">
        <v>329</v>
      </c>
      <c r="F288" s="166" t="s">
        <v>890</v>
      </c>
      <c r="G288" s="166" t="s">
        <v>891</v>
      </c>
      <c r="H288" s="166" t="s">
        <v>326</v>
      </c>
    </row>
    <row r="289" spans="1:8" x14ac:dyDescent="0.2">
      <c r="C289" s="57" t="s">
        <v>16</v>
      </c>
      <c r="D289" s="57" t="s">
        <v>17</v>
      </c>
      <c r="E289" s="170" t="s">
        <v>892</v>
      </c>
      <c r="F289" s="170" t="s">
        <v>893</v>
      </c>
      <c r="G289" s="170" t="s">
        <v>858</v>
      </c>
      <c r="H289" s="170" t="s">
        <v>882</v>
      </c>
    </row>
    <row r="290" spans="1:8" x14ac:dyDescent="0.2">
      <c r="A290" s="166">
        <f>A283+1</f>
        <v>170</v>
      </c>
      <c r="C290" s="58" t="s">
        <v>6</v>
      </c>
      <c r="D290" s="639">
        <v>2014</v>
      </c>
      <c r="E290" s="244">
        <v>0</v>
      </c>
      <c r="F290" s="244">
        <v>0</v>
      </c>
      <c r="G290" s="221">
        <f t="shared" ref="G290:G302" si="37">E290-F290</f>
        <v>0</v>
      </c>
      <c r="H290" s="221">
        <f>E290-E290</f>
        <v>0</v>
      </c>
    </row>
    <row r="291" spans="1:8" x14ac:dyDescent="0.2">
      <c r="A291" s="166">
        <f>A290+1</f>
        <v>171</v>
      </c>
      <c r="C291" s="58" t="s">
        <v>7</v>
      </c>
      <c r="D291" s="371">
        <v>2015</v>
      </c>
      <c r="E291" s="244">
        <v>0</v>
      </c>
      <c r="F291" s="244">
        <v>0</v>
      </c>
      <c r="G291" s="221">
        <f t="shared" si="37"/>
        <v>0</v>
      </c>
      <c r="H291" s="221">
        <f>E291-E290</f>
        <v>0</v>
      </c>
    </row>
    <row r="292" spans="1:8" x14ac:dyDescent="0.2">
      <c r="A292" s="166">
        <f t="shared" ref="A292:A302" si="38">A291+1</f>
        <v>172</v>
      </c>
      <c r="C292" s="53" t="s">
        <v>8</v>
      </c>
      <c r="D292" s="371">
        <v>2015</v>
      </c>
      <c r="E292" s="244">
        <v>0</v>
      </c>
      <c r="F292" s="244">
        <v>0</v>
      </c>
      <c r="G292" s="221">
        <f t="shared" si="37"/>
        <v>0</v>
      </c>
      <c r="H292" s="221">
        <f t="shared" ref="H292:H302" si="39">E292-E291</f>
        <v>0</v>
      </c>
    </row>
    <row r="293" spans="1:8" x14ac:dyDescent="0.2">
      <c r="A293" s="166">
        <f t="shared" si="38"/>
        <v>173</v>
      </c>
      <c r="C293" s="53" t="s">
        <v>18</v>
      </c>
      <c r="D293" s="371">
        <v>2015</v>
      </c>
      <c r="E293" s="244">
        <v>0</v>
      </c>
      <c r="F293" s="244">
        <v>0</v>
      </c>
      <c r="G293" s="221">
        <f t="shared" si="37"/>
        <v>0</v>
      </c>
      <c r="H293" s="221">
        <f t="shared" si="39"/>
        <v>0</v>
      </c>
    </row>
    <row r="294" spans="1:8" x14ac:dyDescent="0.2">
      <c r="A294" s="166">
        <f t="shared" si="38"/>
        <v>174</v>
      </c>
      <c r="C294" s="58" t="s">
        <v>9</v>
      </c>
      <c r="D294" s="371">
        <v>2015</v>
      </c>
      <c r="E294" s="244">
        <v>0</v>
      </c>
      <c r="F294" s="244">
        <v>0</v>
      </c>
      <c r="G294" s="221">
        <f t="shared" si="37"/>
        <v>0</v>
      </c>
      <c r="H294" s="221">
        <f t="shared" si="39"/>
        <v>0</v>
      </c>
    </row>
    <row r="295" spans="1:8" x14ac:dyDescent="0.2">
      <c r="A295" s="166">
        <f t="shared" si="38"/>
        <v>175</v>
      </c>
      <c r="C295" s="53" t="s">
        <v>10</v>
      </c>
      <c r="D295" s="371">
        <v>2015</v>
      </c>
      <c r="E295" s="244">
        <v>0</v>
      </c>
      <c r="F295" s="244">
        <v>0</v>
      </c>
      <c r="G295" s="221">
        <f t="shared" si="37"/>
        <v>0</v>
      </c>
      <c r="H295" s="221">
        <f t="shared" si="39"/>
        <v>0</v>
      </c>
    </row>
    <row r="296" spans="1:8" x14ac:dyDescent="0.2">
      <c r="A296" s="166">
        <f t="shared" si="38"/>
        <v>176</v>
      </c>
      <c r="C296" s="53" t="s">
        <v>383</v>
      </c>
      <c r="D296" s="371">
        <v>2015</v>
      </c>
      <c r="E296" s="244">
        <v>0</v>
      </c>
      <c r="F296" s="244">
        <v>0</v>
      </c>
      <c r="G296" s="221">
        <f t="shared" si="37"/>
        <v>0</v>
      </c>
      <c r="H296" s="221">
        <f t="shared" si="39"/>
        <v>0</v>
      </c>
    </row>
    <row r="297" spans="1:8" x14ac:dyDescent="0.2">
      <c r="A297" s="166">
        <f t="shared" si="38"/>
        <v>177</v>
      </c>
      <c r="C297" s="58" t="s">
        <v>11</v>
      </c>
      <c r="D297" s="371">
        <v>2015</v>
      </c>
      <c r="E297" s="244">
        <v>0</v>
      </c>
      <c r="F297" s="244">
        <v>0</v>
      </c>
      <c r="G297" s="221">
        <f t="shared" si="37"/>
        <v>0</v>
      </c>
      <c r="H297" s="221">
        <f t="shared" si="39"/>
        <v>0</v>
      </c>
    </row>
    <row r="298" spans="1:8" x14ac:dyDescent="0.2">
      <c r="A298" s="166">
        <f t="shared" si="38"/>
        <v>178</v>
      </c>
      <c r="C298" s="53" t="s">
        <v>12</v>
      </c>
      <c r="D298" s="371">
        <v>2015</v>
      </c>
      <c r="E298" s="244">
        <v>0</v>
      </c>
      <c r="F298" s="244">
        <v>0</v>
      </c>
      <c r="G298" s="221">
        <f t="shared" si="37"/>
        <v>0</v>
      </c>
      <c r="H298" s="221">
        <f t="shared" si="39"/>
        <v>0</v>
      </c>
    </row>
    <row r="299" spans="1:8" x14ac:dyDescent="0.2">
      <c r="A299" s="166">
        <f t="shared" si="38"/>
        <v>179</v>
      </c>
      <c r="C299" s="53" t="s">
        <v>13</v>
      </c>
      <c r="D299" s="371">
        <v>2015</v>
      </c>
      <c r="E299" s="244">
        <v>0</v>
      </c>
      <c r="F299" s="244">
        <v>0</v>
      </c>
      <c r="G299" s="221">
        <f t="shared" si="37"/>
        <v>0</v>
      </c>
      <c r="H299" s="221">
        <f t="shared" si="39"/>
        <v>0</v>
      </c>
    </row>
    <row r="300" spans="1:8" x14ac:dyDescent="0.2">
      <c r="A300" s="166">
        <f t="shared" si="38"/>
        <v>180</v>
      </c>
      <c r="C300" s="58" t="s">
        <v>384</v>
      </c>
      <c r="D300" s="371">
        <v>2015</v>
      </c>
      <c r="E300" s="244">
        <v>0</v>
      </c>
      <c r="F300" s="244">
        <v>0</v>
      </c>
      <c r="G300" s="221">
        <f t="shared" si="37"/>
        <v>0</v>
      </c>
      <c r="H300" s="221">
        <f t="shared" si="39"/>
        <v>0</v>
      </c>
    </row>
    <row r="301" spans="1:8" x14ac:dyDescent="0.2">
      <c r="A301" s="166">
        <f t="shared" si="38"/>
        <v>181</v>
      </c>
      <c r="C301" s="58" t="s">
        <v>14</v>
      </c>
      <c r="D301" s="371">
        <v>2015</v>
      </c>
      <c r="E301" s="244">
        <v>0</v>
      </c>
      <c r="F301" s="244">
        <v>0</v>
      </c>
      <c r="G301" s="221">
        <f t="shared" si="37"/>
        <v>0</v>
      </c>
      <c r="H301" s="221">
        <f t="shared" si="39"/>
        <v>0</v>
      </c>
    </row>
    <row r="302" spans="1:8" x14ac:dyDescent="0.2">
      <c r="A302" s="166">
        <f t="shared" si="38"/>
        <v>182</v>
      </c>
      <c r="C302" s="58" t="s">
        <v>6</v>
      </c>
      <c r="D302" s="371">
        <v>2015</v>
      </c>
      <c r="E302" s="244">
        <v>0</v>
      </c>
      <c r="F302" s="244">
        <v>0</v>
      </c>
      <c r="G302" s="221">
        <f t="shared" si="37"/>
        <v>0</v>
      </c>
      <c r="H302" s="221">
        <f t="shared" si="39"/>
        <v>0</v>
      </c>
    </row>
    <row r="304" spans="1:8" x14ac:dyDescent="0.2">
      <c r="B304" s="162"/>
      <c r="C304" s="162" t="s">
        <v>903</v>
      </c>
      <c r="D304" s="224"/>
      <c r="E304" s="221"/>
    </row>
    <row r="305" spans="1:10" x14ac:dyDescent="0.2">
      <c r="B305" s="162"/>
    </row>
    <row r="306" spans="1:10" x14ac:dyDescent="0.2">
      <c r="C306" s="649" t="s">
        <v>904</v>
      </c>
      <c r="D306" s="218"/>
      <c r="E306" s="218"/>
      <c r="F306" s="218"/>
      <c r="G306" s="638" t="s">
        <v>905</v>
      </c>
      <c r="H306" s="218"/>
      <c r="I306" s="218"/>
      <c r="J306" s="218"/>
    </row>
    <row r="307" spans="1:10" x14ac:dyDescent="0.2">
      <c r="A307" s="166">
        <f>A302+1</f>
        <v>183</v>
      </c>
      <c r="C307" s="470" t="s">
        <v>906</v>
      </c>
      <c r="D307" s="218"/>
      <c r="E307" s="650"/>
      <c r="F307" s="651" t="s">
        <v>907</v>
      </c>
      <c r="G307" s="213" t="s">
        <v>908</v>
      </c>
      <c r="H307" s="218"/>
      <c r="I307" s="218"/>
      <c r="J307" s="218"/>
    </row>
    <row r="308" spans="1:10" x14ac:dyDescent="0.2">
      <c r="A308" s="166">
        <f>A307+1</f>
        <v>184</v>
      </c>
      <c r="C308" s="464" t="s">
        <v>909</v>
      </c>
      <c r="D308" s="218"/>
      <c r="E308" s="652"/>
      <c r="F308" s="653">
        <v>7.4999999999999997E-3</v>
      </c>
      <c r="G308" s="213" t="s">
        <v>910</v>
      </c>
      <c r="H308" s="218"/>
      <c r="I308" s="218"/>
      <c r="J308" s="218"/>
    </row>
    <row r="309" spans="1:10" x14ac:dyDescent="0.2">
      <c r="A309" s="166">
        <f>A308+1</f>
        <v>185</v>
      </c>
      <c r="C309" s="464" t="s">
        <v>911</v>
      </c>
      <c r="D309" s="218"/>
      <c r="E309" s="650"/>
      <c r="F309" s="651" t="s">
        <v>912</v>
      </c>
      <c r="G309" s="654" t="s">
        <v>913</v>
      </c>
      <c r="H309" s="218"/>
      <c r="I309" s="218"/>
      <c r="J309" s="218"/>
    </row>
    <row r="310" spans="1:10" x14ac:dyDescent="0.2">
      <c r="C310" s="218"/>
      <c r="D310" s="218"/>
      <c r="E310" s="650"/>
      <c r="F310" s="655"/>
      <c r="G310" s="218"/>
      <c r="H310" s="218"/>
      <c r="I310" s="218"/>
      <c r="J310" s="218"/>
    </row>
    <row r="311" spans="1:10" x14ac:dyDescent="0.2">
      <c r="C311" s="649" t="s">
        <v>914</v>
      </c>
      <c r="D311" s="218"/>
      <c r="E311" s="218"/>
      <c r="F311" s="655"/>
      <c r="G311" s="638" t="s">
        <v>905</v>
      </c>
      <c r="H311" s="218"/>
      <c r="I311" s="218"/>
      <c r="J311" s="218"/>
    </row>
    <row r="312" spans="1:10" x14ac:dyDescent="0.2">
      <c r="A312" s="166">
        <f>A309+1</f>
        <v>186</v>
      </c>
      <c r="C312" s="470" t="s">
        <v>906</v>
      </c>
      <c r="D312" s="218"/>
      <c r="E312" s="650"/>
      <c r="F312" s="651" t="s">
        <v>907</v>
      </c>
      <c r="G312" s="213" t="s">
        <v>908</v>
      </c>
      <c r="H312" s="218"/>
      <c r="I312" s="218"/>
      <c r="J312" s="218"/>
    </row>
    <row r="313" spans="1:10" x14ac:dyDescent="0.2">
      <c r="A313" s="166">
        <f>A312+1</f>
        <v>187</v>
      </c>
      <c r="C313" s="464" t="s">
        <v>909</v>
      </c>
      <c r="D313" s="218"/>
      <c r="E313" s="652"/>
      <c r="F313" s="653">
        <v>1.2500000000000001E-2</v>
      </c>
      <c r="G313" s="213" t="s">
        <v>910</v>
      </c>
      <c r="H313" s="218"/>
      <c r="I313" s="218"/>
      <c r="J313" s="218"/>
    </row>
    <row r="314" spans="1:10" x14ac:dyDescent="0.2">
      <c r="A314" s="166">
        <f>A313+1</f>
        <v>188</v>
      </c>
      <c r="C314" s="464" t="s">
        <v>911</v>
      </c>
      <c r="D314" s="218"/>
      <c r="E314" s="650"/>
      <c r="F314" s="651" t="s">
        <v>907</v>
      </c>
      <c r="G314" s="213" t="s">
        <v>915</v>
      </c>
      <c r="H314" s="218"/>
      <c r="I314" s="218"/>
      <c r="J314" s="218"/>
    </row>
    <row r="315" spans="1:10" x14ac:dyDescent="0.2">
      <c r="C315" s="464"/>
      <c r="D315" s="218"/>
      <c r="E315" s="650"/>
      <c r="F315" s="651"/>
      <c r="G315" s="218"/>
      <c r="H315" s="218"/>
      <c r="I315" s="218"/>
      <c r="J315" s="218"/>
    </row>
    <row r="316" spans="1:10" x14ac:dyDescent="0.2">
      <c r="C316" s="649" t="s">
        <v>916</v>
      </c>
      <c r="D316" s="218"/>
      <c r="E316" s="213"/>
      <c r="F316" s="656"/>
      <c r="G316" s="638" t="s">
        <v>905</v>
      </c>
      <c r="H316" s="218"/>
      <c r="I316" s="218"/>
      <c r="J316" s="218"/>
    </row>
    <row r="317" spans="1:10" x14ac:dyDescent="0.2">
      <c r="A317" s="166">
        <f>A314+1</f>
        <v>189</v>
      </c>
      <c r="C317" s="470" t="s">
        <v>906</v>
      </c>
      <c r="D317" s="218"/>
      <c r="E317" s="650"/>
      <c r="F317" s="651" t="s">
        <v>907</v>
      </c>
      <c r="G317" s="213" t="s">
        <v>908</v>
      </c>
      <c r="H317" s="218"/>
      <c r="I317" s="218"/>
      <c r="J317" s="218"/>
    </row>
    <row r="318" spans="1:10" x14ac:dyDescent="0.2">
      <c r="A318" s="166">
        <f>A317+1</f>
        <v>190</v>
      </c>
      <c r="C318" s="464" t="s">
        <v>909</v>
      </c>
      <c r="D318" s="218"/>
      <c r="E318" s="652"/>
      <c r="F318" s="653">
        <v>0.01</v>
      </c>
      <c r="G318" s="213" t="s">
        <v>917</v>
      </c>
      <c r="H318" s="218"/>
      <c r="I318" s="218"/>
      <c r="J318" s="218"/>
    </row>
    <row r="319" spans="1:10" x14ac:dyDescent="0.2">
      <c r="A319" s="166">
        <f>A318+1</f>
        <v>191</v>
      </c>
      <c r="C319" s="464"/>
      <c r="D319" s="218"/>
      <c r="E319" s="652"/>
      <c r="F319" s="653"/>
      <c r="G319" s="213" t="s">
        <v>918</v>
      </c>
      <c r="H319" s="218"/>
      <c r="I319" s="218"/>
      <c r="J319" s="218"/>
    </row>
    <row r="320" spans="1:10" x14ac:dyDescent="0.2">
      <c r="A320" s="166">
        <f>A319+1</f>
        <v>192</v>
      </c>
      <c r="C320" s="464" t="s">
        <v>911</v>
      </c>
      <c r="D320" s="218"/>
      <c r="E320" s="650"/>
      <c r="F320" s="651" t="s">
        <v>907</v>
      </c>
      <c r="G320" s="213" t="s">
        <v>915</v>
      </c>
      <c r="H320" s="218"/>
      <c r="I320" s="218"/>
      <c r="J320" s="218"/>
    </row>
    <row r="321" spans="1:10" x14ac:dyDescent="0.2">
      <c r="C321" s="464"/>
      <c r="D321" s="218"/>
      <c r="E321" s="650"/>
      <c r="F321" s="651"/>
      <c r="G321" s="218"/>
      <c r="H321" s="218"/>
      <c r="I321" s="218"/>
      <c r="J321" s="218"/>
    </row>
    <row r="322" spans="1:10" x14ac:dyDescent="0.2">
      <c r="C322" s="649" t="s">
        <v>919</v>
      </c>
      <c r="D322" s="218"/>
      <c r="E322" s="213"/>
      <c r="F322" s="656"/>
      <c r="G322" s="638" t="s">
        <v>905</v>
      </c>
      <c r="H322" s="218"/>
      <c r="I322" s="218"/>
      <c r="J322" s="218"/>
    </row>
    <row r="323" spans="1:10" x14ac:dyDescent="0.2">
      <c r="A323" s="166">
        <f>A320+1</f>
        <v>193</v>
      </c>
      <c r="C323" s="470" t="s">
        <v>906</v>
      </c>
      <c r="D323" s="218"/>
      <c r="E323" s="650"/>
      <c r="F323" s="651" t="s">
        <v>912</v>
      </c>
      <c r="G323" s="213" t="s">
        <v>920</v>
      </c>
      <c r="H323" s="218"/>
      <c r="I323" s="218"/>
      <c r="J323" s="218"/>
    </row>
    <row r="324" spans="1:10" x14ac:dyDescent="0.2">
      <c r="A324" s="166">
        <f>A323+1</f>
        <v>194</v>
      </c>
      <c r="C324" s="470"/>
      <c r="D324" s="218"/>
      <c r="E324" s="650"/>
      <c r="F324" s="651"/>
      <c r="G324" s="218" t="s">
        <v>918</v>
      </c>
      <c r="H324" s="218"/>
      <c r="I324" s="218"/>
      <c r="J324" s="218"/>
    </row>
    <row r="325" spans="1:10" x14ac:dyDescent="0.2">
      <c r="A325" s="166">
        <f>A324+1</f>
        <v>195</v>
      </c>
      <c r="C325" s="464" t="s">
        <v>909</v>
      </c>
      <c r="D325" s="218"/>
      <c r="E325" s="652"/>
      <c r="F325" s="653">
        <v>0</v>
      </c>
      <c r="G325" s="213" t="s">
        <v>921</v>
      </c>
      <c r="H325" s="218"/>
      <c r="I325" s="218"/>
      <c r="J325" s="218"/>
    </row>
    <row r="326" spans="1:10" x14ac:dyDescent="0.2">
      <c r="A326" s="166">
        <f>A325+1</f>
        <v>196</v>
      </c>
      <c r="C326" s="464"/>
      <c r="D326" s="218"/>
      <c r="E326" s="652"/>
      <c r="F326" s="653"/>
      <c r="G326" s="213" t="s">
        <v>922</v>
      </c>
      <c r="H326" s="218"/>
      <c r="I326" s="218"/>
      <c r="J326" s="218"/>
    </row>
    <row r="327" spans="1:10" x14ac:dyDescent="0.2">
      <c r="A327" s="166">
        <f>A326+1</f>
        <v>197</v>
      </c>
      <c r="C327" s="464" t="s">
        <v>911</v>
      </c>
      <c r="D327" s="218"/>
      <c r="E327" s="650"/>
      <c r="F327" s="651" t="s">
        <v>907</v>
      </c>
      <c r="G327" s="213" t="s">
        <v>915</v>
      </c>
      <c r="H327" s="218"/>
      <c r="I327" s="218"/>
      <c r="J327" s="218"/>
    </row>
    <row r="328" spans="1:10" x14ac:dyDescent="0.2">
      <c r="C328" s="464"/>
      <c r="D328" s="218"/>
      <c r="E328" s="650"/>
      <c r="F328" s="651"/>
      <c r="G328" s="218"/>
      <c r="H328" s="218"/>
      <c r="I328" s="218"/>
      <c r="J328" s="218"/>
    </row>
    <row r="329" spans="1:10" x14ac:dyDescent="0.2">
      <c r="C329" s="649" t="s">
        <v>923</v>
      </c>
      <c r="D329" s="218"/>
      <c r="E329" s="218"/>
      <c r="F329" s="651"/>
      <c r="G329" s="638" t="s">
        <v>905</v>
      </c>
      <c r="H329" s="218"/>
      <c r="I329" s="218"/>
      <c r="J329" s="218"/>
    </row>
    <row r="330" spans="1:10" x14ac:dyDescent="0.2">
      <c r="A330" s="166">
        <f>A327+1</f>
        <v>198</v>
      </c>
      <c r="C330" s="470" t="s">
        <v>906</v>
      </c>
      <c r="D330" s="218"/>
      <c r="E330" s="650"/>
      <c r="F330" s="651" t="s">
        <v>907</v>
      </c>
      <c r="G330" s="213" t="s">
        <v>924</v>
      </c>
      <c r="H330" s="218"/>
      <c r="I330" s="218"/>
      <c r="J330" s="218"/>
    </row>
    <row r="331" spans="1:10" x14ac:dyDescent="0.2">
      <c r="A331" s="166">
        <f>A330+1</f>
        <v>199</v>
      </c>
      <c r="C331" s="464" t="s">
        <v>909</v>
      </c>
      <c r="D331" s="218"/>
      <c r="E331" s="652"/>
      <c r="F331" s="653">
        <v>0</v>
      </c>
      <c r="G331" s="213" t="s">
        <v>925</v>
      </c>
      <c r="H331" s="218"/>
      <c r="I331" s="218"/>
      <c r="J331" s="218"/>
    </row>
    <row r="332" spans="1:10" x14ac:dyDescent="0.2">
      <c r="A332" s="166">
        <f>A331+1</f>
        <v>200</v>
      </c>
      <c r="C332" s="464" t="s">
        <v>911</v>
      </c>
      <c r="D332" s="218"/>
      <c r="E332" s="650"/>
      <c r="F332" s="651" t="s">
        <v>907</v>
      </c>
      <c r="G332" s="213" t="s">
        <v>926</v>
      </c>
      <c r="H332" s="218"/>
      <c r="I332" s="218"/>
      <c r="J332" s="218"/>
    </row>
    <row r="333" spans="1:10" x14ac:dyDescent="0.2">
      <c r="C333" s="464"/>
      <c r="D333" s="218"/>
      <c r="E333" s="650"/>
      <c r="F333" s="651"/>
      <c r="G333" s="470"/>
      <c r="H333" s="218"/>
      <c r="I333" s="218"/>
      <c r="J333" s="218"/>
    </row>
    <row r="334" spans="1:10" x14ac:dyDescent="0.2">
      <c r="C334" s="649" t="s">
        <v>927</v>
      </c>
      <c r="D334" s="218"/>
      <c r="E334" s="213"/>
      <c r="F334" s="656"/>
      <c r="G334" s="638" t="s">
        <v>905</v>
      </c>
      <c r="H334" s="218"/>
      <c r="I334" s="218"/>
      <c r="J334" s="218"/>
    </row>
    <row r="335" spans="1:10" x14ac:dyDescent="0.2">
      <c r="A335" s="166">
        <f>A332+1</f>
        <v>201</v>
      </c>
      <c r="C335" s="470" t="s">
        <v>906</v>
      </c>
      <c r="D335" s="218"/>
      <c r="E335" s="650"/>
      <c r="F335" s="651" t="s">
        <v>907</v>
      </c>
      <c r="G335" s="213" t="s">
        <v>928</v>
      </c>
      <c r="H335" s="218"/>
      <c r="I335" s="213"/>
      <c r="J335" s="213"/>
    </row>
    <row r="336" spans="1:10" x14ac:dyDescent="0.2">
      <c r="A336" s="166">
        <f>A335+1</f>
        <v>202</v>
      </c>
      <c r="C336" s="464" t="s">
        <v>909</v>
      </c>
      <c r="D336" s="218"/>
      <c r="E336" s="652"/>
      <c r="F336" s="653">
        <v>0</v>
      </c>
      <c r="G336" s="213" t="s">
        <v>929</v>
      </c>
      <c r="H336" s="218"/>
      <c r="I336" s="213"/>
      <c r="J336" s="213"/>
    </row>
    <row r="337" spans="1:10" x14ac:dyDescent="0.2">
      <c r="A337" s="166">
        <f>A336+1</f>
        <v>203</v>
      </c>
      <c r="C337" s="464" t="s">
        <v>911</v>
      </c>
      <c r="D337" s="218"/>
      <c r="E337" s="650"/>
      <c r="F337" s="651" t="s">
        <v>907</v>
      </c>
      <c r="G337" s="213" t="s">
        <v>930</v>
      </c>
      <c r="H337" s="218"/>
      <c r="I337" s="213"/>
      <c r="J337" s="213"/>
    </row>
    <row r="338" spans="1:10" x14ac:dyDescent="0.2">
      <c r="C338" s="464"/>
      <c r="D338" s="218"/>
      <c r="E338" s="652"/>
      <c r="F338" s="653"/>
      <c r="G338" s="213"/>
      <c r="H338" s="218"/>
      <c r="I338" s="213"/>
      <c r="J338" s="213"/>
    </row>
    <row r="339" spans="1:10" x14ac:dyDescent="0.2">
      <c r="C339" s="649" t="s">
        <v>931</v>
      </c>
      <c r="D339" s="218"/>
      <c r="E339" s="213"/>
      <c r="F339" s="656"/>
      <c r="G339" s="638" t="s">
        <v>905</v>
      </c>
      <c r="H339" s="218"/>
      <c r="I339" s="213"/>
      <c r="J339" s="213"/>
    </row>
    <row r="340" spans="1:10" x14ac:dyDescent="0.2">
      <c r="A340" s="166">
        <f>A337+1</f>
        <v>204</v>
      </c>
      <c r="C340" s="470" t="s">
        <v>906</v>
      </c>
      <c r="D340" s="218"/>
      <c r="E340" s="650"/>
      <c r="F340" s="651" t="s">
        <v>907</v>
      </c>
      <c r="G340" s="213" t="s">
        <v>928</v>
      </c>
      <c r="H340" s="218"/>
      <c r="I340" s="213"/>
      <c r="J340" s="213"/>
    </row>
    <row r="341" spans="1:10" x14ac:dyDescent="0.2">
      <c r="A341" s="166">
        <f>A340+1</f>
        <v>205</v>
      </c>
      <c r="C341" s="464" t="s">
        <v>909</v>
      </c>
      <c r="D341" s="218"/>
      <c r="E341" s="652"/>
      <c r="F341" s="653">
        <v>0</v>
      </c>
      <c r="G341" s="213" t="s">
        <v>929</v>
      </c>
      <c r="H341" s="218"/>
      <c r="I341" s="213"/>
      <c r="J341" s="213"/>
    </row>
    <row r="342" spans="1:10" x14ac:dyDescent="0.2">
      <c r="A342" s="166">
        <f>A341+1</f>
        <v>206</v>
      </c>
      <c r="C342" s="464" t="s">
        <v>911</v>
      </c>
      <c r="D342" s="218"/>
      <c r="E342" s="650"/>
      <c r="F342" s="651" t="s">
        <v>907</v>
      </c>
      <c r="G342" s="213" t="s">
        <v>930</v>
      </c>
      <c r="H342" s="218"/>
      <c r="I342" s="213"/>
      <c r="J342" s="213"/>
    </row>
    <row r="343" spans="1:10" x14ac:dyDescent="0.2">
      <c r="C343" s="218"/>
      <c r="D343" s="218"/>
      <c r="E343" s="218"/>
      <c r="F343" s="651"/>
      <c r="G343" s="218"/>
      <c r="H343" s="218"/>
      <c r="I343" s="218"/>
      <c r="J343" s="218"/>
    </row>
    <row r="344" spans="1:10" x14ac:dyDescent="0.2">
      <c r="C344" s="649" t="s">
        <v>932</v>
      </c>
      <c r="D344" s="218"/>
      <c r="E344" s="213"/>
      <c r="F344" s="656"/>
      <c r="G344" s="638" t="s">
        <v>905</v>
      </c>
      <c r="H344" s="218"/>
      <c r="I344" s="218"/>
      <c r="J344" s="218"/>
    </row>
    <row r="345" spans="1:10" x14ac:dyDescent="0.2">
      <c r="A345" s="166">
        <f>A342+1</f>
        <v>207</v>
      </c>
      <c r="C345" s="470" t="s">
        <v>906</v>
      </c>
      <c r="D345" s="218"/>
      <c r="E345" s="650"/>
      <c r="F345" s="651" t="s">
        <v>907</v>
      </c>
      <c r="G345" s="657" t="s">
        <v>933</v>
      </c>
      <c r="H345" s="218"/>
      <c r="I345" s="218"/>
      <c r="J345" s="218"/>
    </row>
    <row r="346" spans="1:10" x14ac:dyDescent="0.2">
      <c r="A346" s="166">
        <f>A345+1</f>
        <v>208</v>
      </c>
      <c r="C346" s="464" t="s">
        <v>909</v>
      </c>
      <c r="D346" s="218"/>
      <c r="E346" s="652"/>
      <c r="F346" s="653">
        <v>0</v>
      </c>
      <c r="G346" s="459" t="s">
        <v>400</v>
      </c>
      <c r="H346" s="218"/>
      <c r="I346" s="218"/>
      <c r="J346" s="218"/>
    </row>
    <row r="347" spans="1:10" x14ac:dyDescent="0.2">
      <c r="A347" s="166">
        <f>A346+1</f>
        <v>209</v>
      </c>
      <c r="C347" s="464" t="s">
        <v>911</v>
      </c>
      <c r="D347" s="218"/>
      <c r="E347" s="650"/>
      <c r="F347" s="651" t="s">
        <v>907</v>
      </c>
      <c r="G347" s="657" t="s">
        <v>933</v>
      </c>
      <c r="H347" s="218"/>
      <c r="I347" s="218"/>
      <c r="J347" s="218"/>
    </row>
    <row r="348" spans="1:10" x14ac:dyDescent="0.2">
      <c r="C348" s="218"/>
      <c r="D348" s="218"/>
      <c r="E348" s="218"/>
      <c r="F348" s="651"/>
      <c r="G348" s="218"/>
      <c r="H348" s="218"/>
      <c r="I348" s="218"/>
      <c r="J348" s="218"/>
    </row>
    <row r="349" spans="1:10" x14ac:dyDescent="0.2">
      <c r="C349" s="649" t="s">
        <v>934</v>
      </c>
      <c r="D349" s="218"/>
      <c r="E349" s="213"/>
      <c r="F349" s="656"/>
      <c r="G349" s="638" t="s">
        <v>905</v>
      </c>
      <c r="H349" s="218"/>
      <c r="I349" s="218"/>
      <c r="J349" s="218"/>
    </row>
    <row r="350" spans="1:10" x14ac:dyDescent="0.2">
      <c r="A350" s="166">
        <f>A347+1</f>
        <v>210</v>
      </c>
      <c r="C350" s="470" t="s">
        <v>906</v>
      </c>
      <c r="D350" s="218"/>
      <c r="E350" s="650"/>
      <c r="F350" s="651" t="s">
        <v>907</v>
      </c>
      <c r="G350" s="657" t="s">
        <v>933</v>
      </c>
      <c r="H350" s="218"/>
      <c r="I350" s="218"/>
      <c r="J350" s="218"/>
    </row>
    <row r="351" spans="1:10" x14ac:dyDescent="0.2">
      <c r="A351" s="166">
        <f>A350+1</f>
        <v>211</v>
      </c>
      <c r="C351" s="464" t="s">
        <v>909</v>
      </c>
      <c r="D351" s="218"/>
      <c r="E351" s="652"/>
      <c r="F351" s="653">
        <v>0</v>
      </c>
      <c r="G351" s="459" t="s">
        <v>400</v>
      </c>
      <c r="H351" s="218"/>
      <c r="I351" s="218"/>
      <c r="J351" s="218"/>
    </row>
    <row r="352" spans="1:10" x14ac:dyDescent="0.2">
      <c r="A352" s="166">
        <f>A351+1</f>
        <v>212</v>
      </c>
      <c r="C352" s="464" t="s">
        <v>911</v>
      </c>
      <c r="D352" s="218"/>
      <c r="E352" s="650"/>
      <c r="F352" s="651" t="s">
        <v>907</v>
      </c>
      <c r="G352" s="657" t="s">
        <v>933</v>
      </c>
      <c r="H352" s="218"/>
      <c r="I352" s="218"/>
      <c r="J352" s="218"/>
    </row>
    <row r="353" spans="1:10" x14ac:dyDescent="0.2">
      <c r="C353" s="218"/>
      <c r="D353" s="218"/>
      <c r="E353" s="218"/>
      <c r="F353" s="651"/>
      <c r="G353" s="218"/>
      <c r="H353" s="218"/>
      <c r="I353" s="218"/>
      <c r="J353" s="218"/>
    </row>
    <row r="354" spans="1:10" x14ac:dyDescent="0.2">
      <c r="C354" s="649" t="s">
        <v>935</v>
      </c>
      <c r="D354" s="218"/>
      <c r="E354" s="213"/>
      <c r="F354" s="656"/>
      <c r="G354" s="638" t="s">
        <v>905</v>
      </c>
      <c r="H354" s="218"/>
      <c r="I354" s="218"/>
      <c r="J354" s="218"/>
    </row>
    <row r="355" spans="1:10" x14ac:dyDescent="0.2">
      <c r="A355" s="166">
        <f>A352+1</f>
        <v>213</v>
      </c>
      <c r="C355" s="470" t="s">
        <v>906</v>
      </c>
      <c r="D355" s="218"/>
      <c r="E355" s="650"/>
      <c r="F355" s="651" t="s">
        <v>907</v>
      </c>
      <c r="G355" s="657" t="s">
        <v>933</v>
      </c>
      <c r="H355" s="218"/>
      <c r="I355" s="218"/>
      <c r="J355" s="218"/>
    </row>
    <row r="356" spans="1:10" x14ac:dyDescent="0.2">
      <c r="A356" s="166">
        <f>A355+1</f>
        <v>214</v>
      </c>
      <c r="C356" s="464" t="s">
        <v>909</v>
      </c>
      <c r="D356" s="218"/>
      <c r="E356" s="652"/>
      <c r="F356" s="653">
        <v>0</v>
      </c>
      <c r="G356" s="459" t="s">
        <v>400</v>
      </c>
      <c r="H356" s="218"/>
      <c r="I356" s="218"/>
      <c r="J356" s="218"/>
    </row>
    <row r="357" spans="1:10" x14ac:dyDescent="0.2">
      <c r="A357" s="166">
        <f>A356+1</f>
        <v>215</v>
      </c>
      <c r="C357" s="464" t="s">
        <v>911</v>
      </c>
      <c r="D357" s="218"/>
      <c r="E357" s="650"/>
      <c r="F357" s="651" t="s">
        <v>907</v>
      </c>
      <c r="G357" s="657" t="s">
        <v>933</v>
      </c>
      <c r="H357" s="218"/>
      <c r="I357" s="218"/>
      <c r="J357" s="218"/>
    </row>
    <row r="358" spans="1:10" x14ac:dyDescent="0.2">
      <c r="C358" s="218"/>
      <c r="D358" s="218"/>
      <c r="E358" s="218"/>
      <c r="F358" s="651"/>
      <c r="G358" s="218"/>
      <c r="H358" s="218"/>
      <c r="I358" s="218"/>
      <c r="J358" s="218"/>
    </row>
    <row r="359" spans="1:10" x14ac:dyDescent="0.2">
      <c r="C359" s="649" t="s">
        <v>936</v>
      </c>
      <c r="D359" s="218"/>
      <c r="E359" s="213"/>
      <c r="F359" s="656"/>
      <c r="G359" s="638" t="s">
        <v>905</v>
      </c>
      <c r="H359" s="218"/>
      <c r="I359" s="218"/>
      <c r="J359" s="218"/>
    </row>
    <row r="360" spans="1:10" x14ac:dyDescent="0.2">
      <c r="A360" s="166">
        <f>A357+1</f>
        <v>216</v>
      </c>
      <c r="C360" s="470" t="s">
        <v>906</v>
      </c>
      <c r="D360" s="218"/>
      <c r="E360" s="650"/>
      <c r="F360" s="651" t="s">
        <v>907</v>
      </c>
      <c r="G360" s="657" t="s">
        <v>933</v>
      </c>
      <c r="H360" s="218"/>
      <c r="I360" s="218"/>
      <c r="J360" s="218"/>
    </row>
    <row r="361" spans="1:10" x14ac:dyDescent="0.2">
      <c r="A361" s="166">
        <f>A360+1</f>
        <v>217</v>
      </c>
      <c r="C361" s="464" t="s">
        <v>909</v>
      </c>
      <c r="D361" s="218"/>
      <c r="E361" s="652"/>
      <c r="F361" s="653">
        <v>0</v>
      </c>
      <c r="G361" s="459" t="s">
        <v>400</v>
      </c>
      <c r="H361" s="218"/>
      <c r="I361" s="218"/>
      <c r="J361" s="218"/>
    </row>
    <row r="362" spans="1:10" x14ac:dyDescent="0.2">
      <c r="A362" s="166">
        <f>A361+1</f>
        <v>218</v>
      </c>
      <c r="C362" s="464" t="s">
        <v>911</v>
      </c>
      <c r="D362" s="218"/>
      <c r="E362" s="650"/>
      <c r="F362" s="651" t="s">
        <v>907</v>
      </c>
      <c r="G362" s="657" t="s">
        <v>933</v>
      </c>
      <c r="H362" s="218"/>
      <c r="I362" s="218"/>
      <c r="J362" s="218"/>
    </row>
    <row r="363" spans="1:10" x14ac:dyDescent="0.2">
      <c r="C363" s="218"/>
      <c r="D363" s="218"/>
      <c r="E363" s="218"/>
      <c r="F363" s="218"/>
      <c r="G363" s="218"/>
      <c r="H363" s="218"/>
      <c r="I363" s="218"/>
      <c r="J363" s="218"/>
    </row>
    <row r="364" spans="1:10" x14ac:dyDescent="0.2">
      <c r="C364" s="658" t="s">
        <v>937</v>
      </c>
      <c r="D364" s="218"/>
      <c r="E364" s="218"/>
      <c r="F364" s="218"/>
      <c r="G364" s="638" t="s">
        <v>905</v>
      </c>
      <c r="H364" s="218"/>
      <c r="I364" s="218"/>
      <c r="J364" s="218"/>
    </row>
    <row r="365" spans="1:10" x14ac:dyDescent="0.2">
      <c r="A365" s="166">
        <f>A362+1</f>
        <v>219</v>
      </c>
      <c r="C365" s="470" t="s">
        <v>906</v>
      </c>
      <c r="D365" s="218"/>
      <c r="E365" s="218"/>
      <c r="F365" s="218"/>
      <c r="G365" s="218"/>
      <c r="H365" s="218"/>
      <c r="I365" s="218"/>
      <c r="J365" s="218"/>
    </row>
    <row r="366" spans="1:10" x14ac:dyDescent="0.2">
      <c r="A366" s="166">
        <f>A365+1</f>
        <v>220</v>
      </c>
      <c r="C366" s="464" t="s">
        <v>909</v>
      </c>
      <c r="D366" s="218"/>
      <c r="E366" s="218"/>
      <c r="F366" s="218"/>
      <c r="G366" s="218"/>
      <c r="H366" s="218"/>
      <c r="I366" s="218"/>
      <c r="J366" s="218"/>
    </row>
    <row r="367" spans="1:10" x14ac:dyDescent="0.2">
      <c r="A367" s="166">
        <f>A366+1</f>
        <v>221</v>
      </c>
      <c r="C367" s="464" t="s">
        <v>911</v>
      </c>
      <c r="D367" s="218"/>
      <c r="E367" s="218"/>
      <c r="F367" s="218"/>
      <c r="G367" s="218"/>
      <c r="H367" s="218"/>
      <c r="I367" s="218"/>
      <c r="J367" s="218"/>
    </row>
    <row r="368" spans="1:10" x14ac:dyDescent="0.2">
      <c r="C368" s="659" t="s">
        <v>635</v>
      </c>
    </row>
    <row r="370" spans="2:3" x14ac:dyDescent="0.2">
      <c r="B370" s="195" t="s">
        <v>109</v>
      </c>
    </row>
    <row r="371" spans="2:3" x14ac:dyDescent="0.2">
      <c r="C371" s="223" t="s">
        <v>938</v>
      </c>
    </row>
    <row r="372" spans="2:3" x14ac:dyDescent="0.2">
      <c r="C372" t="s">
        <v>939</v>
      </c>
    </row>
  </sheetData>
  <pageMargins left="0.75" right="0.75" top="1" bottom="1" header="0.5" footer="0.5"/>
  <pageSetup scale="70" orientation="portrait" cellComments="asDisplayed" r:id="rId1"/>
  <headerFooter alignWithMargins="0">
    <oddHeader>&amp;CSchedule 14
Incentive Plant
(Revised 2015 True Up TRR)&amp;RTO12 Draft Annual Update
Attachment 4
WP-Schedule 3-One Time Adj True Up Adj
Page &amp;P of &amp;N</oddHeader>
    <oddFooter>&amp;R&amp;A</oddFooter>
  </headerFooter>
  <rowBreaks count="5" manualBreakCount="5">
    <brk id="66" max="16383" man="1"/>
    <brk id="131" max="16383" man="1"/>
    <brk id="189" max="16383" man="1"/>
    <brk id="246" max="16383" man="1"/>
    <brk id="303" max="16383"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171"/>
  <sheetViews>
    <sheetView zoomScale="110" zoomScaleNormal="110" workbookViewId="0">
      <selection activeCell="F31" sqref="F31"/>
    </sheetView>
  </sheetViews>
  <sheetFormatPr defaultRowHeight="12.75" x14ac:dyDescent="0.2"/>
  <cols>
    <col min="1" max="2" width="4.7109375" customWidth="1"/>
    <col min="3" max="3" width="18.7109375" customWidth="1"/>
    <col min="4" max="4" width="10.28515625" bestFit="1" customWidth="1"/>
    <col min="5" max="7" width="15.7109375" customWidth="1"/>
    <col min="8" max="8" width="24.7109375" customWidth="1"/>
    <col min="9" max="9" width="4.5703125" customWidth="1"/>
    <col min="10" max="10" width="15.7109375" customWidth="1"/>
    <col min="12" max="12" width="9.140625" customWidth="1"/>
  </cols>
  <sheetData>
    <row r="1" spans="1:10" x14ac:dyDescent="0.2">
      <c r="A1" s="162" t="s">
        <v>38</v>
      </c>
    </row>
    <row r="2" spans="1:10" x14ac:dyDescent="0.2">
      <c r="H2" s="163"/>
    </row>
    <row r="3" spans="1:10" x14ac:dyDescent="0.2">
      <c r="B3" s="164" t="s">
        <v>39</v>
      </c>
    </row>
    <row r="4" spans="1:10" x14ac:dyDescent="0.2">
      <c r="B4" s="165"/>
      <c r="F4" s="166" t="s">
        <v>40</v>
      </c>
      <c r="G4" s="166"/>
      <c r="H4" s="166" t="s">
        <v>41</v>
      </c>
    </row>
    <row r="5" spans="1:10" x14ac:dyDescent="0.2">
      <c r="A5" s="167" t="s">
        <v>42</v>
      </c>
      <c r="B5" s="168"/>
      <c r="C5" s="169" t="s">
        <v>43</v>
      </c>
      <c r="F5" s="170" t="s">
        <v>44</v>
      </c>
      <c r="G5" s="170" t="s">
        <v>45</v>
      </c>
      <c r="H5" s="170" t="s">
        <v>46</v>
      </c>
      <c r="J5" s="170" t="s">
        <v>34</v>
      </c>
    </row>
    <row r="6" spans="1:10" x14ac:dyDescent="0.2">
      <c r="A6" s="171">
        <v>1</v>
      </c>
      <c r="B6" s="163"/>
      <c r="C6" s="172" t="s">
        <v>47</v>
      </c>
      <c r="D6" s="163"/>
      <c r="E6" s="163"/>
      <c r="F6" s="163" t="s">
        <v>48</v>
      </c>
      <c r="G6" s="163"/>
      <c r="H6" s="172" t="s">
        <v>1009</v>
      </c>
      <c r="I6" s="163"/>
      <c r="J6" s="194">
        <v>3645158203.7154975</v>
      </c>
    </row>
    <row r="7" spans="1:10" x14ac:dyDescent="0.2">
      <c r="A7" s="171">
        <f>A6+1</f>
        <v>2</v>
      </c>
      <c r="B7" s="163"/>
      <c r="C7" s="172" t="s">
        <v>49</v>
      </c>
      <c r="D7" s="163"/>
      <c r="E7" s="163"/>
      <c r="F7" s="163" t="s">
        <v>50</v>
      </c>
      <c r="G7" s="163"/>
      <c r="H7" s="172" t="s">
        <v>1010</v>
      </c>
      <c r="I7" s="163"/>
      <c r="J7" s="194">
        <v>144283190.23540646</v>
      </c>
    </row>
    <row r="8" spans="1:10" x14ac:dyDescent="0.2">
      <c r="A8" s="171">
        <f>A7+1</f>
        <v>3</v>
      </c>
      <c r="B8" s="163"/>
      <c r="C8" s="172" t="s">
        <v>51</v>
      </c>
      <c r="D8" s="163"/>
      <c r="E8" s="163"/>
      <c r="F8" s="163" t="s">
        <v>50</v>
      </c>
      <c r="G8" s="163"/>
      <c r="H8" s="163" t="s">
        <v>1013</v>
      </c>
      <c r="I8" s="163"/>
      <c r="J8" s="193">
        <v>9942155</v>
      </c>
    </row>
    <row r="9" spans="1:10" x14ac:dyDescent="0.2">
      <c r="A9" s="171">
        <f>A8+1</f>
        <v>4</v>
      </c>
      <c r="B9" s="163"/>
      <c r="C9" s="172" t="s">
        <v>52</v>
      </c>
      <c r="D9" s="163"/>
      <c r="E9" s="163"/>
      <c r="F9" s="163" t="s">
        <v>50</v>
      </c>
      <c r="G9" s="163"/>
      <c r="H9" s="174" t="s">
        <v>1014</v>
      </c>
      <c r="I9" s="163"/>
      <c r="J9" s="193">
        <v>5514000</v>
      </c>
    </row>
    <row r="10" spans="1:10" x14ac:dyDescent="0.2">
      <c r="A10" s="171"/>
      <c r="B10" s="163"/>
      <c r="C10" s="172"/>
      <c r="D10" s="163"/>
      <c r="E10" s="163"/>
      <c r="F10" s="163"/>
      <c r="G10" s="163"/>
      <c r="H10" s="163"/>
      <c r="I10" s="163"/>
      <c r="J10" s="193"/>
    </row>
    <row r="11" spans="1:10" x14ac:dyDescent="0.2">
      <c r="A11" s="171"/>
      <c r="B11" s="163"/>
      <c r="C11" s="175" t="s">
        <v>53</v>
      </c>
      <c r="D11" s="163"/>
      <c r="E11" s="163"/>
      <c r="F11" s="163"/>
      <c r="G11" s="163"/>
      <c r="H11" s="163"/>
      <c r="I11" s="163"/>
      <c r="J11" s="193"/>
    </row>
    <row r="12" spans="1:10" x14ac:dyDescent="0.2">
      <c r="A12" s="171">
        <f>A9+1</f>
        <v>5</v>
      </c>
      <c r="B12" s="163"/>
      <c r="C12" s="176" t="s">
        <v>54</v>
      </c>
      <c r="D12" s="163"/>
      <c r="E12" s="163"/>
      <c r="F12" s="163" t="s">
        <v>48</v>
      </c>
      <c r="G12" s="163"/>
      <c r="H12" s="172" t="s">
        <v>1015</v>
      </c>
      <c r="I12" s="163"/>
      <c r="J12" s="194">
        <v>11844542.914607141</v>
      </c>
    </row>
    <row r="13" spans="1:10" x14ac:dyDescent="0.2">
      <c r="A13" s="171">
        <f>A12+1</f>
        <v>6</v>
      </c>
      <c r="B13" s="163"/>
      <c r="C13" s="177" t="s">
        <v>55</v>
      </c>
      <c r="D13" s="163"/>
      <c r="E13" s="163"/>
      <c r="F13" s="163" t="s">
        <v>48</v>
      </c>
      <c r="G13" s="163"/>
      <c r="H13" s="172" t="s">
        <v>1016</v>
      </c>
      <c r="I13" s="163"/>
      <c r="J13" s="194">
        <v>1848992.5368815188</v>
      </c>
    </row>
    <row r="14" spans="1:10" x14ac:dyDescent="0.2">
      <c r="A14" s="171">
        <f>A13+1</f>
        <v>7</v>
      </c>
      <c r="B14" s="163"/>
      <c r="C14" s="176" t="s">
        <v>56</v>
      </c>
      <c r="D14" s="163"/>
      <c r="E14" s="163"/>
      <c r="F14" s="174" t="s">
        <v>57</v>
      </c>
      <c r="G14" s="163"/>
      <c r="H14" s="163" t="s">
        <v>1017</v>
      </c>
      <c r="I14" s="163"/>
      <c r="J14" s="298">
        <v>7053801.1254845634</v>
      </c>
    </row>
    <row r="15" spans="1:10" x14ac:dyDescent="0.2">
      <c r="A15" s="171">
        <f>A14+1</f>
        <v>8</v>
      </c>
      <c r="B15" s="163"/>
      <c r="C15" s="176" t="s">
        <v>58</v>
      </c>
      <c r="D15" s="163"/>
      <c r="E15" s="163"/>
      <c r="F15" s="163"/>
      <c r="G15" s="163"/>
      <c r="H15" s="163" t="str">
        <f>"Line "&amp;A12&amp;" + Line "&amp;A13&amp;" + Line "&amp;A14&amp;""</f>
        <v>Line 5 + Line 6 + Line 7</v>
      </c>
      <c r="I15" s="163"/>
      <c r="J15" s="194">
        <f>SUM(J12:J14)</f>
        <v>20747336.576973222</v>
      </c>
    </row>
    <row r="16" spans="1:10" x14ac:dyDescent="0.2">
      <c r="A16" s="171"/>
      <c r="B16" s="163"/>
      <c r="C16" s="176"/>
      <c r="D16" s="163"/>
      <c r="E16" s="163"/>
      <c r="F16" s="163"/>
      <c r="G16" s="163"/>
      <c r="H16" s="163"/>
      <c r="I16" s="163"/>
      <c r="J16" s="193"/>
    </row>
    <row r="17" spans="1:10" x14ac:dyDescent="0.2">
      <c r="A17" s="171"/>
      <c r="B17" s="163"/>
      <c r="C17" s="180" t="s">
        <v>59</v>
      </c>
      <c r="D17" s="163"/>
      <c r="E17" s="163"/>
      <c r="F17" s="163"/>
      <c r="G17" s="163"/>
      <c r="H17" s="163"/>
      <c r="I17" s="163"/>
      <c r="J17" s="193"/>
    </row>
    <row r="18" spans="1:10" x14ac:dyDescent="0.2">
      <c r="A18" s="171">
        <f>A15+1</f>
        <v>9</v>
      </c>
      <c r="B18" s="163"/>
      <c r="C18" s="176" t="s">
        <v>60</v>
      </c>
      <c r="D18" s="163"/>
      <c r="E18" s="163"/>
      <c r="F18" s="163" t="s">
        <v>48</v>
      </c>
      <c r="G18" s="163" t="s">
        <v>61</v>
      </c>
      <c r="H18" s="172" t="s">
        <v>1034</v>
      </c>
      <c r="I18" s="163"/>
      <c r="J18" s="194">
        <v>-1016502760.1686705</v>
      </c>
    </row>
    <row r="19" spans="1:10" x14ac:dyDescent="0.2">
      <c r="A19" s="171">
        <f>A18+1</f>
        <v>10</v>
      </c>
      <c r="B19" s="163"/>
      <c r="C19" s="176" t="s">
        <v>62</v>
      </c>
      <c r="D19" s="163"/>
      <c r="E19" s="163"/>
      <c r="F19" s="163" t="s">
        <v>50</v>
      </c>
      <c r="G19" s="163" t="s">
        <v>61</v>
      </c>
      <c r="H19" s="172" t="s">
        <v>1035</v>
      </c>
      <c r="I19" s="163"/>
      <c r="J19" s="193">
        <v>-1125318.0869653528</v>
      </c>
    </row>
    <row r="20" spans="1:10" x14ac:dyDescent="0.2">
      <c r="A20" s="171">
        <f>A19+1</f>
        <v>11</v>
      </c>
      <c r="B20" s="163"/>
      <c r="C20" s="176" t="s">
        <v>63</v>
      </c>
      <c r="D20" s="48"/>
      <c r="E20" s="163"/>
      <c r="F20" s="163" t="s">
        <v>50</v>
      </c>
      <c r="G20" s="163" t="s">
        <v>61</v>
      </c>
      <c r="H20" s="172" t="s">
        <v>1036</v>
      </c>
      <c r="I20" s="163"/>
      <c r="J20" s="298">
        <v>-52505333.55120784</v>
      </c>
    </row>
    <row r="21" spans="1:10" x14ac:dyDescent="0.2">
      <c r="A21" s="171">
        <f>A20+1</f>
        <v>12</v>
      </c>
      <c r="B21" s="163"/>
      <c r="C21" s="49" t="s">
        <v>64</v>
      </c>
      <c r="D21" s="48"/>
      <c r="E21" s="163"/>
      <c r="F21" s="163"/>
      <c r="G21" s="163"/>
      <c r="H21" s="163" t="str">
        <f>"Line "&amp;A18&amp;" + Line "&amp;A19&amp;" + Line "&amp;A20&amp;""</f>
        <v>Line 9 + Line 10 + Line 11</v>
      </c>
      <c r="I21" s="163"/>
      <c r="J21" s="194">
        <f>SUM(J18:J20)</f>
        <v>-1070133411.8068438</v>
      </c>
    </row>
    <row r="22" spans="1:10" x14ac:dyDescent="0.2">
      <c r="A22" s="171"/>
      <c r="B22" s="163"/>
      <c r="C22" s="174"/>
      <c r="D22" s="163"/>
      <c r="E22" s="163"/>
      <c r="F22" s="163"/>
      <c r="G22" s="163"/>
      <c r="H22" s="163"/>
      <c r="I22" s="163"/>
      <c r="J22" s="193"/>
    </row>
    <row r="23" spans="1:10" x14ac:dyDescent="0.2">
      <c r="A23" s="171">
        <f>A21+1</f>
        <v>13</v>
      </c>
      <c r="B23" s="163"/>
      <c r="C23" s="182" t="s">
        <v>65</v>
      </c>
      <c r="D23" s="163"/>
      <c r="E23" s="163"/>
      <c r="F23" s="163" t="s">
        <v>50</v>
      </c>
      <c r="G23" s="163"/>
      <c r="H23" s="172" t="s">
        <v>1037</v>
      </c>
      <c r="I23" s="163"/>
      <c r="J23" s="194">
        <v>-553211216.6402154</v>
      </c>
    </row>
    <row r="24" spans="1:10" x14ac:dyDescent="0.2">
      <c r="A24" s="171">
        <f>A23+1</f>
        <v>14</v>
      </c>
      <c r="B24" s="163"/>
      <c r="C24" s="172" t="s">
        <v>66</v>
      </c>
      <c r="D24" s="163"/>
      <c r="E24" s="163"/>
      <c r="F24" s="163" t="s">
        <v>48</v>
      </c>
      <c r="G24" s="163"/>
      <c r="H24" s="172" t="s">
        <v>1038</v>
      </c>
      <c r="I24" s="163"/>
      <c r="J24" s="194">
        <v>1414332165.0860105</v>
      </c>
    </row>
    <row r="25" spans="1:10" x14ac:dyDescent="0.2">
      <c r="A25" s="171">
        <f>A24+1</f>
        <v>15</v>
      </c>
      <c r="B25" s="163"/>
      <c r="C25" s="182" t="s">
        <v>67</v>
      </c>
      <c r="D25" s="163"/>
      <c r="E25" s="163"/>
      <c r="F25" s="163" t="s">
        <v>50</v>
      </c>
      <c r="G25" s="163" t="s">
        <v>61</v>
      </c>
      <c r="H25" s="172" t="s">
        <v>1040</v>
      </c>
      <c r="I25" s="163"/>
      <c r="J25" s="193">
        <v>-15595540</v>
      </c>
    </row>
    <row r="26" spans="1:10" x14ac:dyDescent="0.2">
      <c r="A26" s="171" t="s">
        <v>68</v>
      </c>
      <c r="B26" s="163"/>
      <c r="C26" s="172" t="s">
        <v>69</v>
      </c>
      <c r="D26" s="163"/>
      <c r="E26" s="163"/>
      <c r="F26" s="163"/>
      <c r="G26" s="163"/>
      <c r="H26" s="174" t="s">
        <v>1041</v>
      </c>
      <c r="I26" s="163"/>
      <c r="J26" s="194">
        <v>-8110359.993135592</v>
      </c>
    </row>
    <row r="27" spans="1:10" x14ac:dyDescent="0.2">
      <c r="A27" s="171">
        <v>16</v>
      </c>
      <c r="B27" s="163"/>
      <c r="C27" s="182" t="s">
        <v>70</v>
      </c>
      <c r="D27" s="163"/>
      <c r="E27" s="163"/>
      <c r="F27" s="163" t="s">
        <v>50</v>
      </c>
      <c r="G27" s="163"/>
      <c r="H27" s="172" t="s">
        <v>1042</v>
      </c>
      <c r="I27" s="163"/>
      <c r="J27" s="193">
        <v>0</v>
      </c>
    </row>
    <row r="28" spans="1:10" x14ac:dyDescent="0.2">
      <c r="A28" s="171"/>
      <c r="B28" s="163"/>
      <c r="C28" s="182"/>
      <c r="D28" s="163"/>
      <c r="E28" s="163"/>
      <c r="F28" s="163"/>
      <c r="G28" s="163"/>
      <c r="H28" s="163"/>
      <c r="I28" s="163"/>
      <c r="J28" s="192"/>
    </row>
    <row r="29" spans="1:10" x14ac:dyDescent="0.2">
      <c r="A29" s="171">
        <v>17</v>
      </c>
      <c r="B29" s="163"/>
      <c r="C29" s="163" t="s">
        <v>71</v>
      </c>
      <c r="D29" s="163"/>
      <c r="E29" s="163"/>
      <c r="F29" s="163"/>
      <c r="G29" s="163"/>
      <c r="H29" s="163" t="str">
        <f>"L"&amp;A6&amp;"+L"&amp;A7&amp;"+L"&amp;A8&amp;"+L"&amp;A9&amp;"+L"&amp;A15&amp;"+L"&amp;A21&amp;"+"</f>
        <v>L1+L2+L3+L4+L8+L12+</v>
      </c>
      <c r="I29" s="163"/>
      <c r="J29" s="194">
        <f>J6+ J7+J8+J9+J15+J21+J23+J24+J25+J26+J27</f>
        <v>3592926522.1736932</v>
      </c>
    </row>
    <row r="30" spans="1:10" x14ac:dyDescent="0.2">
      <c r="A30" s="171"/>
      <c r="B30" s="163"/>
      <c r="C30" s="163"/>
      <c r="D30" s="163"/>
      <c r="E30" s="163"/>
      <c r="F30" s="163"/>
      <c r="G30" s="163"/>
      <c r="H30" s="163" t="str">
        <f>"L"&amp;A23&amp;"+L"&amp;A24&amp;"+L"&amp;A25&amp;"+L"&amp;A26&amp;"+L"&amp;A27&amp;""</f>
        <v>L13+L14+L15+L15a+L16</v>
      </c>
      <c r="I30" s="163"/>
      <c r="J30" s="193"/>
    </row>
    <row r="31" spans="1:10" x14ac:dyDescent="0.2">
      <c r="A31" s="171"/>
      <c r="B31" s="183" t="s">
        <v>72</v>
      </c>
      <c r="D31" s="163"/>
      <c r="E31" s="163"/>
      <c r="F31" s="163"/>
      <c r="G31" s="163"/>
      <c r="H31" s="163"/>
      <c r="I31" s="163"/>
      <c r="J31" s="193"/>
    </row>
    <row r="32" spans="1:10" x14ac:dyDescent="0.2">
      <c r="A32" s="184" t="s">
        <v>42</v>
      </c>
      <c r="B32" s="163"/>
      <c r="C32" s="183"/>
      <c r="D32" s="163"/>
      <c r="E32" s="163"/>
      <c r="F32" s="163"/>
      <c r="G32" s="163"/>
      <c r="H32" s="163"/>
      <c r="I32" s="163"/>
      <c r="J32" s="193"/>
    </row>
    <row r="33" spans="1:10" x14ac:dyDescent="0.2">
      <c r="A33" s="171">
        <f>A29+1</f>
        <v>18</v>
      </c>
      <c r="B33" s="163"/>
      <c r="C33" s="163" t="s">
        <v>73</v>
      </c>
      <c r="D33" s="163"/>
      <c r="E33" s="163"/>
      <c r="F33" s="163"/>
      <c r="G33" s="174" t="s">
        <v>74</v>
      </c>
      <c r="H33" s="174" t="str">
        <f>"Instruction 1, Line "&amp;B97&amp;""</f>
        <v>Instruction 1, Line j</v>
      </c>
      <c r="I33" s="163"/>
      <c r="J33" s="446">
        <f>E97</f>
        <v>7.4939768533993673E-2</v>
      </c>
    </row>
    <row r="34" spans="1:10" x14ac:dyDescent="0.2">
      <c r="A34" s="166">
        <f>A33+1</f>
        <v>19</v>
      </c>
      <c r="C34" s="174" t="s">
        <v>75</v>
      </c>
      <c r="D34" s="174"/>
      <c r="E34" s="174"/>
      <c r="F34" s="174"/>
      <c r="G34" s="174"/>
      <c r="H34" t="str">
        <f>"Line "&amp;A29&amp;" * Line "&amp;A33&amp;""</f>
        <v>Line 17 * Line 18</v>
      </c>
      <c r="J34" s="299">
        <f>J29*J33</f>
        <v>269253081.93134344</v>
      </c>
    </row>
    <row r="35" spans="1:10" x14ac:dyDescent="0.2">
      <c r="A35" s="166"/>
      <c r="B35" s="168"/>
      <c r="J35" s="192"/>
    </row>
    <row r="36" spans="1:10" x14ac:dyDescent="0.2">
      <c r="A36" s="166"/>
      <c r="B36" s="162" t="s">
        <v>76</v>
      </c>
      <c r="J36" s="192"/>
    </row>
    <row r="37" spans="1:10" x14ac:dyDescent="0.2">
      <c r="A37" s="171"/>
      <c r="B37" s="177"/>
      <c r="C37" s="163"/>
      <c r="D37" s="163"/>
      <c r="E37" s="163"/>
      <c r="F37" s="163"/>
      <c r="G37" s="163"/>
      <c r="H37" s="163"/>
      <c r="I37" s="163"/>
      <c r="J37" s="192"/>
    </row>
    <row r="38" spans="1:10" x14ac:dyDescent="0.2">
      <c r="A38" s="171">
        <f>A34+1</f>
        <v>20</v>
      </c>
      <c r="B38" s="163"/>
      <c r="C38" s="174" t="s">
        <v>77</v>
      </c>
      <c r="D38" s="163"/>
      <c r="E38" s="163"/>
      <c r="F38" s="163"/>
      <c r="G38" s="163"/>
      <c r="H38" s="163"/>
      <c r="I38" s="163"/>
      <c r="J38" s="194">
        <f>(((J29*J42) + J45) *(J43/(1-J43)))+(J44/(1-J43))</f>
        <v>126334544.75072378</v>
      </c>
    </row>
    <row r="39" spans="1:10" x14ac:dyDescent="0.2">
      <c r="A39" s="171"/>
      <c r="B39" s="163"/>
      <c r="C39" s="163"/>
      <c r="D39" s="163"/>
      <c r="E39" s="163"/>
      <c r="F39" s="163"/>
      <c r="G39" s="163"/>
      <c r="H39" s="163"/>
      <c r="I39" s="163"/>
      <c r="J39" s="191"/>
    </row>
    <row r="40" spans="1:10" x14ac:dyDescent="0.2">
      <c r="A40" s="171"/>
      <c r="B40" s="163"/>
      <c r="C40" s="163"/>
      <c r="D40" s="163" t="s">
        <v>78</v>
      </c>
      <c r="E40" s="163"/>
      <c r="F40" s="163"/>
      <c r="G40" s="163"/>
      <c r="H40" s="163"/>
      <c r="I40" s="163"/>
      <c r="J40" s="192"/>
    </row>
    <row r="41" spans="1:10" x14ac:dyDescent="0.2">
      <c r="A41" s="171">
        <f>A38+1</f>
        <v>21</v>
      </c>
      <c r="B41" s="163"/>
      <c r="C41" s="163"/>
      <c r="D41" s="177" t="s">
        <v>79</v>
      </c>
      <c r="E41" s="163"/>
      <c r="F41" s="163"/>
      <c r="G41" s="163"/>
      <c r="H41" s="163" t="str">
        <f>"Line "&amp;A29&amp;""</f>
        <v>Line 17</v>
      </c>
      <c r="I41" s="163"/>
      <c r="J41" s="194">
        <f>J29</f>
        <v>3592926522.1736932</v>
      </c>
    </row>
    <row r="42" spans="1:10" x14ac:dyDescent="0.2">
      <c r="A42" s="171">
        <f>A41+1</f>
        <v>22</v>
      </c>
      <c r="B42" s="163"/>
      <c r="C42" s="163"/>
      <c r="D42" s="176" t="s">
        <v>80</v>
      </c>
      <c r="E42" s="163"/>
      <c r="F42" s="163"/>
      <c r="G42" s="174" t="s">
        <v>81</v>
      </c>
      <c r="H42" s="174" t="str">
        <f>"Instruction 1, Line "&amp;B102&amp;""</f>
        <v>Instruction 1, Line k</v>
      </c>
      <c r="I42" s="163"/>
      <c r="J42" s="300">
        <f>E102</f>
        <v>5.0894444249508348E-2</v>
      </c>
    </row>
    <row r="43" spans="1:10" x14ac:dyDescent="0.2">
      <c r="A43" s="171">
        <f>A42+1</f>
        <v>23</v>
      </c>
      <c r="B43" s="163"/>
      <c r="C43" s="163"/>
      <c r="D43" s="177" t="s">
        <v>82</v>
      </c>
      <c r="E43" s="163"/>
      <c r="F43" s="163"/>
      <c r="G43" s="163"/>
      <c r="H43" s="163" t="s">
        <v>1018</v>
      </c>
      <c r="I43" s="163"/>
      <c r="J43" s="300">
        <v>0.39936028204298801</v>
      </c>
    </row>
    <row r="44" spans="1:10" x14ac:dyDescent="0.2">
      <c r="A44" s="171">
        <f>A43+1</f>
        <v>24</v>
      </c>
      <c r="B44" s="163"/>
      <c r="C44" s="163"/>
      <c r="D44" s="177" t="s">
        <v>83</v>
      </c>
      <c r="E44" s="163"/>
      <c r="F44" s="163"/>
      <c r="G44" s="163"/>
      <c r="H44" s="163" t="s">
        <v>1019</v>
      </c>
      <c r="I44" s="163"/>
      <c r="J44" s="193">
        <v>2086200</v>
      </c>
    </row>
    <row r="45" spans="1:10" x14ac:dyDescent="0.2">
      <c r="A45" s="171">
        <f>A44+1</f>
        <v>25</v>
      </c>
      <c r="B45" s="163"/>
      <c r="C45" s="163"/>
      <c r="D45" s="177" t="s">
        <v>84</v>
      </c>
      <c r="E45" s="163"/>
      <c r="F45" s="163"/>
      <c r="G45" s="163"/>
      <c r="H45" s="163" t="s">
        <v>1020</v>
      </c>
      <c r="I45" s="163"/>
      <c r="J45" s="301">
        <v>1923888.67</v>
      </c>
    </row>
    <row r="46" spans="1:10" x14ac:dyDescent="0.2">
      <c r="A46" s="171"/>
      <c r="B46" s="177"/>
      <c r="C46" s="163"/>
      <c r="D46" s="163"/>
      <c r="E46" s="163"/>
      <c r="F46" s="163"/>
      <c r="G46" s="163"/>
      <c r="H46" s="163"/>
      <c r="I46" s="163"/>
      <c r="J46" s="192"/>
    </row>
    <row r="47" spans="1:10" x14ac:dyDescent="0.2">
      <c r="A47" s="171"/>
      <c r="B47" s="183" t="s">
        <v>85</v>
      </c>
      <c r="D47" s="163"/>
      <c r="E47" s="163"/>
      <c r="F47" s="163"/>
      <c r="G47" s="163"/>
      <c r="H47" s="163"/>
      <c r="I47" s="163"/>
      <c r="J47" s="192"/>
    </row>
    <row r="48" spans="1:10" x14ac:dyDescent="0.2">
      <c r="A48" s="171">
        <f>A45+1</f>
        <v>26</v>
      </c>
      <c r="B48" s="177"/>
      <c r="C48" s="163" t="s">
        <v>86</v>
      </c>
      <c r="D48" s="163"/>
      <c r="E48" s="163"/>
      <c r="F48" s="163"/>
      <c r="G48" s="163"/>
      <c r="H48" s="163" t="s">
        <v>1021</v>
      </c>
      <c r="I48" s="163"/>
      <c r="J48" s="194">
        <v>79293871.968712866</v>
      </c>
    </row>
    <row r="49" spans="1:10" x14ac:dyDescent="0.2">
      <c r="A49" s="171">
        <f t="shared" ref="A49:A59" si="0">A48+1</f>
        <v>27</v>
      </c>
      <c r="B49" s="177"/>
      <c r="C49" s="174" t="s">
        <v>87</v>
      </c>
      <c r="D49" s="163"/>
      <c r="E49" s="163"/>
      <c r="F49" s="163"/>
      <c r="G49" s="163"/>
      <c r="H49" s="163" t="s">
        <v>1022</v>
      </c>
      <c r="I49" s="163"/>
      <c r="J49" s="194">
        <v>33566946.039040156</v>
      </c>
    </row>
    <row r="50" spans="1:10" x14ac:dyDescent="0.2">
      <c r="A50" s="171">
        <f t="shared" si="0"/>
        <v>28</v>
      </c>
      <c r="B50" s="177"/>
      <c r="C50" s="163" t="s">
        <v>88</v>
      </c>
      <c r="D50" s="163"/>
      <c r="E50" s="163"/>
      <c r="F50" s="163"/>
      <c r="G50" s="163"/>
      <c r="H50" s="163" t="s">
        <v>1023</v>
      </c>
      <c r="I50" s="163"/>
      <c r="J50" s="193">
        <v>617891</v>
      </c>
    </row>
    <row r="51" spans="1:10" x14ac:dyDescent="0.2">
      <c r="A51" s="171">
        <f t="shared" si="0"/>
        <v>29</v>
      </c>
      <c r="B51" s="177"/>
      <c r="C51" s="174" t="s">
        <v>89</v>
      </c>
      <c r="D51" s="163"/>
      <c r="E51" s="163"/>
      <c r="F51" s="163"/>
      <c r="G51" s="163"/>
      <c r="H51" s="163" t="s">
        <v>1024</v>
      </c>
      <c r="I51" s="163"/>
      <c r="J51" s="194">
        <v>104154115.66586339</v>
      </c>
    </row>
    <row r="52" spans="1:10" x14ac:dyDescent="0.2">
      <c r="A52" s="171">
        <f t="shared" si="0"/>
        <v>30</v>
      </c>
      <c r="B52" s="177"/>
      <c r="C52" s="174" t="s">
        <v>90</v>
      </c>
      <c r="D52" s="163"/>
      <c r="E52" s="163"/>
      <c r="F52" s="163"/>
      <c r="G52" s="163"/>
      <c r="H52" s="163" t="s">
        <v>1025</v>
      </c>
      <c r="I52" s="163"/>
      <c r="J52" s="193">
        <v>11028000</v>
      </c>
    </row>
    <row r="53" spans="1:10" x14ac:dyDescent="0.2">
      <c r="A53" s="171">
        <f t="shared" si="0"/>
        <v>31</v>
      </c>
      <c r="B53" s="177"/>
      <c r="C53" s="174" t="s">
        <v>91</v>
      </c>
      <c r="D53" s="163"/>
      <c r="E53" s="163"/>
      <c r="F53" s="163"/>
      <c r="G53" s="163"/>
      <c r="H53" s="163" t="s">
        <v>1026</v>
      </c>
      <c r="I53" s="163"/>
      <c r="J53" s="194">
        <v>25259485.202809352</v>
      </c>
    </row>
    <row r="54" spans="1:10" x14ac:dyDescent="0.2">
      <c r="A54" s="171">
        <f t="shared" si="0"/>
        <v>32</v>
      </c>
      <c r="B54" s="177"/>
      <c r="C54" s="163" t="s">
        <v>92</v>
      </c>
      <c r="D54" s="163"/>
      <c r="E54" s="163"/>
      <c r="F54" s="163"/>
      <c r="G54" s="174"/>
      <c r="H54" s="163" t="s">
        <v>1027</v>
      </c>
      <c r="I54" s="163"/>
      <c r="J54" s="193">
        <v>-49681901.698689714</v>
      </c>
    </row>
    <row r="55" spans="1:10" x14ac:dyDescent="0.2">
      <c r="A55" s="171">
        <f t="shared" si="0"/>
        <v>33</v>
      </c>
      <c r="B55" s="177"/>
      <c r="C55" s="163" t="s">
        <v>93</v>
      </c>
      <c r="D55" s="163"/>
      <c r="E55" s="163"/>
      <c r="F55" s="163"/>
      <c r="G55" s="163"/>
      <c r="H55" s="163" t="str">
        <f>"Line "&amp;A34&amp;""</f>
        <v>Line 19</v>
      </c>
      <c r="I55" s="163"/>
      <c r="J55" s="194">
        <f>J34</f>
        <v>269253081.93134344</v>
      </c>
    </row>
    <row r="56" spans="1:10" x14ac:dyDescent="0.2">
      <c r="A56" s="171">
        <f t="shared" si="0"/>
        <v>34</v>
      </c>
      <c r="B56" s="177"/>
      <c r="C56" s="163" t="s">
        <v>94</v>
      </c>
      <c r="D56" s="163"/>
      <c r="E56" s="163"/>
      <c r="F56" s="163"/>
      <c r="G56" s="163"/>
      <c r="H56" s="163" t="str">
        <f>"Line "&amp;A38&amp;""</f>
        <v>Line 20</v>
      </c>
      <c r="I56" s="163"/>
      <c r="J56" s="299">
        <f>J38</f>
        <v>126334544.75072378</v>
      </c>
    </row>
    <row r="57" spans="1:10" x14ac:dyDescent="0.2">
      <c r="A57" s="171">
        <f t="shared" si="0"/>
        <v>35</v>
      </c>
      <c r="B57" s="177"/>
      <c r="C57" s="174" t="s">
        <v>95</v>
      </c>
      <c r="D57" s="163"/>
      <c r="E57" s="163"/>
      <c r="F57" s="163"/>
      <c r="G57" s="163"/>
      <c r="H57" s="163" t="s">
        <v>1028</v>
      </c>
      <c r="I57" s="163"/>
      <c r="J57" s="301">
        <v>0</v>
      </c>
    </row>
    <row r="58" spans="1:10" x14ac:dyDescent="0.2">
      <c r="A58" s="171">
        <f t="shared" si="0"/>
        <v>36</v>
      </c>
      <c r="B58" s="177"/>
      <c r="C58" s="50" t="s">
        <v>96</v>
      </c>
      <c r="D58" s="51"/>
      <c r="E58" s="163"/>
      <c r="F58" s="163"/>
      <c r="G58" s="163"/>
      <c r="H58" s="163" t="s">
        <v>1029</v>
      </c>
      <c r="I58" s="163"/>
      <c r="J58" s="302">
        <v>0</v>
      </c>
    </row>
    <row r="59" spans="1:10" x14ac:dyDescent="0.2">
      <c r="A59" s="171">
        <f t="shared" si="0"/>
        <v>37</v>
      </c>
      <c r="B59" s="177"/>
      <c r="C59" s="174" t="s">
        <v>97</v>
      </c>
      <c r="D59" s="163"/>
      <c r="E59" s="163"/>
      <c r="F59" s="163"/>
      <c r="G59" s="163"/>
      <c r="H59" s="163" t="str">
        <f>"Sum Line "&amp;A48&amp;" to Line "&amp;A58&amp;""</f>
        <v>Sum Line 26 to Line 36</v>
      </c>
      <c r="I59" s="163"/>
      <c r="J59" s="194">
        <f>SUM(J48:J58)</f>
        <v>599826034.8598032</v>
      </c>
    </row>
    <row r="60" spans="1:10" x14ac:dyDescent="0.2">
      <c r="A60" s="171"/>
      <c r="B60" s="177"/>
      <c r="C60" s="163"/>
      <c r="D60" s="163"/>
      <c r="E60" s="163"/>
      <c r="F60" s="163"/>
      <c r="G60" s="163"/>
      <c r="H60" s="163"/>
      <c r="I60" s="163"/>
      <c r="J60" s="193"/>
    </row>
    <row r="61" spans="1:10" ht="12.75" customHeight="1" x14ac:dyDescent="0.2">
      <c r="A61" s="171">
        <f>A59+1</f>
        <v>38</v>
      </c>
      <c r="B61" s="177"/>
      <c r="C61" s="174" t="s">
        <v>98</v>
      </c>
      <c r="D61" s="163"/>
      <c r="E61" s="163"/>
      <c r="F61" s="163"/>
      <c r="G61" s="163"/>
      <c r="H61" s="163" t="s">
        <v>1044</v>
      </c>
      <c r="I61" s="163"/>
      <c r="J61" s="194">
        <v>19216647.449030999</v>
      </c>
    </row>
    <row r="62" spans="1:10" x14ac:dyDescent="0.2">
      <c r="A62" s="171"/>
      <c r="B62" s="177"/>
      <c r="C62" s="174"/>
      <c r="D62" s="163"/>
      <c r="E62" s="163"/>
      <c r="F62" s="163"/>
      <c r="G62" s="163"/>
      <c r="H62" s="163"/>
      <c r="I62" s="163"/>
      <c r="J62" s="193"/>
    </row>
    <row r="63" spans="1:10" x14ac:dyDescent="0.2">
      <c r="A63" s="171">
        <f>A61+1</f>
        <v>39</v>
      </c>
      <c r="B63" s="177"/>
      <c r="C63" s="174" t="s">
        <v>99</v>
      </c>
      <c r="D63" s="163"/>
      <c r="E63" s="163"/>
      <c r="F63" s="163"/>
      <c r="G63" s="163"/>
      <c r="H63" s="163" t="str">
        <f>"Line "&amp;A59&amp;" + Line "&amp;A61&amp;""</f>
        <v>Line 37 + Line 38</v>
      </c>
      <c r="I63" s="163"/>
      <c r="J63" s="194">
        <f>J59+J61</f>
        <v>619042682.3088342</v>
      </c>
    </row>
    <row r="64" spans="1:10" x14ac:dyDescent="0.2">
      <c r="A64" s="171"/>
      <c r="B64" s="177"/>
      <c r="C64" s="174"/>
      <c r="D64" s="163"/>
      <c r="E64" s="163"/>
      <c r="F64" s="163"/>
      <c r="G64" s="163"/>
      <c r="H64" s="163"/>
      <c r="I64" s="163"/>
      <c r="J64" s="173"/>
    </row>
    <row r="65" spans="1:12" x14ac:dyDescent="0.2">
      <c r="A65" s="171"/>
      <c r="B65" s="195" t="s">
        <v>100</v>
      </c>
      <c r="C65" s="174"/>
      <c r="D65" s="163"/>
      <c r="E65" s="163"/>
      <c r="F65" s="163"/>
      <c r="G65" s="163"/>
      <c r="H65" s="163"/>
      <c r="I65" s="163"/>
      <c r="J65" s="173"/>
    </row>
    <row r="66" spans="1:12" ht="13.5" thickBot="1" x14ac:dyDescent="0.25">
      <c r="A66" s="167" t="s">
        <v>42</v>
      </c>
      <c r="B66" s="196"/>
      <c r="G66" s="169" t="s">
        <v>101</v>
      </c>
    </row>
    <row r="67" spans="1:12" x14ac:dyDescent="0.2">
      <c r="A67" s="171">
        <f>A63+1</f>
        <v>40</v>
      </c>
      <c r="B67" s="182"/>
      <c r="C67" s="163"/>
      <c r="D67" s="197" t="s">
        <v>102</v>
      </c>
      <c r="E67" s="194">
        <f>J63</f>
        <v>619042682.3088342</v>
      </c>
      <c r="F67" s="163"/>
      <c r="G67" s="163" t="str">
        <f>"Line "&amp;A63&amp;""</f>
        <v>Line 39</v>
      </c>
      <c r="H67" s="163"/>
      <c r="I67" s="163"/>
      <c r="J67" s="198" t="s">
        <v>103</v>
      </c>
    </row>
    <row r="68" spans="1:12" x14ac:dyDescent="0.2">
      <c r="A68" s="171">
        <f>A67+1</f>
        <v>41</v>
      </c>
      <c r="B68" s="182"/>
      <c r="C68" s="163"/>
      <c r="D68" s="197" t="s">
        <v>104</v>
      </c>
      <c r="E68" s="303">
        <v>9.1427999999999995E-3</v>
      </c>
      <c r="F68" s="163"/>
      <c r="G68" s="163" t="s">
        <v>1045</v>
      </c>
      <c r="H68" s="163"/>
      <c r="I68" s="163"/>
      <c r="J68" s="200" t="s">
        <v>302</v>
      </c>
    </row>
    <row r="69" spans="1:12" x14ac:dyDescent="0.2">
      <c r="A69" s="171">
        <f>A68+1</f>
        <v>42</v>
      </c>
      <c r="B69" s="182"/>
      <c r="C69" s="163"/>
      <c r="D69" s="202" t="s">
        <v>105</v>
      </c>
      <c r="E69" s="194">
        <v>5659783.435813209</v>
      </c>
      <c r="F69" s="163"/>
      <c r="G69" s="163" t="str">
        <f>"Line "&amp;A67&amp;" * Line "&amp;A68&amp;""</f>
        <v>Line 40 * Line 41</v>
      </c>
      <c r="H69" s="163"/>
      <c r="I69" s="163"/>
      <c r="J69" s="203">
        <f>E72</f>
        <v>625974103.22264624</v>
      </c>
      <c r="L69" s="70"/>
    </row>
    <row r="70" spans="1:12" x14ac:dyDescent="0.2">
      <c r="A70" s="171">
        <f>A69+1</f>
        <v>43</v>
      </c>
      <c r="B70" s="182"/>
      <c r="C70" s="163"/>
      <c r="D70" s="197" t="s">
        <v>106</v>
      </c>
      <c r="E70" s="303">
        <v>2.0541999999999999E-3</v>
      </c>
      <c r="F70" s="163"/>
      <c r="G70" s="163" t="s">
        <v>1045</v>
      </c>
      <c r="H70" s="163"/>
      <c r="I70" s="163"/>
      <c r="J70" s="204">
        <v>626292551.54439044</v>
      </c>
    </row>
    <row r="71" spans="1:12" ht="13.5" thickBot="1" x14ac:dyDescent="0.25">
      <c r="A71" s="171">
        <f>A70+1</f>
        <v>44</v>
      </c>
      <c r="B71" s="182"/>
      <c r="C71" s="163"/>
      <c r="D71" s="197" t="s">
        <v>107</v>
      </c>
      <c r="E71" s="194">
        <v>1271637.4779988071</v>
      </c>
      <c r="F71" s="163"/>
      <c r="G71" s="163" t="str">
        <f>"Line "&amp;A69&amp;" * Line "&amp;A70&amp;""</f>
        <v>Line 42 * Line 43</v>
      </c>
      <c r="H71" s="163"/>
      <c r="I71" s="192"/>
      <c r="J71" s="205">
        <f>J69-J70</f>
        <v>-318448.32174420357</v>
      </c>
    </row>
    <row r="72" spans="1:12" x14ac:dyDescent="0.2">
      <c r="A72" s="171">
        <f>A71+1</f>
        <v>45</v>
      </c>
      <c r="B72" s="182"/>
      <c r="C72" s="163"/>
      <c r="D72" s="197" t="s">
        <v>108</v>
      </c>
      <c r="E72" s="194">
        <f>E67+E69+E71</f>
        <v>625974103.22264624</v>
      </c>
      <c r="F72" s="163"/>
      <c r="G72" s="163" t="str">
        <f>"L "&amp;A67&amp;" + L "&amp;A69&amp;" + L "&amp;A71&amp;""</f>
        <v>L 40 + L 42 + L 44</v>
      </c>
      <c r="H72" s="163"/>
      <c r="I72" s="163"/>
      <c r="J72" s="163"/>
    </row>
    <row r="73" spans="1:12" x14ac:dyDescent="0.2">
      <c r="A73" s="163"/>
      <c r="B73" s="206" t="s">
        <v>109</v>
      </c>
      <c r="C73" s="163"/>
      <c r="D73" s="202"/>
      <c r="E73" s="173"/>
      <c r="F73" s="163"/>
      <c r="G73" s="163"/>
      <c r="H73" s="52"/>
      <c r="I73" s="163"/>
      <c r="J73" s="163"/>
    </row>
    <row r="74" spans="1:12" x14ac:dyDescent="0.2">
      <c r="A74" s="171"/>
      <c r="B74" s="174" t="s">
        <v>110</v>
      </c>
      <c r="C74" s="195"/>
      <c r="D74" s="202"/>
      <c r="E74" s="173"/>
      <c r="F74" s="163"/>
      <c r="G74" s="163"/>
      <c r="H74" s="163"/>
      <c r="I74" s="163"/>
      <c r="J74" s="163"/>
    </row>
    <row r="75" spans="1:12" x14ac:dyDescent="0.2">
      <c r="A75" s="171"/>
      <c r="B75" s="174" t="s">
        <v>111</v>
      </c>
      <c r="C75" s="195"/>
      <c r="D75" s="202"/>
      <c r="E75" s="173"/>
      <c r="F75" s="163"/>
      <c r="G75" s="163"/>
      <c r="H75" s="163"/>
      <c r="I75" s="163"/>
      <c r="J75" s="163"/>
    </row>
    <row r="76" spans="1:12" x14ac:dyDescent="0.2">
      <c r="A76" s="171"/>
      <c r="B76" s="172" t="s">
        <v>112</v>
      </c>
      <c r="C76" s="174"/>
      <c r="D76" s="202"/>
      <c r="E76" s="173"/>
      <c r="F76" s="163"/>
      <c r="G76" s="163"/>
      <c r="H76" s="163"/>
      <c r="I76" s="163"/>
      <c r="J76" s="163"/>
    </row>
    <row r="77" spans="1:12" x14ac:dyDescent="0.2">
      <c r="A77" s="171"/>
      <c r="B77" s="172" t="s">
        <v>113</v>
      </c>
      <c r="C77" s="163"/>
      <c r="D77" s="202"/>
      <c r="E77" s="173"/>
      <c r="F77" s="163"/>
      <c r="G77" s="163"/>
      <c r="H77" s="163"/>
      <c r="I77" s="163"/>
      <c r="J77" s="163"/>
    </row>
    <row r="78" spans="1:12" x14ac:dyDescent="0.2">
      <c r="A78" s="171"/>
      <c r="B78" s="163"/>
      <c r="C78" s="163"/>
      <c r="D78" s="163"/>
      <c r="E78" s="163"/>
      <c r="F78" s="163"/>
      <c r="G78" s="163"/>
      <c r="H78" s="163"/>
      <c r="I78" s="163"/>
      <c r="J78" s="163"/>
    </row>
    <row r="79" spans="1:12" x14ac:dyDescent="0.2">
      <c r="A79" s="171"/>
      <c r="B79" s="174" t="s">
        <v>114</v>
      </c>
      <c r="C79" s="163"/>
      <c r="D79" s="163"/>
      <c r="E79" s="163"/>
      <c r="F79" s="163"/>
      <c r="G79" s="163"/>
      <c r="H79" s="163"/>
      <c r="I79" s="163"/>
      <c r="J79" s="163"/>
    </row>
    <row r="80" spans="1:12" x14ac:dyDescent="0.2">
      <c r="A80" s="171"/>
      <c r="B80" s="174"/>
      <c r="C80" s="174" t="s">
        <v>115</v>
      </c>
      <c r="D80" s="163"/>
      <c r="E80" s="163"/>
      <c r="F80" s="163"/>
      <c r="G80" s="163"/>
      <c r="H80" s="163"/>
      <c r="I80" s="163"/>
      <c r="J80" s="163"/>
    </row>
    <row r="81" spans="1:12" x14ac:dyDescent="0.2">
      <c r="A81" s="171"/>
      <c r="B81" s="174"/>
      <c r="C81" s="163"/>
      <c r="D81" s="163"/>
      <c r="E81" s="163"/>
      <c r="F81" s="163"/>
      <c r="G81" s="163"/>
      <c r="H81" s="163"/>
      <c r="I81" s="163"/>
      <c r="J81" s="171" t="s">
        <v>116</v>
      </c>
    </row>
    <row r="82" spans="1:12" x14ac:dyDescent="0.2">
      <c r="A82" s="171"/>
      <c r="B82" s="163"/>
      <c r="C82" s="163"/>
      <c r="D82" s="163"/>
      <c r="E82" s="207" t="s">
        <v>117</v>
      </c>
      <c r="F82" s="208" t="s">
        <v>101</v>
      </c>
      <c r="G82" s="207" t="s">
        <v>118</v>
      </c>
      <c r="H82" s="207" t="s">
        <v>119</v>
      </c>
      <c r="I82" s="163"/>
      <c r="J82" s="207" t="s">
        <v>120</v>
      </c>
    </row>
    <row r="83" spans="1:12" x14ac:dyDescent="0.2">
      <c r="B83" s="209" t="s">
        <v>121</v>
      </c>
      <c r="C83" s="174" t="s">
        <v>122</v>
      </c>
      <c r="D83" s="163"/>
      <c r="E83" s="210">
        <v>9.8000000000000004E-2</v>
      </c>
      <c r="F83" s="163" t="s">
        <v>1030</v>
      </c>
      <c r="G83" s="211" t="s">
        <v>303</v>
      </c>
      <c r="H83" s="212" t="s">
        <v>304</v>
      </c>
      <c r="I83" s="174"/>
      <c r="J83" s="213">
        <v>366</v>
      </c>
      <c r="K83" s="174"/>
      <c r="L83" s="174"/>
    </row>
    <row r="84" spans="1:12" x14ac:dyDescent="0.2">
      <c r="B84" s="209" t="s">
        <v>123</v>
      </c>
      <c r="C84" s="174" t="s">
        <v>124</v>
      </c>
      <c r="D84" s="163"/>
      <c r="E84" s="214">
        <v>9.8000000000000004E-2</v>
      </c>
      <c r="F84" s="215" t="s">
        <v>125</v>
      </c>
      <c r="G84" s="212" t="s">
        <v>126</v>
      </c>
      <c r="H84" s="212" t="s">
        <v>126</v>
      </c>
      <c r="I84" s="174"/>
      <c r="J84" s="213">
        <v>0</v>
      </c>
      <c r="K84" s="174"/>
      <c r="L84" s="174"/>
    </row>
    <row r="85" spans="1:12" x14ac:dyDescent="0.2">
      <c r="B85" s="209" t="s">
        <v>127</v>
      </c>
      <c r="C85" s="174"/>
      <c r="D85" s="163"/>
      <c r="E85" s="216"/>
      <c r="F85" s="215"/>
      <c r="G85" s="217"/>
      <c r="H85" s="217"/>
      <c r="I85" s="197" t="s">
        <v>128</v>
      </c>
      <c r="J85" s="174">
        <f>SUM(J83:J84)</f>
        <v>366</v>
      </c>
      <c r="K85" s="174"/>
      <c r="L85" s="174"/>
    </row>
    <row r="86" spans="1:12" x14ac:dyDescent="0.2">
      <c r="A86" s="163"/>
      <c r="B86" s="209" t="s">
        <v>129</v>
      </c>
      <c r="C86" s="174" t="s">
        <v>130</v>
      </c>
      <c r="D86" s="163"/>
      <c r="E86" s="210">
        <f>((E83*J83) + (E84* J84)) / J85</f>
        <v>9.8000000000000004E-2</v>
      </c>
      <c r="F86" s="174" t="s">
        <v>131</v>
      </c>
      <c r="G86" s="163"/>
      <c r="H86" s="174"/>
      <c r="I86" s="174"/>
      <c r="J86" s="174"/>
      <c r="K86" s="174"/>
      <c r="L86" s="174"/>
    </row>
    <row r="87" spans="1:12" x14ac:dyDescent="0.2">
      <c r="A87" s="171"/>
      <c r="B87" s="174"/>
      <c r="C87" s="163"/>
      <c r="D87" s="163"/>
      <c r="E87" s="163"/>
      <c r="F87" s="163"/>
      <c r="G87" s="163"/>
      <c r="H87" s="174"/>
      <c r="I87" s="174"/>
      <c r="J87" s="174"/>
      <c r="K87" s="174"/>
      <c r="L87" s="174"/>
    </row>
    <row r="88" spans="1:12" x14ac:dyDescent="0.2">
      <c r="A88" s="171"/>
      <c r="B88" s="174" t="s">
        <v>132</v>
      </c>
      <c r="C88" s="163"/>
      <c r="D88" s="163"/>
      <c r="E88" s="163"/>
      <c r="F88" s="163"/>
      <c r="G88" s="163"/>
      <c r="H88" s="174"/>
      <c r="I88" s="174"/>
      <c r="J88" s="174"/>
      <c r="K88" s="174"/>
      <c r="L88" s="174"/>
    </row>
    <row r="89" spans="1:12" x14ac:dyDescent="0.2">
      <c r="A89" s="171"/>
      <c r="B89" s="174"/>
      <c r="C89" s="163"/>
      <c r="D89" s="163"/>
      <c r="E89" s="208" t="s">
        <v>101</v>
      </c>
      <c r="F89" s="163"/>
      <c r="G89" s="163"/>
      <c r="H89" s="174"/>
      <c r="I89" s="174"/>
      <c r="J89" s="174"/>
      <c r="K89" s="174"/>
      <c r="L89" s="174"/>
    </row>
    <row r="90" spans="1:12" x14ac:dyDescent="0.2">
      <c r="A90" s="163"/>
      <c r="B90" s="209" t="s">
        <v>133</v>
      </c>
      <c r="C90" s="174" t="s">
        <v>134</v>
      </c>
      <c r="D90" s="163"/>
      <c r="E90" s="218" t="s">
        <v>135</v>
      </c>
      <c r="F90" s="218"/>
      <c r="G90" s="218"/>
      <c r="H90" s="213"/>
      <c r="I90" s="213"/>
      <c r="J90" s="213"/>
      <c r="K90" s="174"/>
      <c r="L90" s="174"/>
    </row>
    <row r="91" spans="1:12" x14ac:dyDescent="0.2">
      <c r="B91" s="209" t="s">
        <v>136</v>
      </c>
      <c r="C91" s="174" t="s">
        <v>137</v>
      </c>
      <c r="D91" s="163"/>
      <c r="E91" s="218" t="s">
        <v>135</v>
      </c>
      <c r="F91" s="218"/>
      <c r="G91" s="218"/>
      <c r="H91" s="213"/>
      <c r="I91" s="213"/>
      <c r="J91" s="213"/>
      <c r="K91" s="174"/>
      <c r="L91" s="174"/>
    </row>
    <row r="92" spans="1:12" x14ac:dyDescent="0.2">
      <c r="B92" s="163"/>
      <c r="C92" s="174"/>
      <c r="D92" s="163"/>
      <c r="E92" s="217"/>
      <c r="F92" s="163"/>
      <c r="G92" s="163"/>
      <c r="H92" s="163"/>
      <c r="I92" s="174"/>
      <c r="J92" s="174"/>
      <c r="K92" s="174"/>
      <c r="L92" s="174"/>
    </row>
    <row r="93" spans="1:12" x14ac:dyDescent="0.2">
      <c r="B93" s="163"/>
      <c r="C93" s="163"/>
      <c r="D93" s="163"/>
      <c r="E93" s="207" t="s">
        <v>117</v>
      </c>
      <c r="F93" s="208" t="s">
        <v>101</v>
      </c>
      <c r="G93" s="163"/>
      <c r="H93" s="174"/>
      <c r="I93" s="174"/>
      <c r="J93" s="163"/>
    </row>
    <row r="94" spans="1:12" x14ac:dyDescent="0.2">
      <c r="B94" s="209" t="s">
        <v>138</v>
      </c>
      <c r="C94" s="174" t="s">
        <v>139</v>
      </c>
      <c r="D94" s="174"/>
      <c r="E94" s="187">
        <v>2.4045324284485321E-2</v>
      </c>
      <c r="F94" s="163" t="s">
        <v>1031</v>
      </c>
      <c r="G94" s="163"/>
      <c r="H94" s="174"/>
      <c r="I94" s="174"/>
      <c r="J94" s="163"/>
    </row>
    <row r="95" spans="1:12" x14ac:dyDescent="0.2">
      <c r="B95" s="209" t="s">
        <v>140</v>
      </c>
      <c r="C95" s="174" t="s">
        <v>141</v>
      </c>
      <c r="D95" s="163"/>
      <c r="E95" s="187">
        <v>4.728922057773889E-3</v>
      </c>
      <c r="F95" s="163" t="s">
        <v>1032</v>
      </c>
      <c r="G95" s="163"/>
      <c r="H95" s="174"/>
      <c r="I95" s="174"/>
      <c r="J95" s="163"/>
    </row>
    <row r="96" spans="1:12" x14ac:dyDescent="0.2">
      <c r="B96" s="209" t="s">
        <v>142</v>
      </c>
      <c r="C96" s="174" t="s">
        <v>143</v>
      </c>
      <c r="D96" s="163"/>
      <c r="E96" s="447">
        <v>4.6165522191734462E-2</v>
      </c>
      <c r="F96" s="163" t="s">
        <v>1033</v>
      </c>
      <c r="G96" s="174"/>
      <c r="H96" s="174"/>
      <c r="I96" s="163"/>
      <c r="J96" s="163"/>
    </row>
    <row r="97" spans="1:10" x14ac:dyDescent="0.2">
      <c r="A97" s="163"/>
      <c r="B97" s="171" t="s">
        <v>144</v>
      </c>
      <c r="C97" s="176" t="s">
        <v>73</v>
      </c>
      <c r="D97" s="163"/>
      <c r="E97" s="448">
        <f>SUM(E94:E96)</f>
        <v>7.4939768533993673E-2</v>
      </c>
      <c r="F97" s="173" t="str">
        <f>"Sum of Lines "&amp;B91&amp;" to "&amp;B95&amp;""</f>
        <v>Sum of Lines f to h</v>
      </c>
      <c r="G97" s="219"/>
      <c r="H97" s="163"/>
      <c r="I97" s="163"/>
      <c r="J97" s="220"/>
    </row>
    <row r="98" spans="1:10" x14ac:dyDescent="0.2">
      <c r="A98" s="171"/>
      <c r="B98" s="163"/>
      <c r="C98" s="53"/>
      <c r="D98" s="54"/>
      <c r="E98" s="173"/>
      <c r="F98" s="173"/>
      <c r="G98" s="219"/>
      <c r="H98" s="173"/>
      <c r="I98" s="163"/>
      <c r="J98" s="220"/>
    </row>
    <row r="99" spans="1:10" x14ac:dyDescent="0.2">
      <c r="A99" s="171"/>
      <c r="B99" s="174" t="s">
        <v>145</v>
      </c>
      <c r="C99" s="163"/>
      <c r="D99" s="163"/>
      <c r="E99" s="163"/>
      <c r="F99" s="163"/>
      <c r="G99" s="163"/>
      <c r="H99" s="163"/>
      <c r="I99" s="163"/>
      <c r="J99" s="163"/>
    </row>
    <row r="100" spans="1:10" x14ac:dyDescent="0.2">
      <c r="A100" s="171"/>
      <c r="B100" s="163"/>
      <c r="C100" s="163"/>
      <c r="D100" s="163"/>
      <c r="E100" s="163"/>
      <c r="F100" s="163"/>
      <c r="G100" s="163"/>
      <c r="H100" s="163"/>
      <c r="I100" s="163"/>
      <c r="J100" s="163"/>
    </row>
    <row r="101" spans="1:10" x14ac:dyDescent="0.2">
      <c r="A101" s="171"/>
      <c r="B101" s="163"/>
      <c r="C101" s="163"/>
      <c r="D101" s="163"/>
      <c r="E101" s="207" t="s">
        <v>117</v>
      </c>
      <c r="F101" s="208" t="s">
        <v>101</v>
      </c>
      <c r="G101" s="163"/>
      <c r="H101" s="163"/>
      <c r="I101" s="163"/>
      <c r="J101" s="163"/>
    </row>
    <row r="102" spans="1:10" x14ac:dyDescent="0.2">
      <c r="A102" s="163"/>
      <c r="B102" s="209" t="s">
        <v>146</v>
      </c>
      <c r="C102" s="163"/>
      <c r="D102" s="163"/>
      <c r="E102" s="187">
        <f>E95+E96</f>
        <v>5.0894444249508348E-2</v>
      </c>
      <c r="F102" s="173" t="str">
        <f>"Sum of Lines "&amp;B94&amp;" to "&amp;B95&amp;""</f>
        <v>Sum of Lines g to h</v>
      </c>
      <c r="G102" s="163"/>
      <c r="H102" s="163"/>
      <c r="I102" s="163"/>
      <c r="J102" s="163"/>
    </row>
    <row r="103" spans="1:10" x14ac:dyDescent="0.2">
      <c r="A103" s="171"/>
      <c r="B103" s="163"/>
      <c r="C103" s="163"/>
      <c r="D103" s="163"/>
      <c r="E103" s="187"/>
      <c r="F103" s="173"/>
      <c r="G103" s="163"/>
      <c r="H103" s="163"/>
      <c r="I103" s="163"/>
      <c r="J103" s="163"/>
    </row>
    <row r="104" spans="1:10" x14ac:dyDescent="0.2">
      <c r="A104" s="171"/>
      <c r="B104" s="172" t="s">
        <v>147</v>
      </c>
      <c r="C104" s="163"/>
      <c r="D104" s="163"/>
      <c r="E104" s="219"/>
      <c r="F104" s="219"/>
      <c r="G104" s="219"/>
      <c r="H104" s="173"/>
      <c r="I104" s="163"/>
      <c r="J104" s="163"/>
    </row>
    <row r="105" spans="1:10" x14ac:dyDescent="0.2">
      <c r="A105" s="171"/>
      <c r="B105" s="215" t="s">
        <v>148</v>
      </c>
      <c r="C105" s="163"/>
      <c r="D105" s="163"/>
      <c r="E105" s="163"/>
      <c r="F105" s="163"/>
      <c r="G105" s="163"/>
      <c r="H105" s="163"/>
      <c r="I105" s="163"/>
      <c r="J105" s="163"/>
    </row>
    <row r="106" spans="1:10" x14ac:dyDescent="0.2">
      <c r="A106" s="166"/>
      <c r="B106" s="215" t="s">
        <v>149</v>
      </c>
      <c r="C106" s="163"/>
      <c r="D106" s="171"/>
      <c r="E106" s="171"/>
      <c r="F106" s="171"/>
      <c r="G106" s="171"/>
      <c r="H106" s="171"/>
      <c r="I106" s="163"/>
      <c r="J106" s="163"/>
    </row>
    <row r="107" spans="1:10" x14ac:dyDescent="0.2">
      <c r="A107" s="166"/>
      <c r="B107" s="172" t="s">
        <v>150</v>
      </c>
      <c r="C107" s="163"/>
      <c r="D107" s="171"/>
      <c r="E107" s="171"/>
      <c r="F107" s="171"/>
      <c r="G107" s="171"/>
      <c r="H107" s="171"/>
      <c r="I107" s="163"/>
      <c r="J107" s="163"/>
    </row>
    <row r="108" spans="1:10" x14ac:dyDescent="0.2">
      <c r="A108" s="166"/>
      <c r="B108" s="163" t="s">
        <v>151</v>
      </c>
      <c r="C108" s="55"/>
      <c r="D108" s="55"/>
      <c r="E108" s="207"/>
      <c r="F108" s="207"/>
      <c r="G108" s="207"/>
      <c r="H108" s="207"/>
      <c r="I108" s="163"/>
      <c r="J108" s="163"/>
    </row>
    <row r="109" spans="1:10" x14ac:dyDescent="0.2">
      <c r="A109" s="166"/>
    </row>
    <row r="110" spans="1:10" x14ac:dyDescent="0.2">
      <c r="A110" s="166"/>
    </row>
    <row r="111" spans="1:10" x14ac:dyDescent="0.2">
      <c r="A111" s="166"/>
    </row>
    <row r="112" spans="1:10" x14ac:dyDescent="0.2">
      <c r="A112" s="166"/>
      <c r="C112" s="53"/>
      <c r="E112" s="173"/>
      <c r="F112" s="173"/>
      <c r="H112" s="221"/>
      <c r="J112" s="222"/>
    </row>
    <row r="113" spans="1:10" x14ac:dyDescent="0.2">
      <c r="A113" s="166"/>
      <c r="C113" s="53"/>
      <c r="E113" s="173"/>
      <c r="F113" s="173"/>
      <c r="H113" s="221"/>
      <c r="J113" s="222"/>
    </row>
    <row r="114" spans="1:10" x14ac:dyDescent="0.2">
      <c r="A114" s="167"/>
      <c r="C114" s="53"/>
      <c r="E114" s="173"/>
      <c r="F114" s="173"/>
      <c r="H114" s="221"/>
      <c r="J114" s="222"/>
    </row>
    <row r="115" spans="1:10" x14ac:dyDescent="0.2">
      <c r="A115" s="166"/>
      <c r="D115" s="56"/>
      <c r="E115" s="173"/>
      <c r="F115" s="173"/>
      <c r="G115" s="223"/>
      <c r="H115" s="221"/>
      <c r="J115" s="222"/>
    </row>
    <row r="116" spans="1:10" x14ac:dyDescent="0.2">
      <c r="A116" s="166"/>
      <c r="C116" s="53"/>
      <c r="D116" s="224"/>
      <c r="E116" s="225"/>
      <c r="F116" s="221"/>
      <c r="G116" s="223"/>
      <c r="H116" s="221"/>
      <c r="J116" s="222"/>
    </row>
    <row r="117" spans="1:10" x14ac:dyDescent="0.2">
      <c r="A117" s="166"/>
      <c r="C117" s="53"/>
      <c r="D117" s="224"/>
      <c r="E117" s="221"/>
      <c r="F117" s="221"/>
      <c r="G117" s="223"/>
      <c r="H117" s="221"/>
      <c r="J117" s="222"/>
    </row>
    <row r="118" spans="1:10" x14ac:dyDescent="0.2">
      <c r="A118" s="166"/>
    </row>
    <row r="119" spans="1:10" x14ac:dyDescent="0.2">
      <c r="A119" s="166"/>
      <c r="B119" s="162"/>
    </row>
    <row r="120" spans="1:10" x14ac:dyDescent="0.2">
      <c r="A120" s="166"/>
    </row>
    <row r="121" spans="1:10" x14ac:dyDescent="0.2">
      <c r="A121" s="166"/>
    </row>
    <row r="122" spans="1:10" x14ac:dyDescent="0.2">
      <c r="A122" s="166"/>
      <c r="F122" s="166"/>
    </row>
    <row r="123" spans="1:10" x14ac:dyDescent="0.2">
      <c r="A123" s="166"/>
      <c r="F123" s="166"/>
    </row>
    <row r="124" spans="1:10" x14ac:dyDescent="0.2">
      <c r="A124" s="166"/>
      <c r="D124" s="166"/>
      <c r="E124" s="166"/>
      <c r="F124" s="166"/>
      <c r="H124" s="166"/>
    </row>
    <row r="125" spans="1:10" x14ac:dyDescent="0.2">
      <c r="A125" s="166"/>
      <c r="D125" s="166"/>
      <c r="E125" s="166"/>
      <c r="F125" s="166"/>
      <c r="G125" s="166"/>
      <c r="H125" s="226"/>
    </row>
    <row r="126" spans="1:10" x14ac:dyDescent="0.2">
      <c r="A126" s="167"/>
      <c r="C126" s="57"/>
      <c r="D126" s="57"/>
      <c r="E126" s="170"/>
      <c r="F126" s="227"/>
      <c r="G126" s="170"/>
      <c r="H126" s="226"/>
    </row>
    <row r="127" spans="1:10" x14ac:dyDescent="0.2">
      <c r="A127" s="166"/>
      <c r="C127" s="58"/>
      <c r="D127" s="54"/>
      <c r="E127" s="173"/>
      <c r="F127" s="173"/>
      <c r="G127" s="210"/>
      <c r="H127" s="221"/>
    </row>
    <row r="128" spans="1:10" x14ac:dyDescent="0.2">
      <c r="A128" s="166"/>
      <c r="C128" s="53"/>
      <c r="D128" s="54"/>
      <c r="E128" s="173"/>
      <c r="F128" s="173"/>
      <c r="G128" s="210"/>
      <c r="H128" s="221"/>
    </row>
    <row r="129" spans="1:8" x14ac:dyDescent="0.2">
      <c r="A129" s="166"/>
      <c r="C129" s="53"/>
      <c r="D129" s="54"/>
      <c r="E129" s="173"/>
      <c r="F129" s="173"/>
      <c r="G129" s="210"/>
      <c r="H129" s="221"/>
    </row>
    <row r="130" spans="1:8" x14ac:dyDescent="0.2">
      <c r="A130" s="166"/>
      <c r="C130" s="58"/>
      <c r="D130" s="54"/>
      <c r="E130" s="173"/>
      <c r="F130" s="173"/>
      <c r="G130" s="210"/>
      <c r="H130" s="221"/>
    </row>
    <row r="131" spans="1:8" x14ac:dyDescent="0.2">
      <c r="A131" s="166"/>
      <c r="C131" s="53"/>
      <c r="D131" s="54"/>
      <c r="E131" s="173"/>
      <c r="F131" s="173"/>
      <c r="G131" s="210"/>
      <c r="H131" s="221"/>
    </row>
    <row r="132" spans="1:8" x14ac:dyDescent="0.2">
      <c r="A132" s="166"/>
      <c r="C132" s="53"/>
      <c r="D132" s="54"/>
      <c r="E132" s="173"/>
      <c r="F132" s="173"/>
      <c r="G132" s="210"/>
      <c r="H132" s="221"/>
    </row>
    <row r="133" spans="1:8" x14ac:dyDescent="0.2">
      <c r="A133" s="166"/>
      <c r="C133" s="58"/>
      <c r="D133" s="54"/>
      <c r="E133" s="173"/>
      <c r="F133" s="173"/>
      <c r="G133" s="210"/>
      <c r="H133" s="221"/>
    </row>
    <row r="134" spans="1:8" x14ac:dyDescent="0.2">
      <c r="A134" s="166"/>
      <c r="C134" s="53"/>
      <c r="D134" s="54"/>
      <c r="E134" s="173"/>
      <c r="F134" s="173"/>
      <c r="G134" s="210"/>
      <c r="H134" s="221"/>
    </row>
    <row r="135" spans="1:8" x14ac:dyDescent="0.2">
      <c r="A135" s="166"/>
      <c r="C135" s="53"/>
      <c r="D135" s="54"/>
      <c r="E135" s="173"/>
      <c r="F135" s="173"/>
      <c r="G135" s="210"/>
      <c r="H135" s="221"/>
    </row>
    <row r="136" spans="1:8" x14ac:dyDescent="0.2">
      <c r="A136" s="166"/>
      <c r="C136" s="58"/>
      <c r="D136" s="54"/>
      <c r="E136" s="173"/>
      <c r="F136" s="173"/>
      <c r="G136" s="210"/>
      <c r="H136" s="221"/>
    </row>
    <row r="137" spans="1:8" x14ac:dyDescent="0.2">
      <c r="A137" s="166"/>
      <c r="C137" s="58"/>
      <c r="D137" s="54"/>
      <c r="E137" s="173"/>
      <c r="F137" s="173"/>
      <c r="G137" s="210"/>
      <c r="H137" s="221"/>
    </row>
    <row r="138" spans="1:8" x14ac:dyDescent="0.2">
      <c r="A138" s="166"/>
      <c r="C138" s="53"/>
      <c r="D138" s="54"/>
      <c r="E138" s="173"/>
      <c r="F138" s="173"/>
      <c r="G138" s="210"/>
      <c r="H138" s="225"/>
    </row>
    <row r="139" spans="1:8" x14ac:dyDescent="0.2">
      <c r="A139" s="166"/>
      <c r="E139" s="163"/>
      <c r="F139" s="163"/>
      <c r="G139" s="163"/>
      <c r="H139" s="221"/>
    </row>
    <row r="140" spans="1:8" x14ac:dyDescent="0.2">
      <c r="A140" s="166"/>
      <c r="C140" s="53"/>
      <c r="D140" s="54"/>
      <c r="E140" s="163"/>
      <c r="F140" s="228"/>
      <c r="G140" s="210"/>
      <c r="H140" s="201"/>
    </row>
    <row r="141" spans="1:8" x14ac:dyDescent="0.2">
      <c r="A141" s="166"/>
      <c r="B141" s="162"/>
      <c r="C141" s="53"/>
      <c r="D141" s="54"/>
      <c r="E141" s="163"/>
      <c r="F141" s="228"/>
      <c r="G141" s="210"/>
      <c r="H141" s="201"/>
    </row>
    <row r="142" spans="1:8" x14ac:dyDescent="0.2">
      <c r="A142" s="167"/>
      <c r="B142" s="162"/>
      <c r="C142" s="53"/>
      <c r="D142" s="54"/>
      <c r="E142" s="163"/>
      <c r="F142" s="228"/>
      <c r="G142" s="210"/>
      <c r="H142" s="201"/>
    </row>
    <row r="143" spans="1:8" x14ac:dyDescent="0.2">
      <c r="A143" s="166"/>
      <c r="C143" s="53"/>
      <c r="D143" s="59"/>
      <c r="E143" s="173"/>
      <c r="F143" s="229"/>
      <c r="G143" s="210"/>
      <c r="H143" s="201"/>
    </row>
    <row r="144" spans="1:8" x14ac:dyDescent="0.2">
      <c r="A144" s="166"/>
      <c r="C144" s="53"/>
      <c r="D144" s="230"/>
      <c r="E144" s="173"/>
      <c r="F144" s="229"/>
      <c r="G144" s="210"/>
      <c r="H144" s="201"/>
    </row>
    <row r="145" spans="1:10" x14ac:dyDescent="0.2">
      <c r="A145" s="166"/>
      <c r="C145" s="53"/>
      <c r="D145" s="230"/>
      <c r="E145" s="225"/>
      <c r="F145" s="231"/>
      <c r="G145" s="210"/>
      <c r="H145" s="201"/>
    </row>
    <row r="146" spans="1:10" x14ac:dyDescent="0.2">
      <c r="A146" s="166"/>
      <c r="C146" s="53"/>
      <c r="D146" s="59"/>
      <c r="E146" s="221"/>
      <c r="F146" s="201"/>
      <c r="G146" s="210"/>
      <c r="H146" s="201"/>
    </row>
    <row r="147" spans="1:10" x14ac:dyDescent="0.2">
      <c r="A147" s="166"/>
      <c r="C147" s="53"/>
      <c r="D147" s="54"/>
      <c r="F147" s="201"/>
      <c r="G147" s="210"/>
      <c r="H147" s="201"/>
    </row>
    <row r="148" spans="1:10" x14ac:dyDescent="0.2">
      <c r="A148" s="166"/>
    </row>
    <row r="149" spans="1:10" x14ac:dyDescent="0.2">
      <c r="A149" s="166"/>
    </row>
    <row r="150" spans="1:10" x14ac:dyDescent="0.2">
      <c r="A150" s="166"/>
    </row>
    <row r="151" spans="1:10" x14ac:dyDescent="0.2">
      <c r="A151" s="166"/>
      <c r="B151" s="162"/>
    </row>
    <row r="152" spans="1:10" x14ac:dyDescent="0.2">
      <c r="A152" s="166"/>
      <c r="B152" s="223"/>
    </row>
    <row r="153" spans="1:10" x14ac:dyDescent="0.2">
      <c r="A153" s="166"/>
      <c r="B153" s="223"/>
    </row>
    <row r="154" spans="1:10" x14ac:dyDescent="0.2">
      <c r="A154" s="166"/>
      <c r="B154" s="223"/>
    </row>
    <row r="155" spans="1:10" x14ac:dyDescent="0.2">
      <c r="A155" s="166"/>
    </row>
    <row r="156" spans="1:10" x14ac:dyDescent="0.2">
      <c r="A156" s="166"/>
      <c r="B156" s="162"/>
    </row>
    <row r="157" spans="1:10" x14ac:dyDescent="0.2">
      <c r="A157" s="166"/>
    </row>
    <row r="158" spans="1:10" x14ac:dyDescent="0.2">
      <c r="A158" s="167"/>
      <c r="C158" s="57"/>
      <c r="D158" s="170"/>
      <c r="G158" s="163"/>
      <c r="H158" s="163"/>
      <c r="I158" s="163"/>
      <c r="J158" s="163"/>
    </row>
    <row r="159" spans="1:10" x14ac:dyDescent="0.2">
      <c r="A159" s="166"/>
      <c r="C159" s="58"/>
      <c r="D159" s="232"/>
      <c r="F159" s="233"/>
      <c r="G159" s="163"/>
      <c r="H159" s="163"/>
      <c r="I159" s="163"/>
      <c r="J159" s="163"/>
    </row>
    <row r="160" spans="1:10" x14ac:dyDescent="0.2">
      <c r="A160" s="166"/>
      <c r="C160" s="53"/>
      <c r="D160" s="232"/>
      <c r="F160" s="233"/>
      <c r="G160" s="163"/>
      <c r="H160" s="163"/>
      <c r="I160" s="163"/>
      <c r="J160" s="163"/>
    </row>
    <row r="161" spans="1:10" x14ac:dyDescent="0.2">
      <c r="A161" s="166"/>
      <c r="C161" s="53"/>
      <c r="D161" s="232"/>
      <c r="F161" s="233"/>
      <c r="G161" s="163"/>
      <c r="H161" s="163"/>
      <c r="I161" s="163"/>
      <c r="J161" s="163"/>
    </row>
    <row r="162" spans="1:10" x14ac:dyDescent="0.2">
      <c r="A162" s="166"/>
      <c r="C162" s="58"/>
      <c r="D162" s="232"/>
      <c r="F162" s="233"/>
      <c r="G162" s="163"/>
      <c r="H162" s="163"/>
      <c r="I162" s="163"/>
      <c r="J162" s="163"/>
    </row>
    <row r="163" spans="1:10" x14ac:dyDescent="0.2">
      <c r="A163" s="166"/>
      <c r="C163" s="53"/>
      <c r="D163" s="232"/>
      <c r="F163" s="233"/>
      <c r="G163" s="163"/>
      <c r="H163" s="163"/>
      <c r="I163" s="163"/>
      <c r="J163" s="163"/>
    </row>
    <row r="164" spans="1:10" x14ac:dyDescent="0.2">
      <c r="A164" s="166"/>
      <c r="C164" s="53"/>
      <c r="D164" s="232"/>
      <c r="F164" s="233"/>
      <c r="G164" s="163"/>
      <c r="H164" s="163"/>
      <c r="I164" s="163"/>
      <c r="J164" s="163"/>
    </row>
    <row r="165" spans="1:10" x14ac:dyDescent="0.2">
      <c r="A165" s="166"/>
      <c r="C165" s="58"/>
      <c r="D165" s="232"/>
      <c r="F165" s="233"/>
      <c r="G165" s="163"/>
      <c r="H165" s="163"/>
      <c r="I165" s="163"/>
      <c r="J165" s="163"/>
    </row>
    <row r="166" spans="1:10" x14ac:dyDescent="0.2">
      <c r="A166" s="166"/>
      <c r="C166" s="53"/>
      <c r="D166" s="232"/>
      <c r="F166" s="233"/>
      <c r="G166" s="163"/>
      <c r="H166" s="163"/>
      <c r="I166" s="163"/>
      <c r="J166" s="163"/>
    </row>
    <row r="167" spans="1:10" x14ac:dyDescent="0.2">
      <c r="A167" s="166"/>
      <c r="C167" s="53"/>
      <c r="D167" s="232"/>
      <c r="F167" s="233"/>
      <c r="G167" s="163"/>
      <c r="H167" s="163"/>
      <c r="I167" s="163"/>
      <c r="J167" s="163"/>
    </row>
    <row r="168" spans="1:10" x14ac:dyDescent="0.2">
      <c r="A168" s="166"/>
      <c r="C168" s="58"/>
      <c r="D168" s="232"/>
      <c r="F168" s="233"/>
      <c r="G168" s="163"/>
      <c r="H168" s="163"/>
      <c r="I168" s="163"/>
      <c r="J168" s="163"/>
    </row>
    <row r="169" spans="1:10" x14ac:dyDescent="0.2">
      <c r="A169" s="166"/>
      <c r="C169" s="58"/>
      <c r="D169" s="232"/>
      <c r="F169" s="233"/>
    </row>
    <row r="170" spans="1:10" x14ac:dyDescent="0.2">
      <c r="A170" s="166"/>
      <c r="C170" s="53"/>
      <c r="D170" s="234"/>
      <c r="F170" s="235"/>
    </row>
    <row r="171" spans="1:10" x14ac:dyDescent="0.2">
      <c r="A171" s="166"/>
      <c r="C171" s="56"/>
      <c r="D171" s="232"/>
    </row>
  </sheetData>
  <pageMargins left="0.75" right="0.75" top="1" bottom="1" header="0.5" footer="0.5"/>
  <pageSetup scale="80" orientation="landscape" cellComments="asDisplayed" r:id="rId1"/>
  <headerFooter alignWithMargins="0">
    <oddHeader>&amp;CSchedule 4
True Up TRR
(Revised 2012 True Up TRR)
&amp;RTO12 Draft Annual Update
Attachment 4
WP-Schedule 3-One Time Adj True Up Adj
Page &amp;P of &amp;N</oddHeader>
    <oddFooter>&amp;R&amp;A</oddFooter>
  </headerFooter>
  <rowBreaks count="4" manualBreakCount="4">
    <brk id="46" max="9" man="1"/>
    <brk id="72" max="16383" man="1"/>
    <brk id="118" max="9" man="1"/>
    <brk id="150" max="16383" man="1"/>
  </rowBreaks>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12"/>
  <sheetViews>
    <sheetView zoomScaleNormal="100" workbookViewId="0">
      <selection activeCell="I39" sqref="I39"/>
    </sheetView>
  </sheetViews>
  <sheetFormatPr defaultRowHeight="12.75" x14ac:dyDescent="0.2"/>
  <cols>
    <col min="1" max="1" width="4.7109375" customWidth="1"/>
    <col min="2" max="2" width="2.7109375" customWidth="1"/>
    <col min="3" max="3" width="6.7109375" customWidth="1"/>
    <col min="4" max="4" width="32.5703125" customWidth="1"/>
    <col min="5" max="5" width="14.7109375" customWidth="1"/>
    <col min="6" max="6" width="15.7109375" customWidth="1"/>
    <col min="7" max="8" width="14.7109375" customWidth="1"/>
    <col min="9" max="9" width="20" customWidth="1"/>
    <col min="10" max="10" width="19.28515625" customWidth="1"/>
    <col min="11" max="11" width="11" bestFit="1" customWidth="1"/>
  </cols>
  <sheetData>
    <row r="1" spans="1:24" x14ac:dyDescent="0.2">
      <c r="A1" s="162" t="s">
        <v>167</v>
      </c>
      <c r="F1" s="237" t="s">
        <v>164</v>
      </c>
      <c r="G1" s="218"/>
      <c r="H1" s="238"/>
      <c r="I1" s="238"/>
    </row>
    <row r="2" spans="1:24" x14ac:dyDescent="0.2">
      <c r="E2" s="227" t="s">
        <v>152</v>
      </c>
      <c r="F2" s="227" t="s">
        <v>153</v>
      </c>
      <c r="G2" s="227" t="s">
        <v>154</v>
      </c>
      <c r="H2" s="227" t="s">
        <v>155</v>
      </c>
      <c r="I2" s="238"/>
    </row>
    <row r="3" spans="1:24" x14ac:dyDescent="0.2">
      <c r="G3" s="238" t="s">
        <v>168</v>
      </c>
    </row>
    <row r="4" spans="1:24" x14ac:dyDescent="0.2">
      <c r="E4" s="166" t="s">
        <v>169</v>
      </c>
      <c r="F4" s="62" t="s">
        <v>165</v>
      </c>
      <c r="G4" s="166" t="s">
        <v>170</v>
      </c>
      <c r="I4" s="166"/>
    </row>
    <row r="5" spans="1:24" x14ac:dyDescent="0.2">
      <c r="A5" s="167" t="s">
        <v>42</v>
      </c>
      <c r="B5" s="170"/>
      <c r="C5" s="170" t="s">
        <v>171</v>
      </c>
      <c r="D5" s="170" t="s">
        <v>33</v>
      </c>
      <c r="E5" s="170" t="s">
        <v>34</v>
      </c>
      <c r="F5" s="57" t="s">
        <v>35</v>
      </c>
      <c r="G5" s="170" t="s">
        <v>172</v>
      </c>
      <c r="H5" s="170" t="s">
        <v>87</v>
      </c>
      <c r="I5" s="170" t="s">
        <v>45</v>
      </c>
      <c r="K5" s="170"/>
      <c r="L5" s="170"/>
      <c r="M5" s="170"/>
      <c r="N5" s="170"/>
      <c r="O5" s="170"/>
      <c r="P5" s="170"/>
      <c r="Q5" s="170"/>
      <c r="R5" s="170"/>
      <c r="S5" s="170"/>
      <c r="T5" s="170"/>
      <c r="U5" s="170"/>
      <c r="V5" s="170"/>
      <c r="W5" s="170"/>
      <c r="X5" s="170"/>
    </row>
    <row r="6" spans="1:24" x14ac:dyDescent="0.2">
      <c r="A6" s="166">
        <v>1</v>
      </c>
      <c r="C6" s="238">
        <v>920</v>
      </c>
      <c r="D6" t="s">
        <v>173</v>
      </c>
      <c r="E6" s="239">
        <v>388180572</v>
      </c>
      <c r="F6" s="636" t="s">
        <v>174</v>
      </c>
      <c r="G6" s="173">
        <f>D37</f>
        <v>79004366.473313332</v>
      </c>
      <c r="H6" s="173">
        <f>E6-G6</f>
        <v>309176205.52668667</v>
      </c>
      <c r="I6" s="163"/>
      <c r="J6" s="223"/>
    </row>
    <row r="7" spans="1:24" x14ac:dyDescent="0.2">
      <c r="A7" s="166">
        <f>A6+1</f>
        <v>2</v>
      </c>
      <c r="C7" s="238">
        <v>921</v>
      </c>
      <c r="D7" t="s">
        <v>175</v>
      </c>
      <c r="E7" s="239">
        <v>194110998</v>
      </c>
      <c r="F7" s="636" t="s">
        <v>176</v>
      </c>
      <c r="G7" s="173">
        <f t="shared" ref="G7:G19" si="0">D38</f>
        <v>81746.869999999952</v>
      </c>
      <c r="H7" s="173">
        <f t="shared" ref="H7:H19" si="1">E7-G7</f>
        <v>194029251.13</v>
      </c>
      <c r="I7" s="163"/>
      <c r="J7" s="223"/>
    </row>
    <row r="8" spans="1:24" x14ac:dyDescent="0.2">
      <c r="A8" s="166">
        <f>A7+1</f>
        <v>3</v>
      </c>
      <c r="C8" s="238">
        <v>922</v>
      </c>
      <c r="D8" t="s">
        <v>177</v>
      </c>
      <c r="E8" s="239">
        <v>-117633265</v>
      </c>
      <c r="F8" s="636" t="s">
        <v>178</v>
      </c>
      <c r="G8" s="173">
        <f t="shared" si="0"/>
        <v>-32115774</v>
      </c>
      <c r="H8" s="173">
        <f t="shared" si="1"/>
        <v>-85517491</v>
      </c>
      <c r="I8" s="177" t="s">
        <v>179</v>
      </c>
      <c r="J8" s="223"/>
    </row>
    <row r="9" spans="1:24" x14ac:dyDescent="0.2">
      <c r="A9" s="166">
        <f t="shared" ref="A9:A20" si="2">A8+1</f>
        <v>4</v>
      </c>
      <c r="B9" s="166"/>
      <c r="C9" s="238">
        <v>923</v>
      </c>
      <c r="D9" t="s">
        <v>180</v>
      </c>
      <c r="E9" s="239">
        <v>97403016</v>
      </c>
      <c r="F9" s="636" t="s">
        <v>181</v>
      </c>
      <c r="G9" s="179">
        <f t="shared" si="0"/>
        <v>15047987.7751</v>
      </c>
      <c r="H9" s="179">
        <f t="shared" si="1"/>
        <v>82355028.224900007</v>
      </c>
      <c r="I9" s="163"/>
      <c r="J9" s="223"/>
    </row>
    <row r="10" spans="1:24" x14ac:dyDescent="0.2">
      <c r="A10" s="166">
        <f t="shared" si="2"/>
        <v>5</v>
      </c>
      <c r="B10" s="166"/>
      <c r="C10" s="238">
        <v>924</v>
      </c>
      <c r="D10" t="s">
        <v>182</v>
      </c>
      <c r="E10" s="239">
        <v>13240374</v>
      </c>
      <c r="F10" s="636" t="s">
        <v>183</v>
      </c>
      <c r="G10" s="173">
        <f t="shared" si="0"/>
        <v>0</v>
      </c>
      <c r="H10" s="173">
        <f t="shared" si="1"/>
        <v>13240374</v>
      </c>
      <c r="I10" s="163"/>
      <c r="J10" s="223"/>
    </row>
    <row r="11" spans="1:24" x14ac:dyDescent="0.2">
      <c r="A11" s="166">
        <f t="shared" si="2"/>
        <v>6</v>
      </c>
      <c r="B11" s="166"/>
      <c r="C11" s="238">
        <v>925</v>
      </c>
      <c r="D11" t="s">
        <v>184</v>
      </c>
      <c r="E11" s="239">
        <v>98359983</v>
      </c>
      <c r="F11" s="636" t="s">
        <v>185</v>
      </c>
      <c r="G11" s="173">
        <f t="shared" si="0"/>
        <v>450</v>
      </c>
      <c r="H11" s="173">
        <f t="shared" si="1"/>
        <v>98359533</v>
      </c>
      <c r="I11" s="163"/>
      <c r="J11" s="223"/>
    </row>
    <row r="12" spans="1:24" x14ac:dyDescent="0.2">
      <c r="A12" s="166">
        <f t="shared" si="2"/>
        <v>7</v>
      </c>
      <c r="B12" s="166"/>
      <c r="C12" s="238">
        <v>926</v>
      </c>
      <c r="D12" t="s">
        <v>186</v>
      </c>
      <c r="E12" s="239">
        <v>166400467</v>
      </c>
      <c r="F12" s="636" t="s">
        <v>187</v>
      </c>
      <c r="G12" s="173">
        <f t="shared" si="0"/>
        <v>8162239.7253074758</v>
      </c>
      <c r="H12" s="173">
        <f t="shared" si="1"/>
        <v>158238227.27469254</v>
      </c>
      <c r="I12" s="163"/>
      <c r="J12" s="223"/>
    </row>
    <row r="13" spans="1:24" x14ac:dyDescent="0.2">
      <c r="A13" s="166">
        <f t="shared" si="2"/>
        <v>8</v>
      </c>
      <c r="B13" s="166"/>
      <c r="C13" s="238">
        <v>927</v>
      </c>
      <c r="D13" t="s">
        <v>156</v>
      </c>
      <c r="E13" s="239">
        <v>114123922</v>
      </c>
      <c r="F13" s="636" t="s">
        <v>188</v>
      </c>
      <c r="G13" s="173">
        <f t="shared" si="0"/>
        <v>114123922</v>
      </c>
      <c r="H13" s="173">
        <f t="shared" si="1"/>
        <v>0</v>
      </c>
      <c r="I13" s="163"/>
      <c r="J13" s="223"/>
    </row>
    <row r="14" spans="1:24" x14ac:dyDescent="0.2">
      <c r="A14" s="166">
        <f t="shared" si="2"/>
        <v>9</v>
      </c>
      <c r="B14" s="166"/>
      <c r="C14" s="238">
        <v>928</v>
      </c>
      <c r="D14" s="223" t="s">
        <v>189</v>
      </c>
      <c r="E14" s="239">
        <v>35110806</v>
      </c>
      <c r="F14" s="636" t="s">
        <v>190</v>
      </c>
      <c r="G14" s="173">
        <f t="shared" si="0"/>
        <v>33490095.620000005</v>
      </c>
      <c r="H14" s="173">
        <f t="shared" si="1"/>
        <v>1620710.3799999952</v>
      </c>
      <c r="I14" s="163"/>
      <c r="J14" s="223"/>
    </row>
    <row r="15" spans="1:24" x14ac:dyDescent="0.2">
      <c r="A15" s="166">
        <f t="shared" si="2"/>
        <v>10</v>
      </c>
      <c r="B15" s="166"/>
      <c r="C15" s="238">
        <v>929</v>
      </c>
      <c r="D15" t="s">
        <v>191</v>
      </c>
      <c r="E15" s="239">
        <v>0</v>
      </c>
      <c r="F15" s="636" t="s">
        <v>192</v>
      </c>
      <c r="G15" s="173">
        <f t="shared" si="0"/>
        <v>0</v>
      </c>
      <c r="H15" s="173">
        <f t="shared" si="1"/>
        <v>0</v>
      </c>
      <c r="I15" s="163"/>
      <c r="J15" s="223"/>
    </row>
    <row r="16" spans="1:24" x14ac:dyDescent="0.2">
      <c r="A16" s="166">
        <f t="shared" si="2"/>
        <v>11</v>
      </c>
      <c r="B16" s="166"/>
      <c r="C16" s="238">
        <v>930.1</v>
      </c>
      <c r="D16" t="s">
        <v>193</v>
      </c>
      <c r="E16" s="239">
        <v>8785032</v>
      </c>
      <c r="F16" s="636" t="s">
        <v>194</v>
      </c>
      <c r="G16" s="173">
        <f t="shared" si="0"/>
        <v>0</v>
      </c>
      <c r="H16" s="173">
        <f t="shared" si="1"/>
        <v>8785032</v>
      </c>
      <c r="I16" s="163"/>
      <c r="J16" s="223"/>
    </row>
    <row r="17" spans="1:11" x14ac:dyDescent="0.2">
      <c r="A17" s="166">
        <f t="shared" si="2"/>
        <v>12</v>
      </c>
      <c r="B17" s="166"/>
      <c r="C17" s="238">
        <v>930.2</v>
      </c>
      <c r="D17" t="s">
        <v>195</v>
      </c>
      <c r="E17" s="239">
        <v>18594127</v>
      </c>
      <c r="F17" s="636" t="s">
        <v>196</v>
      </c>
      <c r="G17" s="173">
        <f t="shared" si="0"/>
        <v>17089275.130000003</v>
      </c>
      <c r="H17" s="173">
        <f t="shared" si="1"/>
        <v>1504851.8699999973</v>
      </c>
      <c r="I17" s="163"/>
      <c r="J17" s="223"/>
    </row>
    <row r="18" spans="1:11" x14ac:dyDescent="0.2">
      <c r="A18" s="166">
        <f t="shared" si="2"/>
        <v>13</v>
      </c>
      <c r="B18" s="166"/>
      <c r="C18" s="238">
        <v>931</v>
      </c>
      <c r="D18" t="s">
        <v>197</v>
      </c>
      <c r="E18" s="239">
        <v>23119538</v>
      </c>
      <c r="F18" s="636" t="s">
        <v>198</v>
      </c>
      <c r="G18" s="173">
        <f t="shared" si="0"/>
        <v>0</v>
      </c>
      <c r="H18" s="173">
        <f t="shared" si="1"/>
        <v>23119538</v>
      </c>
      <c r="I18" s="163"/>
      <c r="J18" s="223"/>
    </row>
    <row r="19" spans="1:11" x14ac:dyDescent="0.2">
      <c r="A19" s="166">
        <f t="shared" si="2"/>
        <v>14</v>
      </c>
      <c r="B19" s="166"/>
      <c r="C19" s="238">
        <v>935</v>
      </c>
      <c r="D19" t="s">
        <v>199</v>
      </c>
      <c r="E19" s="240">
        <v>19035369</v>
      </c>
      <c r="F19" s="636" t="s">
        <v>200</v>
      </c>
      <c r="G19" s="173">
        <f t="shared" si="0"/>
        <v>27068.07</v>
      </c>
      <c r="H19" s="181">
        <f t="shared" si="1"/>
        <v>19008300.93</v>
      </c>
      <c r="I19" s="163"/>
      <c r="J19" s="223"/>
    </row>
    <row r="20" spans="1:11" x14ac:dyDescent="0.2">
      <c r="A20" s="166">
        <f t="shared" si="2"/>
        <v>15</v>
      </c>
      <c r="E20" s="221">
        <f>SUM(E6:E19)</f>
        <v>1058830939</v>
      </c>
      <c r="G20" s="202" t="s">
        <v>201</v>
      </c>
      <c r="H20" s="186">
        <f>SUM(H6:H19)</f>
        <v>823919561.33627915</v>
      </c>
      <c r="I20" s="163"/>
    </row>
    <row r="22" spans="1:11" x14ac:dyDescent="0.2">
      <c r="F22" s="170" t="s">
        <v>34</v>
      </c>
      <c r="G22" s="170" t="s">
        <v>35</v>
      </c>
    </row>
    <row r="23" spans="1:11" x14ac:dyDescent="0.2">
      <c r="A23" s="166">
        <f>A20+1</f>
        <v>16</v>
      </c>
      <c r="E23" s="197" t="s">
        <v>202</v>
      </c>
      <c r="F23" s="179">
        <f>H20</f>
        <v>823919561.33627915</v>
      </c>
      <c r="G23" s="176" t="str">
        <f>"Line "&amp;A20&amp;""</f>
        <v>Line 15</v>
      </c>
      <c r="H23" s="163"/>
      <c r="I23" s="163"/>
      <c r="J23" s="163"/>
      <c r="K23" s="163"/>
    </row>
    <row r="24" spans="1:11" x14ac:dyDescent="0.2">
      <c r="A24" s="166">
        <f t="shared" ref="A24:A30" si="3">A23+1</f>
        <v>17</v>
      </c>
      <c r="E24" s="197" t="s">
        <v>203</v>
      </c>
      <c r="F24" s="181">
        <f>E10</f>
        <v>13240374</v>
      </c>
      <c r="G24" s="176" t="str">
        <f>"Line "&amp;A10&amp;""</f>
        <v>Line 5</v>
      </c>
      <c r="H24" s="163"/>
      <c r="I24" s="163"/>
      <c r="J24" s="163"/>
      <c r="K24" s="163"/>
    </row>
    <row r="25" spans="1:11" x14ac:dyDescent="0.2">
      <c r="A25" s="166">
        <f t="shared" si="3"/>
        <v>18</v>
      </c>
      <c r="E25" s="197" t="s">
        <v>204</v>
      </c>
      <c r="F25" s="179">
        <f>F23-F24</f>
        <v>810679187.33627915</v>
      </c>
      <c r="G25" s="176" t="str">
        <f>"Line "&amp;A23&amp;" - Line "&amp;A24&amp;""</f>
        <v>Line 16 - Line 17</v>
      </c>
      <c r="H25" s="163"/>
      <c r="I25" s="163"/>
      <c r="J25" s="163"/>
      <c r="K25" s="163"/>
    </row>
    <row r="26" spans="1:11" x14ac:dyDescent="0.2">
      <c r="A26" s="166">
        <f t="shared" si="3"/>
        <v>19</v>
      </c>
      <c r="E26" s="202" t="s">
        <v>205</v>
      </c>
      <c r="F26" s="447">
        <v>6.0138983940459835E-2</v>
      </c>
      <c r="G26" s="176" t="s">
        <v>1058</v>
      </c>
      <c r="H26" s="163"/>
      <c r="I26" s="163"/>
      <c r="J26" s="163"/>
      <c r="K26" s="163"/>
    </row>
    <row r="27" spans="1:11" x14ac:dyDescent="0.2">
      <c r="A27" s="166">
        <f t="shared" si="3"/>
        <v>20</v>
      </c>
      <c r="E27" s="197" t="s">
        <v>206</v>
      </c>
      <c r="F27" s="179">
        <f>F25*F26</f>
        <v>48753422.628081523</v>
      </c>
      <c r="G27" s="176" t="str">
        <f>"Line "&amp;A25&amp;" * Line "&amp;A26&amp;""</f>
        <v>Line 18 * Line 19</v>
      </c>
      <c r="H27" s="163"/>
      <c r="I27" s="163"/>
      <c r="J27" s="163"/>
      <c r="K27" s="163"/>
    </row>
    <row r="28" spans="1:11" x14ac:dyDescent="0.2">
      <c r="A28" s="166">
        <f t="shared" si="3"/>
        <v>21</v>
      </c>
      <c r="E28" s="197" t="s">
        <v>207</v>
      </c>
      <c r="F28" s="492">
        <v>0.19061954725424191</v>
      </c>
      <c r="G28" s="177" t="s">
        <v>1059</v>
      </c>
      <c r="H28" s="163"/>
      <c r="I28" s="163"/>
      <c r="J28" s="163"/>
      <c r="K28" s="163"/>
    </row>
    <row r="29" spans="1:11" x14ac:dyDescent="0.2">
      <c r="A29" s="166">
        <f t="shared" si="3"/>
        <v>22</v>
      </c>
      <c r="E29" s="197" t="s">
        <v>208</v>
      </c>
      <c r="F29" s="178">
        <f>H10*F28</f>
        <v>2523874.0973568358</v>
      </c>
      <c r="G29" s="176" t="str">
        <f>"Line "&amp;A10&amp;" Col 4 * Line "&amp;A28&amp;""</f>
        <v>Line 5 Col 4 * Line 21</v>
      </c>
      <c r="H29" s="163"/>
      <c r="I29" s="163"/>
      <c r="J29" s="163"/>
      <c r="K29" s="163"/>
    </row>
    <row r="30" spans="1:11" x14ac:dyDescent="0.2">
      <c r="A30" s="166">
        <f t="shared" si="3"/>
        <v>23</v>
      </c>
      <c r="E30" s="197" t="s">
        <v>209</v>
      </c>
      <c r="F30" s="186">
        <f>F27+F29</f>
        <v>51277296.725438356</v>
      </c>
      <c r="G30" s="176" t="str">
        <f>"Line "&amp;A27&amp;" + Line "&amp;A29&amp;""</f>
        <v>Line 20 + Line 22</v>
      </c>
      <c r="H30" s="163"/>
      <c r="I30" s="163"/>
      <c r="J30" s="163"/>
      <c r="K30" s="163"/>
    </row>
    <row r="31" spans="1:11" x14ac:dyDescent="0.2">
      <c r="E31" s="163"/>
      <c r="F31" s="163"/>
      <c r="G31" s="163"/>
      <c r="H31" s="163"/>
      <c r="I31" s="163"/>
      <c r="J31" s="163"/>
      <c r="K31" s="163"/>
    </row>
    <row r="32" spans="1:11" x14ac:dyDescent="0.2">
      <c r="B32" s="162" t="s">
        <v>210</v>
      </c>
      <c r="E32" s="241" t="s">
        <v>152</v>
      </c>
      <c r="F32" s="241" t="s">
        <v>153</v>
      </c>
      <c r="G32" s="241" t="s">
        <v>154</v>
      </c>
      <c r="H32" s="241" t="s">
        <v>155</v>
      </c>
      <c r="I32" s="163"/>
      <c r="J32" s="163"/>
      <c r="K32" s="163"/>
    </row>
    <row r="33" spans="1:11" x14ac:dyDescent="0.2">
      <c r="B33" s="162"/>
      <c r="E33" s="171" t="s">
        <v>211</v>
      </c>
      <c r="F33" s="241"/>
      <c r="G33" s="241"/>
      <c r="H33" s="241"/>
      <c r="I33" s="163"/>
      <c r="J33" s="163"/>
      <c r="K33" s="163"/>
    </row>
    <row r="34" spans="1:11" x14ac:dyDescent="0.2">
      <c r="E34" s="171" t="s">
        <v>212</v>
      </c>
      <c r="F34" s="163"/>
      <c r="G34" s="163"/>
      <c r="H34" s="163"/>
      <c r="I34" s="163"/>
      <c r="J34" s="163"/>
      <c r="K34" s="163"/>
    </row>
    <row r="35" spans="1:11" x14ac:dyDescent="0.2">
      <c r="D35" s="166" t="s">
        <v>213</v>
      </c>
      <c r="E35" s="171" t="s">
        <v>214</v>
      </c>
      <c r="F35" s="171" t="s">
        <v>215</v>
      </c>
      <c r="G35" s="171"/>
      <c r="H35" s="171"/>
      <c r="I35" s="163"/>
      <c r="J35" s="163"/>
      <c r="K35" s="163"/>
    </row>
    <row r="36" spans="1:11" x14ac:dyDescent="0.2">
      <c r="C36" s="170" t="s">
        <v>171</v>
      </c>
      <c r="D36" s="227" t="s">
        <v>216</v>
      </c>
      <c r="E36" s="207" t="s">
        <v>217</v>
      </c>
      <c r="F36" s="207" t="s">
        <v>218</v>
      </c>
      <c r="G36" s="207" t="s">
        <v>219</v>
      </c>
      <c r="H36" s="207" t="s">
        <v>220</v>
      </c>
      <c r="I36" s="207" t="s">
        <v>45</v>
      </c>
      <c r="J36" s="163"/>
      <c r="K36" s="163"/>
    </row>
    <row r="37" spans="1:11" x14ac:dyDescent="0.2">
      <c r="A37" s="166">
        <f>A30+1</f>
        <v>24</v>
      </c>
      <c r="C37" s="238">
        <v>920</v>
      </c>
      <c r="D37" s="269">
        <f>SUM(E37:H37)</f>
        <v>79004366.473313332</v>
      </c>
      <c r="E37" s="270">
        <v>-10628956.270000003</v>
      </c>
      <c r="F37" s="244"/>
      <c r="G37" s="173">
        <f>G58</f>
        <v>89633322.743313327</v>
      </c>
      <c r="H37" s="244"/>
      <c r="I37" s="176" t="s">
        <v>221</v>
      </c>
      <c r="J37" s="163"/>
    </row>
    <row r="38" spans="1:11" x14ac:dyDescent="0.2">
      <c r="A38" s="166">
        <f>A37+1</f>
        <v>25</v>
      </c>
      <c r="C38" s="238">
        <v>921</v>
      </c>
      <c r="D38" s="269">
        <f t="shared" ref="D38:D50" si="4">SUM(E38:H38)</f>
        <v>81746.869999999952</v>
      </c>
      <c r="E38" s="270">
        <v>81746.869999999952</v>
      </c>
      <c r="F38" s="244"/>
      <c r="G38" s="244">
        <v>0</v>
      </c>
      <c r="H38" s="244"/>
      <c r="I38" s="168"/>
    </row>
    <row r="39" spans="1:11" ht="13.5" thickBot="1" x14ac:dyDescent="0.25">
      <c r="A39" s="166">
        <f t="shared" ref="A39:A50" si="5">A38+1</f>
        <v>26</v>
      </c>
      <c r="C39" s="238">
        <v>922</v>
      </c>
      <c r="D39" s="269">
        <f t="shared" si="4"/>
        <v>-32115774</v>
      </c>
      <c r="E39" s="270">
        <v>-8585808</v>
      </c>
      <c r="F39" s="244"/>
      <c r="G39" s="60">
        <v>-23529966</v>
      </c>
      <c r="H39" s="244"/>
      <c r="I39" s="168"/>
    </row>
    <row r="40" spans="1:11" ht="13.5" thickBot="1" x14ac:dyDescent="0.25">
      <c r="A40" s="166">
        <f t="shared" si="5"/>
        <v>27</v>
      </c>
      <c r="C40" s="238">
        <v>923</v>
      </c>
      <c r="D40" s="245">
        <f t="shared" si="4"/>
        <v>15047987.7751</v>
      </c>
      <c r="E40" s="246">
        <v>15047987.7751</v>
      </c>
      <c r="F40" s="244"/>
      <c r="G40" s="244">
        <v>0</v>
      </c>
      <c r="H40" s="244"/>
      <c r="I40" s="168"/>
      <c r="J40" s="170"/>
      <c r="K40" s="170"/>
    </row>
    <row r="41" spans="1:11" x14ac:dyDescent="0.2">
      <c r="A41" s="166">
        <f t="shared" si="5"/>
        <v>28</v>
      </c>
      <c r="C41" s="238">
        <v>924</v>
      </c>
      <c r="D41" s="269">
        <f t="shared" si="4"/>
        <v>0</v>
      </c>
      <c r="E41" s="270">
        <v>0</v>
      </c>
      <c r="F41" s="244"/>
      <c r="G41" s="244">
        <v>0</v>
      </c>
      <c r="H41" s="244"/>
      <c r="I41" s="168"/>
      <c r="K41" s="221"/>
    </row>
    <row r="42" spans="1:11" x14ac:dyDescent="0.2">
      <c r="A42" s="166">
        <f t="shared" si="5"/>
        <v>29</v>
      </c>
      <c r="C42" s="238">
        <v>925</v>
      </c>
      <c r="D42" s="269">
        <f t="shared" si="4"/>
        <v>450</v>
      </c>
      <c r="E42" s="270">
        <v>450</v>
      </c>
      <c r="F42" s="244"/>
      <c r="G42" s="244">
        <v>0</v>
      </c>
      <c r="H42" s="244"/>
      <c r="I42" s="247"/>
      <c r="K42" s="221"/>
    </row>
    <row r="43" spans="1:11" x14ac:dyDescent="0.2">
      <c r="A43" s="166">
        <f t="shared" si="5"/>
        <v>30</v>
      </c>
      <c r="C43" s="238">
        <v>926</v>
      </c>
      <c r="D43" s="272">
        <f t="shared" si="4"/>
        <v>8162239.7253074758</v>
      </c>
      <c r="E43" s="270">
        <v>22099324.725307476</v>
      </c>
      <c r="F43" s="244"/>
      <c r="G43" s="244">
        <v>0</v>
      </c>
      <c r="H43" s="173">
        <f>E70</f>
        <v>-13937085</v>
      </c>
      <c r="I43" s="247" t="s">
        <v>157</v>
      </c>
      <c r="K43" s="221"/>
    </row>
    <row r="44" spans="1:11" x14ac:dyDescent="0.2">
      <c r="A44" s="166">
        <f t="shared" si="5"/>
        <v>31</v>
      </c>
      <c r="C44" s="238">
        <v>927</v>
      </c>
      <c r="D44" s="269">
        <f t="shared" si="4"/>
        <v>114123922</v>
      </c>
      <c r="E44" s="193">
        <v>0</v>
      </c>
      <c r="F44" s="248">
        <f>E13</f>
        <v>114123922</v>
      </c>
      <c r="G44" s="173">
        <v>0</v>
      </c>
      <c r="H44" s="173">
        <v>0</v>
      </c>
      <c r="I44" s="168" t="s">
        <v>222</v>
      </c>
      <c r="K44" s="221"/>
    </row>
    <row r="45" spans="1:11" x14ac:dyDescent="0.2">
      <c r="A45" s="166">
        <f t="shared" si="5"/>
        <v>32</v>
      </c>
      <c r="C45" s="238">
        <v>928</v>
      </c>
      <c r="D45" s="272">
        <f t="shared" si="4"/>
        <v>33490095.620000005</v>
      </c>
      <c r="E45" s="270">
        <v>33490095.620000005</v>
      </c>
      <c r="F45" s="244"/>
      <c r="G45" s="244">
        <v>0</v>
      </c>
      <c r="H45" s="244"/>
      <c r="I45" s="168"/>
      <c r="K45" s="221"/>
    </row>
    <row r="46" spans="1:11" x14ac:dyDescent="0.2">
      <c r="A46" s="166">
        <f t="shared" si="5"/>
        <v>33</v>
      </c>
      <c r="C46" s="238">
        <v>929</v>
      </c>
      <c r="D46" s="269">
        <f t="shared" si="4"/>
        <v>0</v>
      </c>
      <c r="E46" s="270">
        <v>0</v>
      </c>
      <c r="F46" s="244"/>
      <c r="G46" s="244">
        <v>0</v>
      </c>
      <c r="H46" s="244"/>
      <c r="I46" s="168"/>
      <c r="K46" s="221"/>
    </row>
    <row r="47" spans="1:11" x14ac:dyDescent="0.2">
      <c r="A47" s="166">
        <f t="shared" si="5"/>
        <v>34</v>
      </c>
      <c r="C47" s="238">
        <v>930.1</v>
      </c>
      <c r="D47" s="269">
        <f t="shared" si="4"/>
        <v>0</v>
      </c>
      <c r="E47" s="270">
        <v>0</v>
      </c>
      <c r="F47" s="244"/>
      <c r="G47" s="244">
        <v>0</v>
      </c>
      <c r="H47" s="244"/>
      <c r="I47" s="168"/>
      <c r="K47" s="221"/>
    </row>
    <row r="48" spans="1:11" x14ac:dyDescent="0.2">
      <c r="A48" s="166">
        <f t="shared" si="5"/>
        <v>35</v>
      </c>
      <c r="C48" s="238">
        <v>930.2</v>
      </c>
      <c r="D48" s="272">
        <f t="shared" si="4"/>
        <v>17089275.130000003</v>
      </c>
      <c r="E48" s="270">
        <v>17089275.130000003</v>
      </c>
      <c r="F48" s="244"/>
      <c r="G48" s="244">
        <v>0</v>
      </c>
      <c r="H48" s="244"/>
      <c r="I48" s="168"/>
      <c r="J48" s="250"/>
    </row>
    <row r="49" spans="1:10" x14ac:dyDescent="0.2">
      <c r="A49" s="166">
        <f t="shared" si="5"/>
        <v>36</v>
      </c>
      <c r="C49" s="238">
        <v>931</v>
      </c>
      <c r="D49" s="272">
        <f t="shared" si="4"/>
        <v>0</v>
      </c>
      <c r="E49" s="270">
        <v>0</v>
      </c>
      <c r="F49" s="244"/>
      <c r="G49" s="244">
        <v>0</v>
      </c>
      <c r="H49" s="244"/>
      <c r="I49" s="168"/>
      <c r="J49" s="221"/>
    </row>
    <row r="50" spans="1:10" x14ac:dyDescent="0.2">
      <c r="A50" s="166">
        <f t="shared" si="5"/>
        <v>37</v>
      </c>
      <c r="C50" s="238">
        <v>935</v>
      </c>
      <c r="D50" s="269">
        <f t="shared" si="4"/>
        <v>27068.07</v>
      </c>
      <c r="E50" s="270">
        <v>27068.07</v>
      </c>
      <c r="F50" s="244"/>
      <c r="G50" s="244">
        <v>0</v>
      </c>
      <c r="H50" s="244"/>
      <c r="I50" s="168"/>
    </row>
    <row r="51" spans="1:10" x14ac:dyDescent="0.2">
      <c r="B51" s="183" t="s">
        <v>223</v>
      </c>
      <c r="C51" s="163"/>
      <c r="D51" s="163"/>
      <c r="E51" s="163"/>
      <c r="F51" s="163"/>
      <c r="G51" s="163"/>
      <c r="H51" s="163"/>
    </row>
    <row r="52" spans="1:10" x14ac:dyDescent="0.2">
      <c r="B52" s="183"/>
      <c r="C52" s="163" t="s">
        <v>224</v>
      </c>
      <c r="D52" s="163"/>
      <c r="E52" s="163"/>
      <c r="F52" s="163"/>
      <c r="G52" s="163"/>
      <c r="H52" s="163"/>
    </row>
    <row r="53" spans="1:10" x14ac:dyDescent="0.2">
      <c r="B53" s="183"/>
      <c r="C53" s="174" t="s">
        <v>225</v>
      </c>
      <c r="D53" s="163"/>
      <c r="E53" s="163"/>
      <c r="F53" s="163"/>
      <c r="G53" s="171"/>
      <c r="H53" s="171"/>
    </row>
    <row r="54" spans="1:10" x14ac:dyDescent="0.2">
      <c r="B54" s="183"/>
      <c r="C54" s="61" t="s">
        <v>226</v>
      </c>
      <c r="D54" s="52"/>
      <c r="E54" s="52"/>
      <c r="F54" s="163"/>
      <c r="G54" s="171"/>
      <c r="H54" s="171"/>
    </row>
    <row r="55" spans="1:10" x14ac:dyDescent="0.2">
      <c r="B55" s="183"/>
      <c r="C55" s="163"/>
      <c r="D55" s="163"/>
      <c r="E55" s="163"/>
      <c r="F55" s="163"/>
      <c r="G55" s="207" t="s">
        <v>34</v>
      </c>
      <c r="H55" s="207" t="s">
        <v>35</v>
      </c>
    </row>
    <row r="56" spans="1:10" x14ac:dyDescent="0.2">
      <c r="A56" s="166"/>
      <c r="B56" s="166" t="s">
        <v>121</v>
      </c>
      <c r="E56" s="163"/>
      <c r="F56" s="197" t="s">
        <v>227</v>
      </c>
      <c r="G56" s="243">
        <v>117649827.66</v>
      </c>
      <c r="H56" s="176" t="s">
        <v>228</v>
      </c>
    </row>
    <row r="57" spans="1:10" x14ac:dyDescent="0.2">
      <c r="A57" s="166"/>
      <c r="B57" s="166" t="s">
        <v>123</v>
      </c>
      <c r="C57" s="223"/>
      <c r="E57" s="163"/>
      <c r="F57" s="197" t="s">
        <v>229</v>
      </c>
      <c r="G57" s="181">
        <f>E61</f>
        <v>28016504.916686665</v>
      </c>
      <c r="H57" s="247" t="str">
        <f>"Note 2, "&amp;B61&amp;""</f>
        <v>Note 2, d</v>
      </c>
    </row>
    <row r="58" spans="1:10" x14ac:dyDescent="0.2">
      <c r="A58" s="166"/>
      <c r="B58" s="166" t="s">
        <v>127</v>
      </c>
      <c r="F58" s="224" t="s">
        <v>230</v>
      </c>
      <c r="G58" s="173">
        <f>G56-G57</f>
        <v>89633322.743313327</v>
      </c>
    </row>
    <row r="59" spans="1:10" x14ac:dyDescent="0.2">
      <c r="A59" s="166"/>
      <c r="C59" s="61" t="s">
        <v>231</v>
      </c>
      <c r="D59" s="52"/>
      <c r="E59" s="52"/>
      <c r="G59" s="221"/>
    </row>
    <row r="60" spans="1:10" x14ac:dyDescent="0.2">
      <c r="A60" s="166"/>
      <c r="D60" s="169" t="s">
        <v>232</v>
      </c>
      <c r="E60" s="170" t="s">
        <v>34</v>
      </c>
      <c r="F60" s="251" t="s">
        <v>35</v>
      </c>
      <c r="G60" s="221"/>
    </row>
    <row r="61" spans="1:10" x14ac:dyDescent="0.2">
      <c r="A61" s="166"/>
      <c r="B61" s="166" t="s">
        <v>129</v>
      </c>
      <c r="D61" t="s">
        <v>233</v>
      </c>
      <c r="E61" s="142">
        <v>28016504.916686665</v>
      </c>
      <c r="F61" s="176" t="s">
        <v>234</v>
      </c>
      <c r="G61" s="173"/>
      <c r="I61" s="163"/>
    </row>
    <row r="62" spans="1:10" x14ac:dyDescent="0.2">
      <c r="A62" s="166"/>
      <c r="B62" s="171" t="s">
        <v>133</v>
      </c>
      <c r="C62" s="163"/>
      <c r="D62" s="174" t="s">
        <v>235</v>
      </c>
      <c r="E62" s="142">
        <v>14148856.680759618</v>
      </c>
      <c r="F62" s="176" t="s">
        <v>234</v>
      </c>
      <c r="G62" s="173"/>
      <c r="I62" s="66"/>
    </row>
    <row r="63" spans="1:10" x14ac:dyDescent="0.2">
      <c r="A63" s="166"/>
      <c r="B63" s="171" t="s">
        <v>136</v>
      </c>
      <c r="C63" s="163"/>
      <c r="D63" s="174" t="s">
        <v>236</v>
      </c>
      <c r="E63" s="143">
        <v>35799236.865964532</v>
      </c>
      <c r="F63" s="176" t="s">
        <v>234</v>
      </c>
      <c r="G63" s="173"/>
      <c r="I63" s="173"/>
    </row>
    <row r="64" spans="1:10" x14ac:dyDescent="0.2">
      <c r="A64" s="166"/>
      <c r="B64" s="171" t="s">
        <v>138</v>
      </c>
      <c r="C64" s="163"/>
      <c r="D64" s="197" t="s">
        <v>166</v>
      </c>
      <c r="E64" s="173">
        <f>SUM(E61:E63)</f>
        <v>77964598.463410825</v>
      </c>
      <c r="F64" s="176" t="str">
        <f>"Sum of "&amp;B61&amp;" to "&amp;B63&amp;""</f>
        <v>Sum of d to f</v>
      </c>
      <c r="G64" s="173"/>
      <c r="I64" s="163"/>
    </row>
    <row r="65" spans="1:10" x14ac:dyDescent="0.2">
      <c r="F65" s="163"/>
      <c r="G65" s="163"/>
    </row>
    <row r="66" spans="1:10" x14ac:dyDescent="0.2">
      <c r="B66" s="252" t="s">
        <v>237</v>
      </c>
      <c r="C66" s="253"/>
      <c r="D66" s="253"/>
      <c r="E66" s="253"/>
      <c r="F66" s="192"/>
      <c r="G66" s="192"/>
    </row>
    <row r="67" spans="1:10" x14ac:dyDescent="0.2">
      <c r="B67" s="253"/>
      <c r="C67" s="253"/>
      <c r="D67" s="253"/>
      <c r="E67" s="251" t="s">
        <v>34</v>
      </c>
      <c r="F67" s="254" t="s">
        <v>238</v>
      </c>
      <c r="G67" s="192"/>
    </row>
    <row r="68" spans="1:10" x14ac:dyDescent="0.2">
      <c r="A68" s="166"/>
      <c r="B68" s="255" t="s">
        <v>121</v>
      </c>
      <c r="C68" s="253"/>
      <c r="D68" s="256" t="s">
        <v>239</v>
      </c>
      <c r="E68" s="257">
        <v>37714779</v>
      </c>
      <c r="F68" s="258" t="s">
        <v>240</v>
      </c>
      <c r="G68" s="192"/>
    </row>
    <row r="69" spans="1:10" x14ac:dyDescent="0.2">
      <c r="A69" s="166"/>
      <c r="B69" s="255" t="s">
        <v>123</v>
      </c>
      <c r="C69" s="253"/>
      <c r="D69" s="256" t="s">
        <v>241</v>
      </c>
      <c r="E69" s="259">
        <v>23777694</v>
      </c>
      <c r="F69" s="258" t="s">
        <v>228</v>
      </c>
      <c r="G69" s="192"/>
    </row>
    <row r="70" spans="1:10" x14ac:dyDescent="0.2">
      <c r="A70" s="166"/>
      <c r="B70" s="255" t="s">
        <v>127</v>
      </c>
      <c r="C70" s="253"/>
      <c r="D70" s="256" t="s">
        <v>242</v>
      </c>
      <c r="E70" s="696">
        <f>E69-E68</f>
        <v>-13937085</v>
      </c>
      <c r="F70" s="261" t="str">
        <f>""&amp;B69&amp;" - "&amp;B68&amp;""</f>
        <v>b - a</v>
      </c>
      <c r="G70" s="253"/>
    </row>
    <row r="71" spans="1:10" x14ac:dyDescent="0.2">
      <c r="A71" s="166"/>
      <c r="B71" s="162" t="s">
        <v>243</v>
      </c>
      <c r="D71" s="224"/>
      <c r="E71" s="262"/>
      <c r="F71" s="247"/>
    </row>
    <row r="72" spans="1:10" x14ac:dyDescent="0.2">
      <c r="A72" s="166"/>
      <c r="B72" s="162"/>
      <c r="C72" t="str">
        <f>"Amount in Line "&amp;A44&amp;", column 2 equals amount in Line "&amp;A13&amp;", column 1 because all Franchise Requirements Expenses are excluded"</f>
        <v>Amount in Line 31, column 2 equals amount in Line 8, column 1 because all Franchise Requirements Expenses are excluded</v>
      </c>
      <c r="D72" s="224"/>
      <c r="E72" s="262"/>
      <c r="F72" s="247"/>
    </row>
    <row r="73" spans="1:10" x14ac:dyDescent="0.2">
      <c r="A73" s="166"/>
      <c r="B73" s="162"/>
      <c r="C73" s="223" t="s">
        <v>244</v>
      </c>
      <c r="D73" s="224"/>
      <c r="E73" s="262"/>
      <c r="F73" s="247"/>
    </row>
    <row r="75" spans="1:10" x14ac:dyDescent="0.2">
      <c r="B75" s="162" t="s">
        <v>109</v>
      </c>
    </row>
    <row r="76" spans="1:10" x14ac:dyDescent="0.2">
      <c r="C76" s="174" t="str">
        <f>"1) Enter amounts of A&amp;G expenses from FERC Form 1 in Lines "&amp;A6&amp;" to "&amp;A19&amp;"."</f>
        <v>1) Enter amounts of A&amp;G expenses from FERC Form 1 in Lines 1 to 14.</v>
      </c>
      <c r="D76" s="163"/>
      <c r="E76" s="163"/>
      <c r="F76" s="163"/>
      <c r="G76" s="163"/>
      <c r="H76" s="163"/>
      <c r="I76" s="163"/>
      <c r="J76" s="163"/>
    </row>
    <row r="77" spans="1:10" x14ac:dyDescent="0.2">
      <c r="C77" s="174" t="s">
        <v>245</v>
      </c>
      <c r="D77" s="163"/>
      <c r="E77" s="163"/>
      <c r="F77" s="163"/>
      <c r="G77" s="163" t="str">
        <f>"Column 3, Line "&amp;A37&amp;""</f>
        <v>Column 3, Line 24</v>
      </c>
      <c r="H77" s="163"/>
      <c r="I77" s="163"/>
      <c r="J77" s="163"/>
    </row>
    <row r="78" spans="1:10" x14ac:dyDescent="0.2">
      <c r="C78" s="176" t="str">
        <f>"is calculated in Note 2.  The PBOPs exclusion in Column 4, Line "&amp;A43&amp;" is calculated in Note 3."</f>
        <v>is calculated in Note 2.  The PBOPs exclusion in Column 4, Line 30 is calculated in Note 3.</v>
      </c>
      <c r="D78" s="163"/>
      <c r="E78" s="163"/>
      <c r="F78" s="163"/>
      <c r="G78" s="174"/>
      <c r="H78" s="163"/>
      <c r="I78" s="163"/>
      <c r="J78" s="163"/>
    </row>
    <row r="79" spans="1:10" x14ac:dyDescent="0.2">
      <c r="C79" s="176" t="s">
        <v>246</v>
      </c>
      <c r="D79" s="163"/>
      <c r="E79" s="163"/>
      <c r="F79" s="163"/>
      <c r="G79" s="163"/>
      <c r="H79" s="163"/>
      <c r="I79" s="163"/>
      <c r="J79" s="163"/>
    </row>
    <row r="80" spans="1:10" x14ac:dyDescent="0.2">
      <c r="C80" s="176" t="s">
        <v>247</v>
      </c>
      <c r="D80" s="197"/>
      <c r="E80" s="248"/>
      <c r="F80" s="176"/>
      <c r="G80" s="163"/>
      <c r="H80" s="163"/>
      <c r="I80" s="163"/>
      <c r="J80" s="163"/>
    </row>
    <row r="81" spans="3:10" x14ac:dyDescent="0.2">
      <c r="C81" s="176" t="s">
        <v>248</v>
      </c>
      <c r="D81" s="197"/>
      <c r="E81" s="248"/>
      <c r="F81" s="176"/>
      <c r="G81" s="163"/>
      <c r="H81" s="163"/>
      <c r="I81" s="163"/>
      <c r="J81" s="163"/>
    </row>
    <row r="82" spans="3:10" x14ac:dyDescent="0.2">
      <c r="C82" s="176" t="s">
        <v>249</v>
      </c>
      <c r="D82" s="163"/>
      <c r="E82" s="163"/>
      <c r="F82" s="163"/>
      <c r="G82" s="163"/>
      <c r="H82" s="163"/>
      <c r="I82" s="163"/>
      <c r="J82" s="163"/>
    </row>
    <row r="83" spans="3:10" x14ac:dyDescent="0.2">
      <c r="C83" s="176" t="s">
        <v>250</v>
      </c>
      <c r="D83" s="163"/>
      <c r="E83" s="163"/>
      <c r="F83" s="163"/>
      <c r="G83" s="163"/>
      <c r="H83" s="163"/>
      <c r="I83" s="163"/>
      <c r="J83" s="163"/>
    </row>
    <row r="84" spans="3:10" x14ac:dyDescent="0.2">
      <c r="C84" s="176" t="s">
        <v>251</v>
      </c>
      <c r="D84" s="163"/>
      <c r="E84" s="163"/>
      <c r="F84" s="163"/>
      <c r="G84" s="163"/>
      <c r="H84" s="163"/>
      <c r="I84" s="163"/>
      <c r="J84" s="163"/>
    </row>
    <row r="85" spans="3:10" x14ac:dyDescent="0.2">
      <c r="C85" s="176" t="s">
        <v>252</v>
      </c>
      <c r="D85" s="163"/>
      <c r="E85" s="163"/>
      <c r="F85" s="163"/>
      <c r="G85" s="163"/>
      <c r="H85" s="163"/>
      <c r="I85" s="163"/>
      <c r="J85" s="163"/>
    </row>
    <row r="86" spans="3:10" x14ac:dyDescent="0.2">
      <c r="C86" s="176" t="s">
        <v>253</v>
      </c>
      <c r="D86" s="163"/>
      <c r="E86" s="163"/>
      <c r="F86" s="163"/>
      <c r="G86" s="163"/>
      <c r="H86" s="163"/>
      <c r="I86" s="163"/>
      <c r="J86" s="163"/>
    </row>
    <row r="87" spans="3:10" x14ac:dyDescent="0.2">
      <c r="C87" s="176" t="s">
        <v>254</v>
      </c>
      <c r="D87" s="174"/>
      <c r="E87" s="263"/>
      <c r="F87" s="263"/>
      <c r="G87" s="263"/>
      <c r="H87" s="163"/>
      <c r="I87" s="163"/>
      <c r="J87" s="163"/>
    </row>
    <row r="88" spans="3:10" x14ac:dyDescent="0.2">
      <c r="C88" s="264" t="s">
        <v>255</v>
      </c>
      <c r="D88" s="174"/>
      <c r="E88" s="263"/>
      <c r="F88" s="263"/>
      <c r="G88" s="263"/>
      <c r="H88" s="163"/>
      <c r="I88" s="163"/>
      <c r="J88" s="163"/>
    </row>
    <row r="89" spans="3:10" x14ac:dyDescent="0.2">
      <c r="C89" s="264" t="s">
        <v>256</v>
      </c>
      <c r="D89" s="174"/>
      <c r="E89" s="263"/>
      <c r="F89" s="263"/>
      <c r="G89" s="263"/>
      <c r="H89" s="163"/>
      <c r="I89" s="163"/>
      <c r="J89" s="163"/>
    </row>
    <row r="90" spans="3:10" x14ac:dyDescent="0.2">
      <c r="C90" s="264" t="s">
        <v>257</v>
      </c>
      <c r="D90" s="174"/>
      <c r="E90" s="263"/>
      <c r="F90" s="263"/>
      <c r="G90" s="263"/>
      <c r="H90" s="163"/>
      <c r="I90" s="163"/>
      <c r="J90" s="163"/>
    </row>
    <row r="91" spans="3:10" x14ac:dyDescent="0.2">
      <c r="C91" s="176" t="s">
        <v>258</v>
      </c>
      <c r="D91" s="174"/>
      <c r="E91" s="263"/>
      <c r="F91" s="263"/>
      <c r="G91" s="263"/>
      <c r="H91" s="163"/>
      <c r="I91" s="163"/>
      <c r="J91" s="163"/>
    </row>
    <row r="92" spans="3:10" x14ac:dyDescent="0.2">
      <c r="C92" s="264" t="s">
        <v>259</v>
      </c>
      <c r="D92" s="174"/>
      <c r="E92" s="263"/>
      <c r="F92" s="263"/>
      <c r="G92" s="263"/>
      <c r="H92" s="163"/>
      <c r="I92" s="163"/>
      <c r="J92" s="163"/>
    </row>
    <row r="93" spans="3:10" x14ac:dyDescent="0.2">
      <c r="C93" s="264" t="s">
        <v>260</v>
      </c>
      <c r="D93" s="174"/>
      <c r="E93" s="263"/>
      <c r="F93" s="263"/>
      <c r="G93" s="263"/>
      <c r="H93" s="163"/>
      <c r="I93" s="163"/>
      <c r="J93" s="163"/>
    </row>
    <row r="94" spans="3:10" x14ac:dyDescent="0.2">
      <c r="C94" s="264" t="s">
        <v>261</v>
      </c>
      <c r="D94" s="174"/>
      <c r="E94" s="263"/>
      <c r="F94" s="263"/>
      <c r="G94" s="263"/>
      <c r="H94" s="163"/>
      <c r="I94" s="163"/>
      <c r="J94" s="163"/>
    </row>
    <row r="95" spans="3:10" x14ac:dyDescent="0.2">
      <c r="C95" s="264" t="s">
        <v>262</v>
      </c>
      <c r="D95" s="174"/>
      <c r="E95" s="263"/>
      <c r="F95" s="263"/>
      <c r="G95" s="263"/>
      <c r="H95" s="163"/>
      <c r="I95" s="163"/>
      <c r="J95" s="163"/>
    </row>
    <row r="96" spans="3:10" x14ac:dyDescent="0.2">
      <c r="C96" s="176" t="s">
        <v>263</v>
      </c>
      <c r="D96" s="174"/>
      <c r="E96" s="263"/>
      <c r="F96" s="263"/>
      <c r="G96" s="263"/>
      <c r="H96" s="263"/>
      <c r="I96" s="163"/>
      <c r="J96" s="163"/>
    </row>
    <row r="97" spans="3:10" x14ac:dyDescent="0.2">
      <c r="C97" s="264" t="s">
        <v>264</v>
      </c>
      <c r="D97" s="174"/>
      <c r="E97" s="263"/>
      <c r="F97" s="263"/>
      <c r="G97" s="263"/>
      <c r="H97" s="163"/>
      <c r="I97" s="163"/>
      <c r="J97" s="163"/>
    </row>
    <row r="98" spans="3:10" x14ac:dyDescent="0.2">
      <c r="C98" s="68" t="s">
        <v>265</v>
      </c>
      <c r="D98" s="174"/>
      <c r="E98" s="263"/>
      <c r="F98" s="263"/>
      <c r="G98" s="263"/>
      <c r="H98" s="163"/>
      <c r="I98" s="163"/>
      <c r="J98" s="163"/>
    </row>
    <row r="99" spans="3:10" x14ac:dyDescent="0.2">
      <c r="C99" s="68" t="s">
        <v>266</v>
      </c>
      <c r="D99" s="174"/>
      <c r="E99" s="263"/>
      <c r="F99" s="263"/>
      <c r="G99" s="263"/>
      <c r="H99" s="163"/>
      <c r="I99" s="163"/>
      <c r="J99" s="163"/>
    </row>
    <row r="100" spans="3:10" x14ac:dyDescent="0.2">
      <c r="C100" s="68" t="s">
        <v>267</v>
      </c>
      <c r="D100" s="174"/>
      <c r="E100" s="263"/>
      <c r="F100" s="263"/>
      <c r="G100" s="263"/>
      <c r="H100" s="163"/>
      <c r="I100" s="163"/>
      <c r="J100" s="163"/>
    </row>
    <row r="101" spans="3:10" x14ac:dyDescent="0.2">
      <c r="C101" s="68" t="s">
        <v>266</v>
      </c>
      <c r="D101" s="174"/>
      <c r="E101" s="263"/>
      <c r="F101" s="263"/>
      <c r="G101" s="263"/>
      <c r="H101" s="163"/>
      <c r="I101" s="163"/>
      <c r="J101" s="163"/>
    </row>
    <row r="102" spans="3:10" x14ac:dyDescent="0.2">
      <c r="C102" s="68" t="s">
        <v>268</v>
      </c>
      <c r="D102" s="174"/>
      <c r="E102" s="263"/>
      <c r="F102" s="263"/>
      <c r="G102" s="263"/>
      <c r="H102" s="163"/>
      <c r="I102" s="163"/>
      <c r="J102" s="163"/>
    </row>
    <row r="103" spans="3:10" x14ac:dyDescent="0.2">
      <c r="C103" s="264" t="s">
        <v>269</v>
      </c>
      <c r="D103" s="174"/>
      <c r="E103" s="263"/>
      <c r="F103" s="263"/>
      <c r="G103" s="263"/>
      <c r="H103" s="163"/>
      <c r="I103" s="163"/>
      <c r="J103" s="163"/>
    </row>
    <row r="104" spans="3:10" x14ac:dyDescent="0.2">
      <c r="C104" s="264" t="s">
        <v>270</v>
      </c>
      <c r="D104" s="174"/>
      <c r="E104" s="263"/>
      <c r="F104" s="263"/>
      <c r="G104" s="263"/>
      <c r="H104" s="163"/>
      <c r="I104" s="163"/>
      <c r="J104" s="163"/>
    </row>
    <row r="105" spans="3:10" x14ac:dyDescent="0.2">
      <c r="C105" s="69" t="s">
        <v>271</v>
      </c>
      <c r="D105" s="52"/>
      <c r="E105" s="52"/>
      <c r="F105" s="52"/>
      <c r="G105" s="52"/>
      <c r="H105" s="52"/>
      <c r="I105" s="52"/>
      <c r="J105" s="52"/>
    </row>
    <row r="106" spans="3:10" x14ac:dyDescent="0.2">
      <c r="C106" s="174" t="s">
        <v>272</v>
      </c>
      <c r="D106" s="163"/>
      <c r="E106" s="163"/>
      <c r="F106" s="163"/>
      <c r="G106" s="163"/>
      <c r="H106" s="163"/>
      <c r="I106" s="163"/>
      <c r="J106" s="163"/>
    </row>
    <row r="107" spans="3:10" x14ac:dyDescent="0.2">
      <c r="C107" s="69" t="s">
        <v>273</v>
      </c>
      <c r="D107" s="61"/>
      <c r="E107" s="61"/>
      <c r="F107" s="61"/>
      <c r="G107" s="61"/>
      <c r="H107" s="61"/>
      <c r="I107" s="61"/>
      <c r="J107" s="163"/>
    </row>
    <row r="108" spans="3:10" x14ac:dyDescent="0.2">
      <c r="C108" s="174" t="str">
        <f>"4) Determine the PBOPs exclusion.  The authorized amount of PBOPs expense (line "&amp;B68&amp;") may only be revised"</f>
        <v>4) Determine the PBOPs exclusion.  The authorized amount of PBOPs expense (line a) may only be revised</v>
      </c>
      <c r="D108" s="163"/>
      <c r="E108" s="163"/>
      <c r="F108" s="163"/>
      <c r="G108" s="163"/>
      <c r="H108" s="163"/>
      <c r="I108" s="163"/>
      <c r="J108" s="163"/>
    </row>
    <row r="109" spans="3:10" x14ac:dyDescent="0.2">
      <c r="C109" s="174" t="s">
        <v>274</v>
      </c>
      <c r="D109" s="163"/>
      <c r="E109" s="163"/>
      <c r="F109" s="163"/>
      <c r="G109" s="163"/>
      <c r="H109" s="163"/>
      <c r="I109" s="163"/>
      <c r="J109" s="163"/>
    </row>
    <row r="110" spans="3:10" x14ac:dyDescent="0.2">
      <c r="C110" s="174" t="s">
        <v>275</v>
      </c>
      <c r="D110" s="163"/>
      <c r="E110" s="163"/>
      <c r="F110" s="163"/>
      <c r="G110" s="163"/>
      <c r="H110" s="163"/>
      <c r="I110" s="163"/>
      <c r="J110" s="163"/>
    </row>
    <row r="111" spans="3:10" x14ac:dyDescent="0.2">
      <c r="C111" s="174" t="s">
        <v>276</v>
      </c>
      <c r="D111" s="163"/>
      <c r="E111" s="163"/>
      <c r="F111" s="163"/>
      <c r="G111" s="163"/>
      <c r="H111" s="163"/>
      <c r="I111" s="265" t="s">
        <v>971</v>
      </c>
      <c r="J111" s="266"/>
    </row>
    <row r="112" spans="3:10" x14ac:dyDescent="0.2">
      <c r="C112" s="174" t="s">
        <v>278</v>
      </c>
      <c r="D112" s="163"/>
      <c r="E112" s="163"/>
      <c r="F112" s="163"/>
      <c r="G112" s="163"/>
      <c r="H112" s="163"/>
      <c r="I112" s="163"/>
    </row>
  </sheetData>
  <pageMargins left="0.75" right="0.75" top="1" bottom="1" header="0.5" footer="0.5"/>
  <pageSetup scale="74" orientation="landscape" cellComments="asDisplayed" r:id="rId1"/>
  <headerFooter alignWithMargins="0">
    <oddHeader>&amp;CSchedule 20
Administrative and General Expenses
(Revised 2015 True Up TRR)&amp;RTO12 Draft Annual Update
Attachment 4
WP-Schedule 3-One Time Adj True Up Adj
Page &amp;P of &amp;N</oddHeader>
    <oddFooter>&amp;R&amp;A</oddFooter>
  </headerFooter>
  <rowBreaks count="2" manualBreakCount="2">
    <brk id="50" max="9" man="1"/>
    <brk id="74" max="16383" man="1"/>
  </rowBreaks>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38"/>
  <sheetViews>
    <sheetView zoomScaleNormal="100" workbookViewId="0"/>
  </sheetViews>
  <sheetFormatPr defaultRowHeight="12.75" x14ac:dyDescent="0.2"/>
  <cols>
    <col min="1" max="2" width="4.7109375" customWidth="1"/>
    <col min="3" max="3" width="40.7109375" customWidth="1"/>
    <col min="4" max="4" width="20.7109375" customWidth="1"/>
    <col min="5" max="5" width="28.7109375" customWidth="1"/>
    <col min="6" max="6" width="2.7109375" customWidth="1"/>
    <col min="7" max="7" width="16.7109375" customWidth="1"/>
  </cols>
  <sheetData>
    <row r="1" spans="1:9" x14ac:dyDescent="0.2">
      <c r="A1" s="162" t="s">
        <v>578</v>
      </c>
      <c r="B1" s="162"/>
    </row>
    <row r="2" spans="1:9" x14ac:dyDescent="0.2">
      <c r="A2" s="162"/>
      <c r="B2" s="162"/>
      <c r="E2" s="218" t="s">
        <v>164</v>
      </c>
    </row>
    <row r="3" spans="1:9" x14ac:dyDescent="0.2">
      <c r="G3" s="660"/>
    </row>
    <row r="4" spans="1:9" x14ac:dyDescent="0.2">
      <c r="A4" s="166"/>
      <c r="B4" s="162" t="s">
        <v>577</v>
      </c>
      <c r="G4" s="660"/>
    </row>
    <row r="5" spans="1:9" x14ac:dyDescent="0.2">
      <c r="A5" s="166"/>
      <c r="C5" s="162"/>
      <c r="D5" s="166"/>
      <c r="E5" s="166" t="s">
        <v>41</v>
      </c>
      <c r="G5" s="226" t="s">
        <v>564</v>
      </c>
    </row>
    <row r="6" spans="1:9" x14ac:dyDescent="0.2">
      <c r="A6" s="169" t="s">
        <v>296</v>
      </c>
      <c r="C6" s="162"/>
      <c r="D6" s="170" t="s">
        <v>45</v>
      </c>
      <c r="E6" s="170" t="s">
        <v>46</v>
      </c>
      <c r="G6" s="170" t="s">
        <v>563</v>
      </c>
    </row>
    <row r="7" spans="1:9" x14ac:dyDescent="0.2">
      <c r="A7" s="166">
        <v>1</v>
      </c>
      <c r="C7" s="661" t="s">
        <v>576</v>
      </c>
      <c r="D7" s="163"/>
      <c r="E7" s="174" t="s">
        <v>1070</v>
      </c>
      <c r="G7" s="179">
        <v>35010119.779705986</v>
      </c>
      <c r="I7" s="223"/>
    </row>
    <row r="8" spans="1:9" x14ac:dyDescent="0.2">
      <c r="A8" s="166">
        <f>A7+1</f>
        <v>2</v>
      </c>
      <c r="C8" s="661" t="s">
        <v>575</v>
      </c>
      <c r="D8" s="163"/>
      <c r="E8" s="174" t="s">
        <v>574</v>
      </c>
      <c r="G8" s="662">
        <v>754196482</v>
      </c>
    </row>
    <row r="9" spans="1:9" x14ac:dyDescent="0.2">
      <c r="A9" s="166">
        <f t="shared" ref="A9:A72" si="0">A8+1</f>
        <v>3</v>
      </c>
      <c r="C9" s="258" t="s">
        <v>573</v>
      </c>
      <c r="D9" s="163"/>
      <c r="E9" s="174" t="s">
        <v>572</v>
      </c>
      <c r="G9" s="662">
        <v>221991079</v>
      </c>
    </row>
    <row r="10" spans="1:9" x14ac:dyDescent="0.2">
      <c r="A10" s="166">
        <f t="shared" si="0"/>
        <v>4</v>
      </c>
      <c r="C10" s="661" t="s">
        <v>571</v>
      </c>
      <c r="D10" s="163"/>
      <c r="E10" s="174" t="str">
        <f>"Line "&amp;A8&amp;" - Line "&amp;A9&amp;""</f>
        <v>Line 2 - Line 3</v>
      </c>
      <c r="G10" s="221">
        <f>G8-G9</f>
        <v>532205403</v>
      </c>
    </row>
    <row r="11" spans="1:9" x14ac:dyDescent="0.2">
      <c r="A11" s="166">
        <f t="shared" si="0"/>
        <v>5</v>
      </c>
      <c r="C11" s="661" t="s">
        <v>570</v>
      </c>
      <c r="D11" s="163"/>
      <c r="E11" s="174" t="str">
        <f>"20-AandG, Note 2"</f>
        <v>20-AandG, Note 2</v>
      </c>
      <c r="G11" s="173">
        <v>77964598.463410825</v>
      </c>
      <c r="I11" s="223"/>
    </row>
    <row r="12" spans="1:9" x14ac:dyDescent="0.2">
      <c r="A12" s="166">
        <f t="shared" si="0"/>
        <v>6</v>
      </c>
      <c r="C12" s="258" t="s">
        <v>569</v>
      </c>
      <c r="D12" s="163"/>
      <c r="E12" s="174" t="str">
        <f>"20-AandG, Note 2"</f>
        <v>20-AandG, Note 2</v>
      </c>
      <c r="G12" s="188">
        <v>28016504.916686665</v>
      </c>
    </row>
    <row r="13" spans="1:9" x14ac:dyDescent="0.2">
      <c r="A13" s="166">
        <f t="shared" si="0"/>
        <v>7</v>
      </c>
      <c r="C13" s="661" t="s">
        <v>568</v>
      </c>
      <c r="D13" s="163"/>
      <c r="E13" s="174" t="str">
        <f>"Line "&amp;A11&amp;" - Line "&amp;A12&amp;""</f>
        <v>Line 5 - Line 6</v>
      </c>
      <c r="G13" s="173">
        <f>G11-G12</f>
        <v>49948093.546724156</v>
      </c>
    </row>
    <row r="14" spans="1:9" x14ac:dyDescent="0.2">
      <c r="A14" s="166">
        <f t="shared" si="0"/>
        <v>8</v>
      </c>
      <c r="C14" s="661" t="s">
        <v>567</v>
      </c>
      <c r="D14" s="163"/>
      <c r="E14" s="174" t="str">
        <f>"Line "&amp;A10&amp;" + Line "&amp;A13&amp;""</f>
        <v>Line 4 + Line 7</v>
      </c>
      <c r="G14" s="173">
        <f>G10+G13</f>
        <v>582153496.5467242</v>
      </c>
    </row>
    <row r="15" spans="1:9" x14ac:dyDescent="0.2">
      <c r="A15" s="166">
        <f t="shared" si="0"/>
        <v>9</v>
      </c>
      <c r="C15" s="163" t="s">
        <v>566</v>
      </c>
      <c r="D15" s="163"/>
      <c r="E15" s="174" t="str">
        <f>"Line "&amp;A7&amp;" / Line "&amp;A14&amp;""</f>
        <v>Line 1 / Line 8</v>
      </c>
      <c r="G15" s="492">
        <f>G7/G14</f>
        <v>6.0138983940459835E-2</v>
      </c>
    </row>
    <row r="16" spans="1:9" x14ac:dyDescent="0.2">
      <c r="A16" s="166">
        <f t="shared" si="0"/>
        <v>10</v>
      </c>
      <c r="C16" s="163"/>
      <c r="D16" s="163"/>
      <c r="E16" s="163"/>
    </row>
    <row r="17" spans="1:11" x14ac:dyDescent="0.2">
      <c r="A17" s="166">
        <f t="shared" si="0"/>
        <v>11</v>
      </c>
      <c r="B17" s="162" t="s">
        <v>565</v>
      </c>
      <c r="C17" s="163"/>
      <c r="D17" s="163"/>
      <c r="E17" s="163"/>
      <c r="G17" s="660"/>
    </row>
    <row r="18" spans="1:11" x14ac:dyDescent="0.2">
      <c r="A18" s="166">
        <f t="shared" si="0"/>
        <v>12</v>
      </c>
      <c r="C18" s="163"/>
      <c r="D18" s="171"/>
      <c r="E18" s="171" t="s">
        <v>41</v>
      </c>
      <c r="G18" s="226" t="s">
        <v>564</v>
      </c>
    </row>
    <row r="19" spans="1:11" x14ac:dyDescent="0.2">
      <c r="A19" s="166">
        <f t="shared" si="0"/>
        <v>13</v>
      </c>
      <c r="C19" s="163"/>
      <c r="D19" s="207" t="s">
        <v>45</v>
      </c>
      <c r="E19" s="207" t="s">
        <v>46</v>
      </c>
      <c r="G19" s="170" t="s">
        <v>563</v>
      </c>
    </row>
    <row r="20" spans="1:11" x14ac:dyDescent="0.2">
      <c r="A20" s="166">
        <f t="shared" si="0"/>
        <v>14</v>
      </c>
      <c r="C20" s="163" t="s">
        <v>562</v>
      </c>
      <c r="D20" s="163"/>
      <c r="E20" s="174" t="s">
        <v>1056</v>
      </c>
      <c r="G20" s="179">
        <v>7656336713.6343288</v>
      </c>
    </row>
    <row r="21" spans="1:11" x14ac:dyDescent="0.2">
      <c r="A21" s="166">
        <f t="shared" si="0"/>
        <v>15</v>
      </c>
      <c r="C21" s="163" t="s">
        <v>561</v>
      </c>
      <c r="D21" s="163"/>
      <c r="E21" s="174" t="s">
        <v>1057</v>
      </c>
      <c r="G21" s="173">
        <v>0</v>
      </c>
    </row>
    <row r="22" spans="1:11" x14ac:dyDescent="0.2">
      <c r="A22" s="166">
        <f t="shared" si="0"/>
        <v>16</v>
      </c>
      <c r="C22" s="163" t="s">
        <v>560</v>
      </c>
      <c r="D22" s="163"/>
      <c r="E22" s="174" t="s">
        <v>1011</v>
      </c>
      <c r="G22" s="173">
        <v>1597954444</v>
      </c>
      <c r="H22" s="660"/>
    </row>
    <row r="23" spans="1:11" x14ac:dyDescent="0.2">
      <c r="A23" s="166">
        <f t="shared" si="0"/>
        <v>17</v>
      </c>
      <c r="C23" s="163" t="s">
        <v>559</v>
      </c>
      <c r="D23" s="163"/>
      <c r="E23" s="163" t="str">
        <f>"Line "&amp;A22&amp;" * Line "&amp;A15&amp;""</f>
        <v>Line 16 * Line 9</v>
      </c>
      <c r="G23" s="179">
        <f>G22*G15</f>
        <v>96099356.64530243</v>
      </c>
    </row>
    <row r="24" spans="1:11" x14ac:dyDescent="0.2">
      <c r="A24" s="166">
        <f t="shared" si="0"/>
        <v>18</v>
      </c>
      <c r="C24" s="163" t="s">
        <v>558</v>
      </c>
      <c r="D24" s="163"/>
      <c r="E24" s="174" t="s">
        <v>1012</v>
      </c>
      <c r="G24" s="173">
        <v>2810955447</v>
      </c>
    </row>
    <row r="25" spans="1:11" x14ac:dyDescent="0.2">
      <c r="A25" s="166">
        <f t="shared" si="0"/>
        <v>19</v>
      </c>
      <c r="C25" s="163" t="s">
        <v>557</v>
      </c>
      <c r="D25" s="163"/>
      <c r="E25" s="163" t="str">
        <f>"Line "&amp;A24&amp;" * Line "&amp;A15&amp;""</f>
        <v>Line 18 * Line 9</v>
      </c>
      <c r="G25" s="179">
        <f>G24*G15</f>
        <v>169048004.4844811</v>
      </c>
    </row>
    <row r="26" spans="1:11" x14ac:dyDescent="0.2">
      <c r="A26" s="166">
        <f t="shared" si="0"/>
        <v>20</v>
      </c>
      <c r="C26" s="174" t="s">
        <v>556</v>
      </c>
      <c r="D26" s="163"/>
      <c r="E26" s="163" t="s">
        <v>555</v>
      </c>
      <c r="G26" s="662">
        <v>41556515000</v>
      </c>
    </row>
    <row r="27" spans="1:11" x14ac:dyDescent="0.2">
      <c r="A27" s="166">
        <f t="shared" si="0"/>
        <v>21</v>
      </c>
      <c r="C27" s="163"/>
      <c r="D27" s="163"/>
      <c r="E27" s="163"/>
      <c r="G27" s="660"/>
    </row>
    <row r="28" spans="1:11" x14ac:dyDescent="0.2">
      <c r="A28" s="166">
        <f t="shared" si="0"/>
        <v>22</v>
      </c>
      <c r="C28" s="163" t="s">
        <v>554</v>
      </c>
      <c r="D28" s="163"/>
      <c r="E28" s="174" t="str">
        <f>"(L"&amp;A20&amp;" + L"&amp;A21&amp;" + L"&amp;A23&amp;" + L"&amp;A25&amp;") / L"&amp;A26&amp;""</f>
        <v>(L14 + L15 + L17 + L19) / L20</v>
      </c>
      <c r="G28" s="492">
        <f>(G20+G21+G23+G25)/G26</f>
        <v>0.19061954725424191</v>
      </c>
    </row>
    <row r="29" spans="1:11" x14ac:dyDescent="0.2">
      <c r="A29" s="166">
        <f t="shared" si="0"/>
        <v>23</v>
      </c>
      <c r="C29" s="163"/>
      <c r="D29" s="163"/>
      <c r="E29" s="174"/>
      <c r="G29" s="233"/>
    </row>
    <row r="30" spans="1:11" x14ac:dyDescent="0.2">
      <c r="A30" s="171">
        <f t="shared" si="0"/>
        <v>24</v>
      </c>
      <c r="B30" s="183" t="s">
        <v>553</v>
      </c>
      <c r="C30" s="163"/>
      <c r="D30" s="163"/>
      <c r="E30" s="163"/>
      <c r="F30" s="163"/>
      <c r="G30" s="163"/>
      <c r="H30" s="163"/>
      <c r="I30" s="163"/>
      <c r="J30" s="163"/>
      <c r="K30" s="163"/>
    </row>
    <row r="31" spans="1:11" x14ac:dyDescent="0.2">
      <c r="A31" s="171">
        <f t="shared" si="0"/>
        <v>25</v>
      </c>
      <c r="B31" s="174"/>
      <c r="C31" s="163"/>
      <c r="D31" s="163"/>
      <c r="E31" s="163"/>
      <c r="F31" s="163"/>
      <c r="G31" s="163"/>
      <c r="H31" s="163"/>
      <c r="I31" s="163"/>
      <c r="J31" s="163"/>
      <c r="K31" s="163"/>
    </row>
    <row r="32" spans="1:11" x14ac:dyDescent="0.2">
      <c r="A32" s="171">
        <f t="shared" si="0"/>
        <v>26</v>
      </c>
      <c r="B32" s="163" t="s">
        <v>552</v>
      </c>
      <c r="C32" s="163"/>
      <c r="D32" s="207" t="s">
        <v>455</v>
      </c>
      <c r="E32" s="207" t="s">
        <v>45</v>
      </c>
      <c r="F32" s="163"/>
      <c r="G32" s="184" t="s">
        <v>454</v>
      </c>
      <c r="H32" s="163"/>
      <c r="I32" s="163"/>
      <c r="J32" s="163"/>
      <c r="K32" s="163"/>
    </row>
    <row r="33" spans="1:11" x14ac:dyDescent="0.2">
      <c r="A33" s="171">
        <f t="shared" si="0"/>
        <v>27</v>
      </c>
      <c r="B33" s="163"/>
      <c r="C33" s="174" t="s">
        <v>551</v>
      </c>
      <c r="D33" s="663">
        <v>6294</v>
      </c>
      <c r="E33" s="207"/>
      <c r="F33" s="163"/>
      <c r="G33" s="664" t="s">
        <v>550</v>
      </c>
      <c r="H33" s="163"/>
      <c r="I33" s="163"/>
      <c r="J33" s="219"/>
      <c r="K33" s="163"/>
    </row>
    <row r="34" spans="1:11" x14ac:dyDescent="0.2">
      <c r="A34" s="171">
        <f t="shared" si="0"/>
        <v>28</v>
      </c>
      <c r="B34" s="163"/>
      <c r="C34" s="163" t="s">
        <v>549</v>
      </c>
      <c r="D34" s="663">
        <v>11996</v>
      </c>
      <c r="E34" s="207"/>
      <c r="F34" s="163"/>
      <c r="G34" s="664" t="s">
        <v>548</v>
      </c>
      <c r="H34" s="163"/>
      <c r="I34" s="163"/>
      <c r="J34" s="163"/>
      <c r="K34" s="163"/>
    </row>
    <row r="35" spans="1:11" x14ac:dyDescent="0.2">
      <c r="A35" s="171">
        <f t="shared" si="0"/>
        <v>29</v>
      </c>
      <c r="B35" s="163"/>
      <c r="C35" s="163" t="s">
        <v>547</v>
      </c>
      <c r="D35" s="665">
        <f>SUM(D33:D34)</f>
        <v>18290</v>
      </c>
      <c r="E35" s="174" t="str">
        <f>" = L"&amp;A33&amp;" + L"&amp;A34&amp;""</f>
        <v xml:space="preserve"> = L27 + L28</v>
      </c>
      <c r="F35" s="163"/>
      <c r="G35" s="664" t="s">
        <v>546</v>
      </c>
      <c r="H35" s="163"/>
      <c r="I35" s="163"/>
      <c r="J35" s="163"/>
      <c r="K35" s="163"/>
    </row>
    <row r="36" spans="1:11" x14ac:dyDescent="0.2">
      <c r="A36" s="171">
        <f t="shared" si="0"/>
        <v>30</v>
      </c>
      <c r="B36" s="163"/>
      <c r="C36" s="174" t="s">
        <v>545</v>
      </c>
      <c r="D36" s="666">
        <f>D33/D35</f>
        <v>0.34412247129579004</v>
      </c>
      <c r="E36" s="174" t="str">
        <f>" = L"&amp;A33&amp;" / L"&amp;A35&amp;""</f>
        <v xml:space="preserve"> = L27 / L29</v>
      </c>
      <c r="F36" s="163"/>
      <c r="G36" s="182"/>
      <c r="H36" s="163"/>
      <c r="I36" s="163"/>
      <c r="J36" s="163"/>
      <c r="K36" s="163"/>
    </row>
    <row r="37" spans="1:11" x14ac:dyDescent="0.2">
      <c r="A37" s="171">
        <f t="shared" si="0"/>
        <v>31</v>
      </c>
      <c r="B37" s="163"/>
      <c r="C37" s="163"/>
      <c r="D37" s="163"/>
      <c r="E37" s="163"/>
      <c r="F37" s="163"/>
      <c r="G37" s="182"/>
      <c r="H37" s="163"/>
      <c r="I37" s="163"/>
      <c r="J37" s="163"/>
      <c r="K37" s="163"/>
    </row>
    <row r="38" spans="1:11" x14ac:dyDescent="0.2">
      <c r="A38" s="171">
        <f t="shared" si="0"/>
        <v>32</v>
      </c>
      <c r="B38" s="174" t="s">
        <v>544</v>
      </c>
      <c r="C38" s="163"/>
      <c r="D38" s="207" t="s">
        <v>455</v>
      </c>
      <c r="E38" s="207" t="s">
        <v>45</v>
      </c>
      <c r="F38" s="163"/>
      <c r="G38" s="184" t="s">
        <v>454</v>
      </c>
      <c r="H38" s="163"/>
      <c r="I38" s="163"/>
      <c r="J38" s="163"/>
      <c r="K38" s="163"/>
    </row>
    <row r="39" spans="1:11" x14ac:dyDescent="0.2">
      <c r="A39" s="171">
        <f t="shared" si="0"/>
        <v>33</v>
      </c>
      <c r="B39" s="163"/>
      <c r="C39" s="174" t="s">
        <v>543</v>
      </c>
      <c r="D39" s="663">
        <v>215</v>
      </c>
      <c r="E39" s="207"/>
      <c r="F39" s="163"/>
      <c r="G39" s="664" t="s">
        <v>542</v>
      </c>
      <c r="H39" s="163"/>
      <c r="I39" s="163"/>
      <c r="J39" s="163"/>
      <c r="K39" s="163"/>
    </row>
    <row r="40" spans="1:11" x14ac:dyDescent="0.2">
      <c r="A40" s="171">
        <f t="shared" si="0"/>
        <v>34</v>
      </c>
      <c r="B40" s="163"/>
      <c r="C40" s="174" t="s">
        <v>541</v>
      </c>
      <c r="D40" s="663">
        <v>998</v>
      </c>
      <c r="E40" s="207"/>
      <c r="F40" s="163"/>
      <c r="G40" s="163"/>
      <c r="H40" s="163"/>
      <c r="I40" s="163"/>
      <c r="J40" s="163"/>
      <c r="K40" s="163"/>
    </row>
    <row r="41" spans="1:11" x14ac:dyDescent="0.2">
      <c r="A41" s="171">
        <f t="shared" si="0"/>
        <v>35</v>
      </c>
      <c r="B41" s="163"/>
      <c r="C41" s="174" t="s">
        <v>540</v>
      </c>
      <c r="D41" s="665">
        <f>SUM(D39:D40)</f>
        <v>1213</v>
      </c>
      <c r="E41" s="174" t="str">
        <f>" = L"&amp;A39&amp;" + L"&amp;A40&amp;""</f>
        <v xml:space="preserve"> = L33 + L34</v>
      </c>
      <c r="F41" s="163"/>
      <c r="G41" s="163"/>
      <c r="H41" s="163"/>
      <c r="I41" s="163"/>
      <c r="J41" s="163"/>
      <c r="K41" s="163"/>
    </row>
    <row r="42" spans="1:11" x14ac:dyDescent="0.2">
      <c r="A42" s="171">
        <f t="shared" si="0"/>
        <v>36</v>
      </c>
      <c r="B42" s="163"/>
      <c r="C42" s="174" t="s">
        <v>539</v>
      </c>
      <c r="D42" s="666">
        <f>D39/D41</f>
        <v>0.17724649629018963</v>
      </c>
      <c r="E42" s="174" t="str">
        <f>" = L"&amp;A39&amp;" / L"&amp;A41&amp;""</f>
        <v xml:space="preserve"> = L33 / L35</v>
      </c>
      <c r="F42" s="163"/>
      <c r="G42" s="163"/>
      <c r="H42" s="163"/>
      <c r="I42" s="163"/>
      <c r="J42" s="163"/>
      <c r="K42" s="163"/>
    </row>
    <row r="43" spans="1:11" x14ac:dyDescent="0.2">
      <c r="A43" s="171">
        <f t="shared" si="0"/>
        <v>37</v>
      </c>
      <c r="B43" s="163"/>
      <c r="C43" s="163"/>
      <c r="D43" s="163"/>
      <c r="E43" s="163"/>
      <c r="F43" s="163"/>
      <c r="G43" s="163"/>
      <c r="H43" s="163"/>
      <c r="I43" s="163"/>
      <c r="J43" s="163"/>
      <c r="K43" s="163"/>
    </row>
    <row r="44" spans="1:11" x14ac:dyDescent="0.2">
      <c r="A44" s="171">
        <f t="shared" si="0"/>
        <v>38</v>
      </c>
      <c r="B44" s="174" t="s">
        <v>538</v>
      </c>
      <c r="C44" s="163"/>
      <c r="D44" s="207" t="s">
        <v>455</v>
      </c>
      <c r="E44" s="207" t="s">
        <v>45</v>
      </c>
      <c r="F44" s="163"/>
      <c r="G44" s="184" t="s">
        <v>454</v>
      </c>
      <c r="H44" s="163"/>
      <c r="I44" s="163"/>
      <c r="J44" s="163"/>
      <c r="K44" s="163"/>
    </row>
    <row r="45" spans="1:11" x14ac:dyDescent="0.2">
      <c r="A45" s="171">
        <f t="shared" si="0"/>
        <v>39</v>
      </c>
      <c r="B45" s="163"/>
      <c r="C45" s="174" t="s">
        <v>537</v>
      </c>
      <c r="D45" s="663">
        <v>481</v>
      </c>
      <c r="E45" s="207"/>
      <c r="F45" s="163"/>
      <c r="G45" s="664" t="s">
        <v>536</v>
      </c>
      <c r="H45" s="163"/>
      <c r="I45" s="163"/>
      <c r="J45" s="163"/>
      <c r="K45" s="163"/>
    </row>
    <row r="46" spans="1:11" x14ac:dyDescent="0.2">
      <c r="A46" s="171">
        <f t="shared" si="0"/>
        <v>40</v>
      </c>
      <c r="B46" s="163"/>
      <c r="C46" s="174" t="s">
        <v>535</v>
      </c>
      <c r="D46" s="663">
        <v>1860</v>
      </c>
      <c r="E46" s="207"/>
      <c r="F46" s="163"/>
      <c r="G46" s="163"/>
      <c r="H46" s="163"/>
      <c r="I46" s="163"/>
      <c r="J46" s="163"/>
      <c r="K46" s="163"/>
    </row>
    <row r="47" spans="1:11" x14ac:dyDescent="0.2">
      <c r="A47" s="171">
        <f t="shared" si="0"/>
        <v>41</v>
      </c>
      <c r="B47" s="163"/>
      <c r="C47" s="174" t="s">
        <v>534</v>
      </c>
      <c r="D47" s="665">
        <f>SUM(D45:D46)</f>
        <v>2341</v>
      </c>
      <c r="E47" s="174" t="str">
        <f>" = L"&amp;A45&amp;" + L"&amp;A46&amp;""</f>
        <v xml:space="preserve"> = L39 + L40</v>
      </c>
      <c r="F47" s="163"/>
      <c r="G47" s="163"/>
      <c r="H47" s="163"/>
      <c r="I47" s="163"/>
      <c r="J47" s="163"/>
      <c r="K47" s="163"/>
    </row>
    <row r="48" spans="1:11" x14ac:dyDescent="0.2">
      <c r="A48" s="171">
        <f t="shared" si="0"/>
        <v>42</v>
      </c>
      <c r="B48" s="163"/>
      <c r="C48" s="174" t="s">
        <v>533</v>
      </c>
      <c r="D48" s="666">
        <f>D45/D47</f>
        <v>0.20546774882528834</v>
      </c>
      <c r="E48" s="174" t="str">
        <f>" = L"&amp;A45&amp;" / L"&amp;A47&amp;""</f>
        <v xml:space="preserve"> = L39 / L41</v>
      </c>
      <c r="F48" s="163"/>
      <c r="G48" s="163"/>
      <c r="H48" s="163"/>
      <c r="I48" s="163"/>
      <c r="J48" s="163"/>
      <c r="K48" s="163"/>
    </row>
    <row r="49" spans="1:11" x14ac:dyDescent="0.2">
      <c r="A49" s="171">
        <f t="shared" si="0"/>
        <v>43</v>
      </c>
      <c r="B49" s="163"/>
      <c r="C49" s="163"/>
      <c r="D49" s="163"/>
      <c r="E49" s="163"/>
      <c r="F49" s="163"/>
      <c r="G49" s="163"/>
      <c r="H49" s="163"/>
      <c r="I49" s="163"/>
      <c r="J49" s="163"/>
      <c r="K49" s="163"/>
    </row>
    <row r="50" spans="1:11" ht="13.5" thickBot="1" x14ac:dyDescent="0.25">
      <c r="A50" s="171">
        <f t="shared" si="0"/>
        <v>44</v>
      </c>
      <c r="B50" s="174" t="s">
        <v>532</v>
      </c>
      <c r="C50" s="163"/>
      <c r="D50" s="207" t="s">
        <v>455</v>
      </c>
      <c r="E50" s="207" t="s">
        <v>45</v>
      </c>
      <c r="F50" s="163"/>
      <c r="G50" s="184" t="s">
        <v>454</v>
      </c>
      <c r="H50" s="163"/>
      <c r="I50" s="163"/>
      <c r="J50" s="163"/>
      <c r="K50" s="163"/>
    </row>
    <row r="51" spans="1:11" ht="13.5" thickBot="1" x14ac:dyDescent="0.25">
      <c r="A51" s="171">
        <f t="shared" si="0"/>
        <v>45</v>
      </c>
      <c r="B51" s="163"/>
      <c r="C51" s="174" t="s">
        <v>531</v>
      </c>
      <c r="D51" s="667">
        <v>5620.5277500000002</v>
      </c>
      <c r="E51" s="207"/>
      <c r="F51" s="163"/>
      <c r="G51" s="664" t="s">
        <v>530</v>
      </c>
      <c r="H51" s="163"/>
      <c r="I51" s="163"/>
      <c r="J51" s="163"/>
      <c r="K51" s="163"/>
    </row>
    <row r="52" spans="1:11" ht="13.5" thickBot="1" x14ac:dyDescent="0.25">
      <c r="A52" s="171">
        <f t="shared" si="0"/>
        <v>46</v>
      </c>
      <c r="B52" s="163"/>
      <c r="C52" s="174" t="s">
        <v>529</v>
      </c>
      <c r="D52" s="667">
        <v>6462.89905</v>
      </c>
      <c r="E52" s="207"/>
      <c r="F52" s="163"/>
      <c r="G52" s="664" t="s">
        <v>528</v>
      </c>
      <c r="H52" s="163"/>
      <c r="I52" s="163"/>
      <c r="J52" s="163"/>
      <c r="K52" s="163"/>
    </row>
    <row r="53" spans="1:11" x14ac:dyDescent="0.2">
      <c r="A53" s="171">
        <f t="shared" si="0"/>
        <v>47</v>
      </c>
      <c r="B53" s="163"/>
      <c r="C53" s="174" t="s">
        <v>527</v>
      </c>
      <c r="D53" s="665">
        <f>SUM(D51:D52)</f>
        <v>12083.426800000001</v>
      </c>
      <c r="E53" s="174" t="str">
        <f>" = L"&amp;A51&amp;" + L"&amp;A52&amp;""</f>
        <v xml:space="preserve"> = L45 + L46</v>
      </c>
      <c r="F53" s="163"/>
      <c r="G53" s="664" t="s">
        <v>526</v>
      </c>
      <c r="H53" s="163"/>
      <c r="I53" s="163"/>
      <c r="J53" s="163"/>
      <c r="K53" s="163"/>
    </row>
    <row r="54" spans="1:11" x14ac:dyDescent="0.2">
      <c r="A54" s="171">
        <f t="shared" si="0"/>
        <v>48</v>
      </c>
      <c r="B54" s="163"/>
      <c r="C54" s="174" t="s">
        <v>525</v>
      </c>
      <c r="D54" s="668">
        <f>D51/D53</f>
        <v>0.46514352617255889</v>
      </c>
      <c r="E54" s="174" t="str">
        <f>" = L"&amp;A51&amp;" / L"&amp;A53&amp;""</f>
        <v xml:space="preserve"> = L45 / L47</v>
      </c>
      <c r="F54" s="163"/>
      <c r="G54" s="664" t="s">
        <v>524</v>
      </c>
      <c r="H54" s="163"/>
      <c r="I54" s="163"/>
      <c r="J54" s="163"/>
      <c r="K54" s="163"/>
    </row>
    <row r="55" spans="1:11" x14ac:dyDescent="0.2">
      <c r="A55" s="171">
        <f t="shared" si="0"/>
        <v>49</v>
      </c>
      <c r="B55" s="207"/>
      <c r="C55" s="207"/>
      <c r="D55" s="163"/>
      <c r="E55" s="207"/>
      <c r="F55" s="163"/>
      <c r="G55" s="207"/>
      <c r="H55" s="163"/>
      <c r="I55" s="163"/>
      <c r="J55" s="163"/>
      <c r="K55" s="163"/>
    </row>
    <row r="56" spans="1:11" x14ac:dyDescent="0.2">
      <c r="A56" s="171">
        <f t="shared" si="0"/>
        <v>50</v>
      </c>
      <c r="B56" s="174" t="s">
        <v>523</v>
      </c>
      <c r="C56" s="163"/>
      <c r="D56" s="207" t="s">
        <v>455</v>
      </c>
      <c r="E56" s="207" t="s">
        <v>45</v>
      </c>
      <c r="F56" s="163"/>
      <c r="G56" s="184" t="s">
        <v>454</v>
      </c>
      <c r="H56" s="163"/>
      <c r="I56" s="163"/>
      <c r="J56" s="163"/>
      <c r="K56" s="163"/>
    </row>
    <row r="57" spans="1:11" x14ac:dyDescent="0.2">
      <c r="A57" s="171">
        <f t="shared" si="0"/>
        <v>51</v>
      </c>
      <c r="B57" s="636"/>
      <c r="C57" s="174" t="s">
        <v>522</v>
      </c>
      <c r="D57" s="663">
        <v>1</v>
      </c>
      <c r="E57" s="207"/>
      <c r="F57" s="163"/>
      <c r="G57" s="664" t="s">
        <v>521</v>
      </c>
      <c r="H57" s="163"/>
      <c r="I57" s="163"/>
      <c r="J57" s="163"/>
      <c r="K57" s="163"/>
    </row>
    <row r="58" spans="1:11" x14ac:dyDescent="0.2">
      <c r="A58" s="171">
        <f t="shared" si="0"/>
        <v>52</v>
      </c>
      <c r="B58" s="636"/>
      <c r="C58" s="174" t="s">
        <v>520</v>
      </c>
      <c r="D58" s="663">
        <v>350.17333484848473</v>
      </c>
      <c r="E58" s="207"/>
      <c r="F58" s="163"/>
      <c r="G58" s="664" t="s">
        <v>519</v>
      </c>
      <c r="H58" s="163"/>
      <c r="I58" s="163"/>
      <c r="J58" s="163"/>
      <c r="K58" s="163"/>
    </row>
    <row r="59" spans="1:11" x14ac:dyDescent="0.2">
      <c r="A59" s="171">
        <f t="shared" si="0"/>
        <v>53</v>
      </c>
      <c r="B59" s="636"/>
      <c r="C59" s="174" t="s">
        <v>518</v>
      </c>
      <c r="D59" s="665">
        <f>SUM(D57:D58)</f>
        <v>351.17333484848473</v>
      </c>
      <c r="E59" s="174" t="str">
        <f>" = L"&amp;A57&amp;" + L"&amp;A58&amp;""</f>
        <v xml:space="preserve"> = L51 + L52</v>
      </c>
      <c r="F59" s="163"/>
      <c r="G59" s="163"/>
      <c r="H59" s="163"/>
      <c r="I59" s="163"/>
      <c r="J59" s="163"/>
      <c r="K59" s="163"/>
    </row>
    <row r="60" spans="1:11" x14ac:dyDescent="0.2">
      <c r="A60" s="171">
        <f t="shared" si="0"/>
        <v>54</v>
      </c>
      <c r="B60" s="636"/>
      <c r="C60" s="174" t="s">
        <v>517</v>
      </c>
      <c r="D60" s="666">
        <f>D57/D59</f>
        <v>2.8475966161595223E-3</v>
      </c>
      <c r="E60" s="174" t="str">
        <f>" = L"&amp;A57&amp;" / L"&amp;A59&amp;""</f>
        <v xml:space="preserve"> = L51 / L53</v>
      </c>
      <c r="F60" s="163"/>
      <c r="G60" s="163"/>
      <c r="H60" s="163"/>
      <c r="I60" s="163"/>
      <c r="J60" s="163"/>
      <c r="K60" s="163"/>
    </row>
    <row r="61" spans="1:11" x14ac:dyDescent="0.2">
      <c r="A61" s="171">
        <f t="shared" si="0"/>
        <v>55</v>
      </c>
      <c r="B61" s="636"/>
      <c r="C61" s="177"/>
      <c r="D61" s="163"/>
      <c r="E61" s="207"/>
      <c r="F61" s="163"/>
      <c r="G61" s="173"/>
      <c r="H61" s="163"/>
      <c r="I61" s="163"/>
      <c r="J61" s="163"/>
      <c r="K61" s="163"/>
    </row>
    <row r="62" spans="1:11" x14ac:dyDescent="0.2">
      <c r="A62" s="171">
        <f t="shared" si="0"/>
        <v>56</v>
      </c>
      <c r="B62" s="174" t="s">
        <v>516</v>
      </c>
      <c r="C62" s="163"/>
      <c r="D62" s="207" t="s">
        <v>455</v>
      </c>
      <c r="E62" s="207" t="s">
        <v>45</v>
      </c>
      <c r="F62" s="163"/>
      <c r="G62" s="184" t="s">
        <v>454</v>
      </c>
      <c r="H62" s="163"/>
      <c r="I62" s="163"/>
      <c r="J62" s="163"/>
      <c r="K62" s="163"/>
    </row>
    <row r="63" spans="1:11" x14ac:dyDescent="0.2">
      <c r="A63" s="171">
        <f t="shared" si="0"/>
        <v>57</v>
      </c>
      <c r="B63" s="636"/>
      <c r="C63" s="174" t="s">
        <v>515</v>
      </c>
      <c r="D63" s="663">
        <v>6252077.3605612786</v>
      </c>
      <c r="E63" s="207"/>
      <c r="F63" s="163"/>
      <c r="G63" s="664" t="s">
        <v>514</v>
      </c>
      <c r="H63" s="163"/>
      <c r="I63" s="163"/>
      <c r="J63" s="163"/>
      <c r="K63" s="163"/>
    </row>
    <row r="64" spans="1:11" x14ac:dyDescent="0.2">
      <c r="A64" s="171">
        <f t="shared" si="0"/>
        <v>58</v>
      </c>
      <c r="B64" s="636"/>
      <c r="C64" s="174" t="s">
        <v>513</v>
      </c>
      <c r="D64" s="663">
        <v>2849580.6368220095</v>
      </c>
      <c r="E64" s="207"/>
      <c r="F64" s="163"/>
      <c r="G64" s="664"/>
      <c r="H64" s="163"/>
      <c r="I64" s="163"/>
      <c r="J64" s="163"/>
      <c r="K64" s="163"/>
    </row>
    <row r="65" spans="1:11" x14ac:dyDescent="0.2">
      <c r="A65" s="171">
        <f t="shared" si="0"/>
        <v>59</v>
      </c>
      <c r="B65" s="636"/>
      <c r="C65" s="174" t="s">
        <v>512</v>
      </c>
      <c r="D65" s="665">
        <f>SUM(D63:D64)</f>
        <v>9101657.997383289</v>
      </c>
      <c r="E65" s="174" t="str">
        <f>" = L"&amp;A63&amp;" + L"&amp;A64&amp;""</f>
        <v xml:space="preserve"> = L57 + L58</v>
      </c>
      <c r="F65" s="163"/>
      <c r="G65" s="163"/>
      <c r="H65" s="163"/>
      <c r="I65" s="163"/>
      <c r="J65" s="163"/>
      <c r="K65" s="163"/>
    </row>
    <row r="66" spans="1:11" x14ac:dyDescent="0.2">
      <c r="A66" s="171">
        <f t="shared" si="0"/>
        <v>60</v>
      </c>
      <c r="B66" s="636"/>
      <c r="C66" s="174" t="s">
        <v>511</v>
      </c>
      <c r="D66" s="666">
        <f>D63/D65</f>
        <v>0.68691631374841156</v>
      </c>
      <c r="E66" s="174" t="str">
        <f>" = L"&amp;A63&amp;" / L"&amp;A65&amp;""</f>
        <v xml:space="preserve"> = L57 / L59</v>
      </c>
      <c r="F66" s="163"/>
      <c r="G66" s="163"/>
      <c r="H66" s="163"/>
      <c r="I66" s="163"/>
      <c r="J66" s="163"/>
      <c r="K66" s="163"/>
    </row>
    <row r="67" spans="1:11" x14ac:dyDescent="0.2">
      <c r="A67" s="171">
        <f t="shared" si="0"/>
        <v>61</v>
      </c>
      <c r="B67" s="669"/>
      <c r="C67" s="207"/>
      <c r="D67" s="163"/>
      <c r="E67" s="666"/>
      <c r="F67" s="163"/>
      <c r="G67" s="163"/>
      <c r="H67" s="163"/>
      <c r="I67" s="163"/>
      <c r="J67" s="163"/>
      <c r="K67" s="163"/>
    </row>
    <row r="68" spans="1:11" x14ac:dyDescent="0.2">
      <c r="A68" s="171">
        <f t="shared" si="0"/>
        <v>62</v>
      </c>
      <c r="B68" s="174" t="s">
        <v>510</v>
      </c>
      <c r="C68" s="163"/>
      <c r="D68" s="207" t="s">
        <v>455</v>
      </c>
      <c r="E68" s="207" t="s">
        <v>45</v>
      </c>
      <c r="F68" s="163"/>
      <c r="G68" s="184" t="s">
        <v>454</v>
      </c>
      <c r="H68" s="163"/>
      <c r="I68" s="163"/>
      <c r="J68" s="163"/>
      <c r="K68" s="163"/>
    </row>
    <row r="69" spans="1:11" x14ac:dyDescent="0.2">
      <c r="A69" s="171">
        <f t="shared" si="0"/>
        <v>63</v>
      </c>
      <c r="B69" s="636"/>
      <c r="C69" s="174" t="s">
        <v>509</v>
      </c>
      <c r="D69" s="663">
        <v>377.3</v>
      </c>
      <c r="E69" s="207"/>
      <c r="F69" s="163"/>
      <c r="G69" s="664" t="s">
        <v>508</v>
      </c>
      <c r="H69" s="163"/>
      <c r="I69" s="163"/>
      <c r="J69" s="163"/>
      <c r="K69" s="163"/>
    </row>
    <row r="70" spans="1:11" x14ac:dyDescent="0.2">
      <c r="A70" s="171">
        <f t="shared" si="0"/>
        <v>64</v>
      </c>
      <c r="B70" s="636"/>
      <c r="C70" s="174" t="s">
        <v>507</v>
      </c>
      <c r="D70" s="663">
        <v>38.300000000000011</v>
      </c>
      <c r="E70" s="207"/>
      <c r="F70" s="163"/>
      <c r="G70" s="664"/>
      <c r="H70" s="163"/>
      <c r="I70" s="163"/>
      <c r="J70" s="163"/>
      <c r="K70" s="163"/>
    </row>
    <row r="71" spans="1:11" x14ac:dyDescent="0.2">
      <c r="A71" s="171">
        <f t="shared" si="0"/>
        <v>65</v>
      </c>
      <c r="B71" s="636"/>
      <c r="C71" s="174" t="s">
        <v>506</v>
      </c>
      <c r="D71" s="665">
        <f>SUM(D69:D70)</f>
        <v>415.6</v>
      </c>
      <c r="E71" s="174" t="str">
        <f>" = L"&amp;A69&amp;" + L"&amp;A70&amp;""</f>
        <v xml:space="preserve"> = L63 + L64</v>
      </c>
      <c r="F71" s="163"/>
      <c r="G71" s="163"/>
      <c r="H71" s="163"/>
      <c r="I71" s="163"/>
      <c r="J71" s="163"/>
      <c r="K71" s="163"/>
    </row>
    <row r="72" spans="1:11" x14ac:dyDescent="0.2">
      <c r="A72" s="171">
        <f t="shared" si="0"/>
        <v>66</v>
      </c>
      <c r="B72" s="636"/>
      <c r="C72" s="174" t="s">
        <v>505</v>
      </c>
      <c r="D72" s="666">
        <f>D69/D71</f>
        <v>0.90784408084696822</v>
      </c>
      <c r="E72" s="174" t="str">
        <f>" = L"&amp;A69&amp;" / L"&amp;A71&amp;""</f>
        <v xml:space="preserve"> = L63 / L65</v>
      </c>
      <c r="F72" s="163"/>
      <c r="G72" s="163"/>
      <c r="H72" s="163"/>
      <c r="I72" s="163"/>
      <c r="J72" s="163"/>
      <c r="K72" s="163"/>
    </row>
    <row r="73" spans="1:11" x14ac:dyDescent="0.2">
      <c r="A73" s="171">
        <f t="shared" ref="A73:A126" si="1">A72+1</f>
        <v>67</v>
      </c>
      <c r="B73" s="183"/>
      <c r="C73" s="163"/>
      <c r="D73" s="163"/>
      <c r="E73" s="163"/>
      <c r="F73" s="163"/>
      <c r="G73" s="163"/>
      <c r="H73" s="163"/>
      <c r="I73" s="163"/>
      <c r="J73" s="163"/>
      <c r="K73" s="163"/>
    </row>
    <row r="74" spans="1:11" x14ac:dyDescent="0.2">
      <c r="A74" s="171">
        <f t="shared" si="1"/>
        <v>68</v>
      </c>
      <c r="B74" s="174" t="s">
        <v>504</v>
      </c>
      <c r="C74" s="163"/>
      <c r="D74" s="207" t="s">
        <v>455</v>
      </c>
      <c r="E74" s="207" t="s">
        <v>45</v>
      </c>
      <c r="F74" s="163"/>
      <c r="G74" s="184" t="s">
        <v>454</v>
      </c>
      <c r="H74" s="163"/>
      <c r="I74" s="163"/>
      <c r="J74" s="163"/>
      <c r="K74" s="163"/>
    </row>
    <row r="75" spans="1:11" x14ac:dyDescent="0.2">
      <c r="A75" s="171">
        <f t="shared" si="1"/>
        <v>69</v>
      </c>
      <c r="B75" s="636"/>
      <c r="C75" s="174" t="s">
        <v>503</v>
      </c>
      <c r="D75" s="663">
        <v>134</v>
      </c>
      <c r="E75" s="207"/>
      <c r="F75" s="163"/>
      <c r="G75" s="664" t="s">
        <v>502</v>
      </c>
      <c r="H75" s="163"/>
      <c r="I75" s="163"/>
      <c r="J75" s="163"/>
      <c r="K75" s="163"/>
    </row>
    <row r="76" spans="1:11" x14ac:dyDescent="0.2">
      <c r="A76" s="171">
        <f t="shared" si="1"/>
        <v>70</v>
      </c>
      <c r="B76" s="636"/>
      <c r="C76" s="174" t="s">
        <v>501</v>
      </c>
      <c r="D76" s="663">
        <v>471</v>
      </c>
      <c r="E76" s="207"/>
      <c r="F76" s="163"/>
      <c r="G76" s="664"/>
      <c r="H76" s="163"/>
      <c r="I76" s="163"/>
      <c r="J76" s="163"/>
      <c r="K76" s="163"/>
    </row>
    <row r="77" spans="1:11" x14ac:dyDescent="0.2">
      <c r="A77" s="171">
        <f t="shared" si="1"/>
        <v>71</v>
      </c>
      <c r="B77" s="636"/>
      <c r="C77" s="174" t="s">
        <v>500</v>
      </c>
      <c r="D77" s="665">
        <f>SUM(D75:D76)</f>
        <v>605</v>
      </c>
      <c r="E77" s="174" t="str">
        <f>" = L"&amp;A75&amp;" + L"&amp;A76&amp;""</f>
        <v xml:space="preserve"> = L69 + L70</v>
      </c>
      <c r="F77" s="163"/>
      <c r="G77" s="163"/>
      <c r="H77" s="163"/>
      <c r="I77" s="163"/>
      <c r="J77" s="163"/>
      <c r="K77" s="163"/>
    </row>
    <row r="78" spans="1:11" x14ac:dyDescent="0.2">
      <c r="A78" s="171">
        <f t="shared" si="1"/>
        <v>72</v>
      </c>
      <c r="B78" s="636"/>
      <c r="C78" s="174" t="s">
        <v>499</v>
      </c>
      <c r="D78" s="666">
        <f>D75/D77</f>
        <v>0.22148760330578512</v>
      </c>
      <c r="E78" s="174" t="str">
        <f>" = L"&amp;A75&amp;" / L"&amp;A77&amp;""</f>
        <v xml:space="preserve"> = L69 / L71</v>
      </c>
      <c r="F78" s="163"/>
      <c r="G78" s="163"/>
      <c r="H78" s="163"/>
      <c r="I78" s="163"/>
      <c r="J78" s="163"/>
      <c r="K78" s="163"/>
    </row>
    <row r="79" spans="1:11" x14ac:dyDescent="0.2">
      <c r="A79" s="171">
        <f t="shared" si="1"/>
        <v>73</v>
      </c>
      <c r="B79" s="163"/>
      <c r="C79" s="163"/>
      <c r="D79" s="163"/>
      <c r="E79" s="163"/>
      <c r="F79" s="163"/>
      <c r="G79" s="163"/>
      <c r="H79" s="163"/>
      <c r="I79" s="163"/>
      <c r="J79" s="163"/>
      <c r="K79" s="163"/>
    </row>
    <row r="80" spans="1:11" ht="13.5" thickBot="1" x14ac:dyDescent="0.25">
      <c r="A80" s="171">
        <f t="shared" si="1"/>
        <v>74</v>
      </c>
      <c r="B80" s="174" t="s">
        <v>498</v>
      </c>
      <c r="C80" s="163"/>
      <c r="D80" s="207" t="s">
        <v>455</v>
      </c>
      <c r="E80" s="207" t="s">
        <v>45</v>
      </c>
      <c r="F80" s="163"/>
      <c r="G80" s="184" t="s">
        <v>454</v>
      </c>
      <c r="H80" s="163"/>
      <c r="I80" s="163"/>
      <c r="J80" s="163"/>
      <c r="K80" s="163"/>
    </row>
    <row r="81" spans="1:11" ht="13.5" thickBot="1" x14ac:dyDescent="0.25">
      <c r="A81" s="171">
        <f t="shared" si="1"/>
        <v>75</v>
      </c>
      <c r="B81" s="636"/>
      <c r="C81" s="174" t="s">
        <v>497</v>
      </c>
      <c r="D81" s="667">
        <v>1179</v>
      </c>
      <c r="E81" s="207"/>
      <c r="F81" s="163"/>
      <c r="G81" s="664" t="s">
        <v>496</v>
      </c>
      <c r="H81" s="163"/>
      <c r="I81" s="163"/>
      <c r="J81" s="163"/>
      <c r="K81" s="163"/>
    </row>
    <row r="82" spans="1:11" ht="13.5" thickBot="1" x14ac:dyDescent="0.25">
      <c r="A82" s="171">
        <f t="shared" si="1"/>
        <v>76</v>
      </c>
      <c r="B82" s="636"/>
      <c r="C82" s="174" t="s">
        <v>495</v>
      </c>
      <c r="D82" s="667">
        <v>2093</v>
      </c>
      <c r="E82" s="207"/>
      <c r="F82" s="163"/>
      <c r="G82" s="664"/>
      <c r="H82" s="163"/>
      <c r="I82" s="163"/>
      <c r="J82" s="163"/>
      <c r="K82" s="163"/>
    </row>
    <row r="83" spans="1:11" x14ac:dyDescent="0.2">
      <c r="A83" s="171">
        <f t="shared" si="1"/>
        <v>77</v>
      </c>
      <c r="B83" s="636"/>
      <c r="C83" s="174" t="s">
        <v>494</v>
      </c>
      <c r="D83" s="670">
        <f>SUM(D81:D82)</f>
        <v>3272</v>
      </c>
      <c r="E83" s="174" t="str">
        <f>" = L"&amp;A81&amp;" + L"&amp;A82&amp;""</f>
        <v xml:space="preserve"> = L75 + L76</v>
      </c>
      <c r="F83" s="163"/>
      <c r="G83" s="163"/>
      <c r="H83" s="163"/>
      <c r="I83" s="163"/>
      <c r="J83" s="163"/>
      <c r="K83" s="163"/>
    </row>
    <row r="84" spans="1:11" x14ac:dyDescent="0.2">
      <c r="A84" s="171">
        <f t="shared" si="1"/>
        <v>78</v>
      </c>
      <c r="B84" s="636"/>
      <c r="C84" s="174" t="s">
        <v>493</v>
      </c>
      <c r="D84" s="666">
        <f>D81/D83</f>
        <v>0.36033007334963324</v>
      </c>
      <c r="E84" s="174" t="str">
        <f>" = L"&amp;A81&amp;" / L"&amp;A83&amp;""</f>
        <v xml:space="preserve"> = L75 / L77</v>
      </c>
      <c r="F84" s="163"/>
      <c r="G84" s="163"/>
      <c r="H84" s="163"/>
      <c r="I84" s="163"/>
      <c r="J84" s="163"/>
      <c r="K84" s="163"/>
    </row>
    <row r="85" spans="1:11" x14ac:dyDescent="0.2">
      <c r="A85" s="171">
        <f t="shared" si="1"/>
        <v>79</v>
      </c>
      <c r="B85" s="163"/>
      <c r="C85" s="202"/>
      <c r="D85" s="163"/>
      <c r="E85" s="163"/>
      <c r="F85" s="163"/>
      <c r="G85" s="163"/>
      <c r="H85" s="163"/>
      <c r="I85" s="163"/>
      <c r="J85" s="163"/>
      <c r="K85" s="163"/>
    </row>
    <row r="86" spans="1:11" x14ac:dyDescent="0.2">
      <c r="A86" s="171">
        <f t="shared" si="1"/>
        <v>80</v>
      </c>
      <c r="B86" s="174" t="s">
        <v>492</v>
      </c>
      <c r="C86" s="163"/>
      <c r="D86" s="207" t="s">
        <v>455</v>
      </c>
      <c r="E86" s="207" t="s">
        <v>45</v>
      </c>
      <c r="F86" s="163"/>
      <c r="G86" s="184" t="s">
        <v>454</v>
      </c>
      <c r="H86" s="163"/>
      <c r="I86" s="163"/>
      <c r="J86" s="163"/>
      <c r="K86" s="163"/>
    </row>
    <row r="87" spans="1:11" ht="13.5" thickBot="1" x14ac:dyDescent="0.25">
      <c r="A87" s="171">
        <f t="shared" si="1"/>
        <v>81</v>
      </c>
      <c r="B87" s="636"/>
      <c r="C87" s="174" t="s">
        <v>491</v>
      </c>
      <c r="D87" s="663">
        <v>310</v>
      </c>
      <c r="E87" s="207"/>
      <c r="F87" s="163"/>
      <c r="G87" s="664" t="s">
        <v>490</v>
      </c>
      <c r="H87" s="163"/>
      <c r="I87" s="163"/>
      <c r="J87" s="163"/>
      <c r="K87" s="163"/>
    </row>
    <row r="88" spans="1:11" ht="13.5" thickBot="1" x14ac:dyDescent="0.25">
      <c r="A88" s="171">
        <f t="shared" si="1"/>
        <v>82</v>
      </c>
      <c r="B88" s="636"/>
      <c r="C88" s="174" t="s">
        <v>489</v>
      </c>
      <c r="D88" s="667">
        <v>154</v>
      </c>
      <c r="E88" s="207"/>
      <c r="F88" s="163"/>
      <c r="G88" s="664"/>
      <c r="H88" s="163"/>
      <c r="I88" s="163"/>
      <c r="J88" s="163"/>
      <c r="K88" s="163"/>
    </row>
    <row r="89" spans="1:11" x14ac:dyDescent="0.2">
      <c r="A89" s="171">
        <f t="shared" si="1"/>
        <v>83</v>
      </c>
      <c r="B89" s="636"/>
      <c r="C89" s="174" t="s">
        <v>488</v>
      </c>
      <c r="D89" s="670">
        <f>SUM(D87:D88)</f>
        <v>464</v>
      </c>
      <c r="E89" s="174" t="str">
        <f>" = L"&amp;A87&amp;" + L"&amp;A88&amp;""</f>
        <v xml:space="preserve"> = L81 + L82</v>
      </c>
      <c r="F89" s="163"/>
      <c r="G89" s="163"/>
      <c r="H89" s="163"/>
      <c r="I89" s="163"/>
      <c r="J89" s="163"/>
      <c r="K89" s="163"/>
    </row>
    <row r="90" spans="1:11" x14ac:dyDescent="0.2">
      <c r="A90" s="171">
        <f t="shared" si="1"/>
        <v>84</v>
      </c>
      <c r="B90" s="636"/>
      <c r="C90" s="174" t="s">
        <v>487</v>
      </c>
      <c r="D90" s="668">
        <f>D87/D89</f>
        <v>0.6681034482758621</v>
      </c>
      <c r="E90" s="174" t="str">
        <f>" = L"&amp;A87&amp;" / L"&amp;A89&amp;""</f>
        <v xml:space="preserve"> = L81 / L83</v>
      </c>
      <c r="F90" s="163"/>
      <c r="G90" s="163"/>
      <c r="H90" s="163"/>
      <c r="I90" s="163"/>
      <c r="J90" s="163"/>
      <c r="K90" s="163"/>
    </row>
    <row r="91" spans="1:11" x14ac:dyDescent="0.2">
      <c r="A91" s="171">
        <f t="shared" si="1"/>
        <v>85</v>
      </c>
      <c r="B91" s="163"/>
      <c r="C91" s="163"/>
      <c r="D91" s="163"/>
      <c r="E91" s="163"/>
      <c r="F91" s="163"/>
      <c r="G91" s="163"/>
      <c r="H91" s="163"/>
      <c r="I91" s="163"/>
      <c r="J91" s="163"/>
      <c r="K91" s="163"/>
    </row>
    <row r="92" spans="1:11" x14ac:dyDescent="0.2">
      <c r="A92" s="171">
        <f t="shared" si="1"/>
        <v>86</v>
      </c>
      <c r="B92" s="174" t="s">
        <v>486</v>
      </c>
      <c r="C92" s="163"/>
      <c r="D92" s="207" t="s">
        <v>455</v>
      </c>
      <c r="E92" s="207" t="s">
        <v>45</v>
      </c>
      <c r="F92" s="163"/>
      <c r="G92" s="184" t="s">
        <v>454</v>
      </c>
      <c r="H92" s="163"/>
      <c r="I92" s="163"/>
      <c r="J92" s="163"/>
      <c r="K92" s="163"/>
    </row>
    <row r="93" spans="1:11" x14ac:dyDescent="0.2">
      <c r="A93" s="171">
        <f t="shared" si="1"/>
        <v>87</v>
      </c>
      <c r="B93" s="636"/>
      <c r="C93" s="174" t="s">
        <v>485</v>
      </c>
      <c r="D93" s="663">
        <v>468246.38608930749</v>
      </c>
      <c r="E93" s="207"/>
      <c r="F93" s="163"/>
      <c r="G93" s="163" t="s">
        <v>484</v>
      </c>
      <c r="H93" s="163"/>
      <c r="I93" s="163"/>
      <c r="J93" s="163"/>
      <c r="K93" s="163"/>
    </row>
    <row r="94" spans="1:11" x14ac:dyDescent="0.2">
      <c r="A94" s="171">
        <f t="shared" si="1"/>
        <v>88</v>
      </c>
      <c r="B94" s="636"/>
      <c r="C94" s="174" t="s">
        <v>483</v>
      </c>
      <c r="D94" s="663">
        <v>1181071.4539106924</v>
      </c>
      <c r="E94" s="207"/>
      <c r="F94" s="163"/>
      <c r="G94" s="664"/>
      <c r="H94" s="163"/>
      <c r="I94" s="163"/>
      <c r="J94" s="163"/>
      <c r="K94" s="163"/>
    </row>
    <row r="95" spans="1:11" x14ac:dyDescent="0.2">
      <c r="A95" s="171">
        <f t="shared" si="1"/>
        <v>89</v>
      </c>
      <c r="B95" s="636"/>
      <c r="C95" s="174" t="s">
        <v>482</v>
      </c>
      <c r="D95" s="665">
        <f>SUM(D93:D94)</f>
        <v>1649317.8399999999</v>
      </c>
      <c r="E95" s="174" t="str">
        <f>" = L"&amp;A93&amp;" + L"&amp;A94&amp;""</f>
        <v xml:space="preserve"> = L87 + L88</v>
      </c>
      <c r="F95" s="163"/>
      <c r="G95" s="163"/>
      <c r="H95" s="163"/>
      <c r="I95" s="163"/>
      <c r="J95" s="163"/>
      <c r="K95" s="163"/>
    </row>
    <row r="96" spans="1:11" x14ac:dyDescent="0.2">
      <c r="A96" s="171">
        <f t="shared" si="1"/>
        <v>90</v>
      </c>
      <c r="B96" s="636"/>
      <c r="C96" s="174" t="s">
        <v>481</v>
      </c>
      <c r="D96" s="666">
        <f>D93/D95</f>
        <v>0.28390306266820442</v>
      </c>
      <c r="E96" s="174" t="str">
        <f>" = L"&amp;A93&amp;" / L"&amp;A95&amp;""</f>
        <v xml:space="preserve"> = L87 / L89</v>
      </c>
      <c r="F96" s="163"/>
      <c r="G96" s="163"/>
      <c r="H96" s="163"/>
      <c r="I96" s="163"/>
      <c r="J96" s="163"/>
      <c r="K96" s="163"/>
    </row>
    <row r="97" spans="1:11" x14ac:dyDescent="0.2">
      <c r="A97" s="171">
        <f t="shared" si="1"/>
        <v>91</v>
      </c>
      <c r="B97" s="163"/>
      <c r="C97" s="163"/>
      <c r="D97" s="163"/>
      <c r="E97" s="163"/>
      <c r="F97" s="163"/>
      <c r="G97" s="163"/>
      <c r="H97" s="163"/>
      <c r="I97" s="163"/>
      <c r="J97" s="163"/>
      <c r="K97" s="163"/>
    </row>
    <row r="98" spans="1:11" x14ac:dyDescent="0.2">
      <c r="A98" s="171">
        <f t="shared" si="1"/>
        <v>92</v>
      </c>
      <c r="B98" s="174" t="s">
        <v>480</v>
      </c>
      <c r="C98" s="163"/>
      <c r="D98" s="207" t="s">
        <v>455</v>
      </c>
      <c r="E98" s="207" t="s">
        <v>45</v>
      </c>
      <c r="F98" s="163"/>
      <c r="G98" s="184" t="s">
        <v>454</v>
      </c>
      <c r="H98" s="163"/>
      <c r="I98" s="163"/>
      <c r="J98" s="163"/>
      <c r="K98" s="163"/>
    </row>
    <row r="99" spans="1:11" x14ac:dyDescent="0.2">
      <c r="A99" s="171">
        <f t="shared" si="1"/>
        <v>93</v>
      </c>
      <c r="B99" s="636"/>
      <c r="C99" s="174" t="s">
        <v>479</v>
      </c>
      <c r="D99" s="663">
        <v>394539.06064598879</v>
      </c>
      <c r="E99" s="207"/>
      <c r="F99" s="163"/>
      <c r="G99" s="664" t="s">
        <v>478</v>
      </c>
      <c r="H99" s="163"/>
      <c r="I99" s="163"/>
      <c r="J99" s="163"/>
      <c r="K99" s="163"/>
    </row>
    <row r="100" spans="1:11" x14ac:dyDescent="0.2">
      <c r="A100" s="171">
        <f t="shared" si="1"/>
        <v>94</v>
      </c>
      <c r="B100" s="636"/>
      <c r="C100" s="174" t="s">
        <v>477</v>
      </c>
      <c r="D100" s="663">
        <v>6793035.6693540104</v>
      </c>
      <c r="E100" s="207"/>
      <c r="F100" s="163"/>
      <c r="G100" s="664"/>
      <c r="H100" s="163"/>
      <c r="I100" s="163"/>
      <c r="J100" s="163"/>
      <c r="K100" s="163"/>
    </row>
    <row r="101" spans="1:11" x14ac:dyDescent="0.2">
      <c r="A101" s="171">
        <f t="shared" si="1"/>
        <v>95</v>
      </c>
      <c r="B101" s="636"/>
      <c r="C101" s="174" t="s">
        <v>476</v>
      </c>
      <c r="D101" s="665">
        <f>SUM(D99:D100)</f>
        <v>7187574.7299999995</v>
      </c>
      <c r="E101" s="174" t="str">
        <f>" = L"&amp;A99&amp;" + L"&amp;A100&amp;""</f>
        <v xml:space="preserve"> = L93 + L94</v>
      </c>
      <c r="F101" s="163"/>
      <c r="G101" s="163"/>
      <c r="H101" s="163"/>
      <c r="I101" s="163"/>
      <c r="J101" s="163"/>
      <c r="K101" s="163"/>
    </row>
    <row r="102" spans="1:11" x14ac:dyDescent="0.2">
      <c r="A102" s="171">
        <f t="shared" si="1"/>
        <v>96</v>
      </c>
      <c r="B102" s="636"/>
      <c r="C102" s="174" t="s">
        <v>475</v>
      </c>
      <c r="D102" s="666">
        <f>D99/D101</f>
        <v>5.4891820324209528E-2</v>
      </c>
      <c r="E102" s="174" t="str">
        <f>" = L"&amp;A99&amp;" / L"&amp;A101&amp;""</f>
        <v xml:space="preserve"> = L93 / L95</v>
      </c>
      <c r="F102" s="163"/>
      <c r="G102" s="163"/>
      <c r="H102" s="163"/>
      <c r="I102" s="163"/>
      <c r="J102" s="163"/>
      <c r="K102" s="163"/>
    </row>
    <row r="103" spans="1:11" x14ac:dyDescent="0.2">
      <c r="A103" s="171">
        <f t="shared" si="1"/>
        <v>97</v>
      </c>
      <c r="B103" s="163"/>
      <c r="C103" s="163"/>
      <c r="D103" s="163"/>
      <c r="E103" s="163"/>
      <c r="F103" s="163"/>
      <c r="G103" s="163"/>
      <c r="H103" s="163"/>
      <c r="I103" s="163"/>
      <c r="J103" s="163"/>
      <c r="K103" s="163"/>
    </row>
    <row r="104" spans="1:11" ht="13.5" thickBot="1" x14ac:dyDescent="0.25">
      <c r="A104" s="171">
        <f t="shared" si="1"/>
        <v>98</v>
      </c>
      <c r="B104" s="174" t="s">
        <v>474</v>
      </c>
      <c r="C104" s="163"/>
      <c r="D104" s="207" t="s">
        <v>455</v>
      </c>
      <c r="E104" s="207" t="s">
        <v>45</v>
      </c>
      <c r="F104" s="163"/>
      <c r="G104" s="184" t="s">
        <v>454</v>
      </c>
      <c r="H104" s="163"/>
      <c r="I104" s="163"/>
      <c r="J104" s="163"/>
      <c r="K104" s="163"/>
    </row>
    <row r="105" spans="1:11" ht="13.5" thickBot="1" x14ac:dyDescent="0.25">
      <c r="A105" s="171">
        <f t="shared" si="1"/>
        <v>99</v>
      </c>
      <c r="B105" s="636"/>
      <c r="C105" s="174" t="s">
        <v>473</v>
      </c>
      <c r="D105" s="667">
        <v>804405.70931893098</v>
      </c>
      <c r="E105" s="207"/>
      <c r="F105" s="163"/>
      <c r="G105" s="664" t="s">
        <v>472</v>
      </c>
      <c r="H105" s="163"/>
      <c r="I105" s="163"/>
      <c r="J105" s="163"/>
      <c r="K105" s="163"/>
    </row>
    <row r="106" spans="1:11" ht="13.5" thickBot="1" x14ac:dyDescent="0.25">
      <c r="A106" s="171">
        <f t="shared" si="1"/>
        <v>100</v>
      </c>
      <c r="B106" s="636"/>
      <c r="C106" s="174" t="s">
        <v>471</v>
      </c>
      <c r="D106" s="667">
        <v>1054515.020681069</v>
      </c>
      <c r="E106" s="207"/>
      <c r="F106" s="163"/>
      <c r="G106" s="664"/>
      <c r="H106" s="163"/>
      <c r="I106" s="163"/>
      <c r="J106" s="163"/>
      <c r="K106" s="163"/>
    </row>
    <row r="107" spans="1:11" x14ac:dyDescent="0.2">
      <c r="A107" s="171">
        <f t="shared" si="1"/>
        <v>101</v>
      </c>
      <c r="B107" s="636"/>
      <c r="C107" s="174" t="s">
        <v>470</v>
      </c>
      <c r="D107" s="665">
        <f>SUM(D105:D106)</f>
        <v>1858920.73</v>
      </c>
      <c r="E107" s="174" t="str">
        <f>" = L"&amp;A105&amp;" + L"&amp;A106&amp;""</f>
        <v xml:space="preserve"> = L99 + L100</v>
      </c>
      <c r="F107" s="163"/>
      <c r="G107" s="163"/>
      <c r="H107" s="163"/>
      <c r="I107" s="163"/>
      <c r="J107" s="163"/>
      <c r="K107" s="163"/>
    </row>
    <row r="108" spans="1:11" x14ac:dyDescent="0.2">
      <c r="A108" s="171">
        <f t="shared" si="1"/>
        <v>102</v>
      </c>
      <c r="B108" s="636"/>
      <c r="C108" s="174" t="s">
        <v>469</v>
      </c>
      <c r="D108" s="666">
        <f>D105/D107</f>
        <v>0.43272727897274621</v>
      </c>
      <c r="E108" s="174" t="str">
        <f>" = L"&amp;A105&amp;" / L"&amp;A107&amp;""</f>
        <v xml:space="preserve"> = L99 / L101</v>
      </c>
      <c r="F108" s="163"/>
      <c r="G108" s="163"/>
      <c r="H108" s="163"/>
      <c r="I108" s="163"/>
      <c r="J108" s="163"/>
      <c r="K108" s="163"/>
    </row>
    <row r="109" spans="1:11" x14ac:dyDescent="0.2">
      <c r="A109" s="171">
        <f t="shared" si="1"/>
        <v>103</v>
      </c>
      <c r="B109" s="163"/>
      <c r="C109" s="163"/>
      <c r="D109" s="163"/>
      <c r="E109" s="163"/>
      <c r="F109" s="163"/>
      <c r="G109" s="163"/>
      <c r="H109" s="163"/>
      <c r="I109" s="163"/>
      <c r="J109" s="163"/>
      <c r="K109" s="163"/>
    </row>
    <row r="110" spans="1:11" x14ac:dyDescent="0.2">
      <c r="A110" s="171">
        <f t="shared" si="1"/>
        <v>104</v>
      </c>
      <c r="B110" s="174" t="s">
        <v>468</v>
      </c>
      <c r="C110" s="163"/>
      <c r="D110" s="207" t="s">
        <v>455</v>
      </c>
      <c r="E110" s="207" t="s">
        <v>45</v>
      </c>
      <c r="F110" s="163"/>
      <c r="G110" s="184" t="s">
        <v>454</v>
      </c>
      <c r="H110" s="163"/>
      <c r="I110" s="163"/>
      <c r="J110" s="163"/>
      <c r="K110" s="163"/>
    </row>
    <row r="111" spans="1:11" x14ac:dyDescent="0.2">
      <c r="A111" s="171">
        <f t="shared" si="1"/>
        <v>105</v>
      </c>
      <c r="B111" s="636"/>
      <c r="C111" s="174" t="s">
        <v>467</v>
      </c>
      <c r="D111" s="663">
        <v>0</v>
      </c>
      <c r="E111" s="207"/>
      <c r="F111" s="163"/>
      <c r="G111" s="664" t="s">
        <v>466</v>
      </c>
      <c r="H111" s="163"/>
      <c r="I111" s="163"/>
      <c r="J111" s="163"/>
      <c r="K111" s="163"/>
    </row>
    <row r="112" spans="1:11" x14ac:dyDescent="0.2">
      <c r="A112" s="171">
        <f t="shared" si="1"/>
        <v>106</v>
      </c>
      <c r="B112" s="636"/>
      <c r="C112" s="174" t="s">
        <v>465</v>
      </c>
      <c r="D112" s="663">
        <v>2262</v>
      </c>
      <c r="E112" s="207"/>
      <c r="F112" s="163"/>
      <c r="G112" s="664"/>
      <c r="H112" s="163"/>
      <c r="I112" s="163"/>
      <c r="J112" s="163"/>
      <c r="K112" s="163"/>
    </row>
    <row r="113" spans="1:11" x14ac:dyDescent="0.2">
      <c r="A113" s="171">
        <f t="shared" si="1"/>
        <v>107</v>
      </c>
      <c r="B113" s="636"/>
      <c r="C113" s="174" t="s">
        <v>464</v>
      </c>
      <c r="D113" s="665">
        <f>SUM(D111:D112)</f>
        <v>2262</v>
      </c>
      <c r="E113" s="174" t="str">
        <f>" = L"&amp;A111&amp;" + L"&amp;A112&amp;""</f>
        <v xml:space="preserve"> = L105 + L106</v>
      </c>
      <c r="F113" s="163"/>
      <c r="G113" s="163"/>
      <c r="H113" s="163"/>
      <c r="I113" s="163"/>
      <c r="J113" s="163"/>
      <c r="K113" s="163"/>
    </row>
    <row r="114" spans="1:11" x14ac:dyDescent="0.2">
      <c r="A114" s="171">
        <f t="shared" si="1"/>
        <v>108</v>
      </c>
      <c r="B114" s="636"/>
      <c r="C114" s="174" t="s">
        <v>463</v>
      </c>
      <c r="D114" s="666">
        <f>D111/D113</f>
        <v>0</v>
      </c>
      <c r="E114" s="174" t="str">
        <f>" = L"&amp;A111&amp;" / L"&amp;A113&amp;""</f>
        <v xml:space="preserve"> = L105 / L107</v>
      </c>
      <c r="F114" s="163"/>
      <c r="G114" s="163"/>
      <c r="H114" s="163"/>
      <c r="I114" s="163"/>
      <c r="J114" s="163"/>
      <c r="K114" s="163"/>
    </row>
    <row r="115" spans="1:11" x14ac:dyDescent="0.2">
      <c r="A115" s="171">
        <f t="shared" si="1"/>
        <v>109</v>
      </c>
      <c r="B115" s="163"/>
      <c r="C115" s="163"/>
      <c r="D115" s="163"/>
      <c r="E115" s="163"/>
      <c r="F115" s="163"/>
      <c r="G115" s="163"/>
      <c r="H115" s="163"/>
      <c r="I115" s="163"/>
      <c r="J115" s="163"/>
      <c r="K115" s="163"/>
    </row>
    <row r="116" spans="1:11" x14ac:dyDescent="0.2">
      <c r="A116" s="171">
        <f t="shared" si="1"/>
        <v>110</v>
      </c>
      <c r="B116" s="174" t="s">
        <v>462</v>
      </c>
      <c r="C116" s="163"/>
      <c r="D116" s="207" t="s">
        <v>455</v>
      </c>
      <c r="E116" s="207" t="s">
        <v>45</v>
      </c>
      <c r="F116" s="163"/>
      <c r="G116" s="184" t="s">
        <v>454</v>
      </c>
      <c r="H116" s="163"/>
      <c r="I116" s="163"/>
      <c r="J116" s="163"/>
      <c r="K116" s="163"/>
    </row>
    <row r="117" spans="1:11" ht="13.5" thickBot="1" x14ac:dyDescent="0.25">
      <c r="A117" s="171">
        <f t="shared" si="1"/>
        <v>111</v>
      </c>
      <c r="B117" s="636"/>
      <c r="C117" s="174" t="s">
        <v>461</v>
      </c>
      <c r="D117" s="663">
        <v>0</v>
      </c>
      <c r="E117" s="207"/>
      <c r="F117" s="163"/>
      <c r="G117" s="664" t="s">
        <v>460</v>
      </c>
      <c r="H117" s="163"/>
      <c r="I117" s="163"/>
      <c r="J117" s="163"/>
      <c r="K117" s="163"/>
    </row>
    <row r="118" spans="1:11" ht="13.5" thickBot="1" x14ac:dyDescent="0.25">
      <c r="A118" s="171">
        <f t="shared" si="1"/>
        <v>112</v>
      </c>
      <c r="B118" s="636"/>
      <c r="C118" s="174" t="s">
        <v>459</v>
      </c>
      <c r="D118" s="667">
        <v>8849</v>
      </c>
      <c r="E118" s="207"/>
      <c r="F118" s="163"/>
      <c r="G118" s="664"/>
      <c r="H118" s="163"/>
      <c r="I118" s="163"/>
      <c r="J118" s="163"/>
      <c r="K118" s="163"/>
    </row>
    <row r="119" spans="1:11" x14ac:dyDescent="0.2">
      <c r="A119" s="171">
        <f t="shared" si="1"/>
        <v>113</v>
      </c>
      <c r="B119" s="636"/>
      <c r="C119" s="174" t="s">
        <v>458</v>
      </c>
      <c r="D119" s="670">
        <f>SUM(D117:D118)</f>
        <v>8849</v>
      </c>
      <c r="E119" s="174" t="str">
        <f>" = L"&amp;A117&amp;" + L"&amp;A118&amp;""</f>
        <v xml:space="preserve"> = L111 + L112</v>
      </c>
      <c r="F119" s="163"/>
      <c r="G119" s="163"/>
      <c r="H119" s="163"/>
      <c r="I119" s="163"/>
      <c r="J119" s="163"/>
      <c r="K119" s="163"/>
    </row>
    <row r="120" spans="1:11" x14ac:dyDescent="0.2">
      <c r="A120" s="171">
        <f t="shared" si="1"/>
        <v>114</v>
      </c>
      <c r="B120" s="636"/>
      <c r="C120" s="174" t="s">
        <v>457</v>
      </c>
      <c r="D120" s="666">
        <f>D117/D119</f>
        <v>0</v>
      </c>
      <c r="E120" s="174" t="str">
        <f>" = L"&amp;A117&amp;" / L"&amp;A119&amp;""</f>
        <v xml:space="preserve"> = L111 / L113</v>
      </c>
      <c r="F120" s="163"/>
      <c r="G120" s="163"/>
      <c r="H120" s="163"/>
      <c r="I120" s="163"/>
      <c r="J120" s="163"/>
      <c r="K120" s="163"/>
    </row>
    <row r="121" spans="1:11" x14ac:dyDescent="0.2">
      <c r="A121" s="171">
        <f t="shared" si="1"/>
        <v>115</v>
      </c>
      <c r="B121" s="163"/>
      <c r="C121" s="163"/>
      <c r="D121" s="163"/>
      <c r="E121" s="163"/>
      <c r="F121" s="163"/>
      <c r="G121" s="163"/>
      <c r="H121" s="163"/>
      <c r="I121" s="163"/>
      <c r="J121" s="163"/>
      <c r="K121" s="163"/>
    </row>
    <row r="122" spans="1:11" x14ac:dyDescent="0.2">
      <c r="A122" s="171">
        <f t="shared" si="1"/>
        <v>116</v>
      </c>
      <c r="B122" s="174" t="s">
        <v>456</v>
      </c>
      <c r="C122" s="163"/>
      <c r="D122" s="207" t="s">
        <v>455</v>
      </c>
      <c r="E122" s="207" t="s">
        <v>45</v>
      </c>
      <c r="F122" s="163"/>
      <c r="G122" s="184" t="s">
        <v>454</v>
      </c>
      <c r="H122" s="163"/>
      <c r="I122" s="163"/>
      <c r="J122" s="163"/>
      <c r="K122" s="163"/>
    </row>
    <row r="123" spans="1:11" x14ac:dyDescent="0.2">
      <c r="A123" s="171">
        <f t="shared" si="1"/>
        <v>117</v>
      </c>
      <c r="B123" s="636"/>
      <c r="C123" s="174" t="s">
        <v>453</v>
      </c>
      <c r="D123" s="663">
        <v>0</v>
      </c>
      <c r="E123" s="207"/>
      <c r="F123" s="163"/>
      <c r="G123" s="664" t="s">
        <v>452</v>
      </c>
      <c r="H123" s="163"/>
      <c r="I123" s="163"/>
      <c r="J123" s="163"/>
      <c r="K123" s="163"/>
    </row>
    <row r="124" spans="1:11" x14ac:dyDescent="0.2">
      <c r="A124" s="171">
        <f t="shared" si="1"/>
        <v>118</v>
      </c>
      <c r="B124" s="636"/>
      <c r="C124" s="174" t="s">
        <v>451</v>
      </c>
      <c r="D124" s="663">
        <v>2328</v>
      </c>
      <c r="E124" s="207"/>
      <c r="F124" s="163"/>
      <c r="G124" s="664"/>
      <c r="H124" s="163"/>
      <c r="I124" s="163"/>
      <c r="J124" s="163"/>
      <c r="K124" s="163"/>
    </row>
    <row r="125" spans="1:11" x14ac:dyDescent="0.2">
      <c r="A125" s="171">
        <f t="shared" si="1"/>
        <v>119</v>
      </c>
      <c r="B125" s="636"/>
      <c r="C125" s="174" t="s">
        <v>450</v>
      </c>
      <c r="D125" s="665">
        <f>SUM(D123:D124)</f>
        <v>2328</v>
      </c>
      <c r="E125" s="174" t="str">
        <f>" = L"&amp;A123&amp;" + L"&amp;A124&amp;""</f>
        <v xml:space="preserve"> = L117 + L118</v>
      </c>
      <c r="F125" s="163"/>
      <c r="G125" s="163"/>
      <c r="H125" s="163"/>
      <c r="I125" s="163"/>
      <c r="J125" s="163"/>
      <c r="K125" s="163"/>
    </row>
    <row r="126" spans="1:11" x14ac:dyDescent="0.2">
      <c r="A126" s="171">
        <f t="shared" si="1"/>
        <v>120</v>
      </c>
      <c r="B126" s="636"/>
      <c r="C126" s="174" t="s">
        <v>449</v>
      </c>
      <c r="D126" s="666">
        <f>D123/D125</f>
        <v>0</v>
      </c>
      <c r="E126" s="174" t="str">
        <f>" = L"&amp;A123&amp;" / L"&amp;A125&amp;""</f>
        <v xml:space="preserve"> = L117 / L119</v>
      </c>
      <c r="F126" s="163"/>
      <c r="G126" s="163"/>
      <c r="H126" s="163"/>
      <c r="I126" s="163"/>
      <c r="J126" s="163"/>
      <c r="K126" s="163"/>
    </row>
    <row r="127" spans="1:11" x14ac:dyDescent="0.2">
      <c r="A127" s="166"/>
      <c r="E127" s="163"/>
      <c r="F127" s="163"/>
      <c r="G127" s="163"/>
      <c r="H127" s="163"/>
      <c r="I127" s="163"/>
      <c r="J127" s="163"/>
      <c r="K127" s="163"/>
    </row>
    <row r="128" spans="1:11" x14ac:dyDescent="0.2">
      <c r="A128" s="166"/>
      <c r="E128" s="163"/>
      <c r="F128" s="163"/>
      <c r="G128" s="163"/>
      <c r="H128" s="163"/>
      <c r="I128" s="163"/>
      <c r="J128" s="163"/>
      <c r="K128" s="163"/>
    </row>
    <row r="129" spans="1:11" x14ac:dyDescent="0.2">
      <c r="A129" s="166"/>
      <c r="E129" s="163"/>
      <c r="F129" s="163"/>
      <c r="G129" s="163"/>
      <c r="H129" s="163"/>
      <c r="I129" s="163"/>
      <c r="J129" s="163"/>
      <c r="K129" s="163"/>
    </row>
    <row r="130" spans="1:11" x14ac:dyDescent="0.2">
      <c r="A130" s="166"/>
    </row>
    <row r="131" spans="1:11" x14ac:dyDescent="0.2">
      <c r="A131" s="166"/>
    </row>
    <row r="132" spans="1:11" x14ac:dyDescent="0.2">
      <c r="A132" s="166"/>
    </row>
    <row r="133" spans="1:11" x14ac:dyDescent="0.2">
      <c r="A133" s="166"/>
    </row>
    <row r="134" spans="1:11" x14ac:dyDescent="0.2">
      <c r="A134" s="166"/>
    </row>
    <row r="135" spans="1:11" x14ac:dyDescent="0.2">
      <c r="A135" s="166"/>
    </row>
    <row r="136" spans="1:11" x14ac:dyDescent="0.2">
      <c r="A136" s="166"/>
    </row>
    <row r="137" spans="1:11" x14ac:dyDescent="0.2">
      <c r="A137" s="166"/>
    </row>
    <row r="138" spans="1:11" x14ac:dyDescent="0.2">
      <c r="A138" s="166"/>
    </row>
  </sheetData>
  <pageMargins left="0.75" right="0.75" top="1" bottom="1" header="0.5" footer="0.5"/>
  <pageSetup scale="69" orientation="landscape" cellComments="asDisplayed" r:id="rId1"/>
  <headerFooter alignWithMargins="0">
    <oddHeader>&amp;CSchedule 27
Allocation Factors
(Revised 2015 True Up TRR)&amp;RTO12 Draft Annual Update
Attachment 4
WP-Schedule 3-One Time Adj True Up Adj
Page &amp;P of &amp;N</oddHeader>
    <oddFooter>&amp;R&amp;A</oddFooter>
  </headerFooter>
  <rowBreaks count="2" manualBreakCount="2">
    <brk id="49" max="16383" man="1"/>
    <brk id="103" max="10"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B61"/>
  <sheetViews>
    <sheetView zoomScale="110" zoomScaleNormal="110" workbookViewId="0"/>
  </sheetViews>
  <sheetFormatPr defaultRowHeight="12.75" x14ac:dyDescent="0.2"/>
  <cols>
    <col min="1" max="1" width="4.7109375" customWidth="1"/>
    <col min="2" max="2" width="3.7109375" customWidth="1"/>
    <col min="4" max="4" width="13.7109375" customWidth="1"/>
    <col min="6" max="7" width="10.7109375" customWidth="1"/>
    <col min="9" max="9" width="27.7109375" customWidth="1"/>
    <col min="10" max="10" width="30.7109375" customWidth="1"/>
    <col min="11" max="11" width="2.7109375" customWidth="1"/>
    <col min="12" max="12" width="16.7109375" customWidth="1"/>
    <col min="13" max="13" width="1.7109375" customWidth="1"/>
    <col min="14" max="14" width="4.7109375" style="163" customWidth="1"/>
    <col min="15" max="28" width="14.7109375" style="163" customWidth="1"/>
  </cols>
  <sheetData>
    <row r="1" spans="1:28" x14ac:dyDescent="0.2">
      <c r="A1" s="162" t="s">
        <v>652</v>
      </c>
      <c r="J1" s="218" t="s">
        <v>653</v>
      </c>
      <c r="K1" s="163"/>
      <c r="L1" s="163"/>
    </row>
    <row r="2" spans="1:28" x14ac:dyDescent="0.2">
      <c r="B2" s="162"/>
      <c r="I2" s="166"/>
      <c r="J2" s="166" t="s">
        <v>41</v>
      </c>
      <c r="L2" s="474">
        <v>2012</v>
      </c>
    </row>
    <row r="3" spans="1:28" x14ac:dyDescent="0.2">
      <c r="I3" s="170" t="s">
        <v>45</v>
      </c>
      <c r="J3" s="170" t="s">
        <v>46</v>
      </c>
      <c r="L3" s="170" t="s">
        <v>563</v>
      </c>
    </row>
    <row r="5" spans="1:28" x14ac:dyDescent="0.2">
      <c r="A5" s="475" t="s">
        <v>654</v>
      </c>
      <c r="B5" s="476"/>
      <c r="C5" s="477"/>
      <c r="D5" s="477"/>
      <c r="E5" s="477"/>
      <c r="F5" s="477"/>
      <c r="G5" s="477"/>
      <c r="H5" s="477"/>
      <c r="I5" s="478"/>
      <c r="J5" s="478"/>
      <c r="K5" s="478"/>
      <c r="L5" s="478"/>
      <c r="N5" s="479"/>
      <c r="O5" s="480"/>
      <c r="P5" s="480"/>
      <c r="Q5" s="480"/>
      <c r="R5" s="480"/>
      <c r="S5" s="480"/>
      <c r="T5" s="480"/>
    </row>
    <row r="6" spans="1:28" x14ac:dyDescent="0.2">
      <c r="B6" s="183"/>
      <c r="C6" s="174"/>
      <c r="D6" s="174"/>
      <c r="E6" s="174"/>
      <c r="F6" s="174"/>
      <c r="G6" s="174"/>
      <c r="H6" s="174"/>
      <c r="I6" s="174"/>
      <c r="J6" s="174"/>
      <c r="K6" s="174"/>
      <c r="L6" s="174"/>
      <c r="O6" s="241"/>
      <c r="P6" s="241"/>
      <c r="Q6" s="241"/>
      <c r="R6" s="241"/>
      <c r="S6" s="241"/>
      <c r="T6" s="241"/>
      <c r="U6" s="241"/>
      <c r="V6" s="241"/>
      <c r="W6" s="241"/>
      <c r="X6" s="241"/>
      <c r="Y6" s="241"/>
      <c r="Z6" s="241"/>
      <c r="AA6" s="241"/>
      <c r="AB6" s="241"/>
    </row>
    <row r="7" spans="1:28" x14ac:dyDescent="0.2">
      <c r="A7" s="167" t="s">
        <v>42</v>
      </c>
      <c r="B7" s="183"/>
      <c r="C7" s="175" t="s">
        <v>655</v>
      </c>
      <c r="D7" s="174"/>
      <c r="E7" s="174"/>
      <c r="F7" s="174"/>
      <c r="G7" s="174"/>
      <c r="H7" s="174"/>
      <c r="I7" s="174"/>
      <c r="J7" s="223"/>
      <c r="K7" s="174"/>
      <c r="L7" s="174"/>
      <c r="N7" s="184"/>
      <c r="O7" s="202"/>
      <c r="P7" s="481"/>
      <c r="Q7" s="217"/>
      <c r="R7" s="217"/>
      <c r="S7" s="217"/>
      <c r="T7" s="217"/>
      <c r="U7" s="217"/>
      <c r="V7" s="217"/>
      <c r="W7" s="217"/>
      <c r="X7" s="217"/>
      <c r="Y7" s="217"/>
      <c r="Z7" s="217"/>
      <c r="AA7" s="217"/>
      <c r="AB7" s="217"/>
    </row>
    <row r="8" spans="1:28" x14ac:dyDescent="0.2">
      <c r="A8" s="171">
        <v>1</v>
      </c>
      <c r="B8" s="183"/>
      <c r="C8" s="174" t="s">
        <v>656</v>
      </c>
      <c r="D8" s="174"/>
      <c r="E8" s="174"/>
      <c r="F8" s="174"/>
      <c r="G8" s="174"/>
      <c r="H8" s="174"/>
      <c r="I8" s="174" t="s">
        <v>657</v>
      </c>
      <c r="J8" s="176" t="s">
        <v>1046</v>
      </c>
      <c r="K8" s="174"/>
      <c r="L8" s="188">
        <v>8622092307.6923084</v>
      </c>
      <c r="N8" s="171"/>
      <c r="O8" s="188"/>
      <c r="P8" s="188"/>
      <c r="Q8" s="188"/>
      <c r="R8" s="188"/>
      <c r="S8" s="188"/>
      <c r="T8" s="188"/>
      <c r="U8" s="188"/>
      <c r="V8" s="188"/>
      <c r="W8" s="188"/>
      <c r="X8" s="188"/>
      <c r="Y8" s="188"/>
      <c r="Z8" s="188"/>
      <c r="AA8" s="188"/>
      <c r="AB8" s="188"/>
    </row>
    <row r="9" spans="1:28" x14ac:dyDescent="0.2">
      <c r="A9" s="171">
        <f>A8+1</f>
        <v>2</v>
      </c>
      <c r="B9" s="183"/>
      <c r="C9" s="174" t="s">
        <v>658</v>
      </c>
      <c r="D9" s="174"/>
      <c r="E9" s="174"/>
      <c r="F9" s="174"/>
      <c r="G9" s="174"/>
      <c r="H9" s="174"/>
      <c r="I9" s="174" t="s">
        <v>657</v>
      </c>
      <c r="J9" s="176" t="s">
        <v>1047</v>
      </c>
      <c r="K9" s="174"/>
      <c r="L9" s="188">
        <v>-160540000</v>
      </c>
      <c r="N9" s="171"/>
      <c r="O9" s="188"/>
      <c r="P9" s="188"/>
      <c r="Q9" s="188"/>
      <c r="R9" s="188"/>
      <c r="S9" s="188"/>
      <c r="T9" s="188"/>
      <c r="U9" s="188"/>
      <c r="V9" s="188"/>
      <c r="W9" s="188"/>
      <c r="X9" s="188"/>
      <c r="Y9" s="188"/>
      <c r="Z9" s="188"/>
      <c r="AA9" s="188"/>
      <c r="AB9" s="188"/>
    </row>
    <row r="10" spans="1:28" x14ac:dyDescent="0.2">
      <c r="A10" s="171" t="s">
        <v>593</v>
      </c>
      <c r="B10" s="183"/>
      <c r="C10" s="174" t="s">
        <v>659</v>
      </c>
      <c r="D10" s="482"/>
      <c r="E10" s="482"/>
      <c r="F10" s="482"/>
      <c r="G10" s="482"/>
      <c r="H10" s="482"/>
      <c r="I10" s="174" t="s">
        <v>657</v>
      </c>
      <c r="J10" s="176" t="s">
        <v>1048</v>
      </c>
      <c r="K10" s="174"/>
      <c r="L10" s="188">
        <v>0</v>
      </c>
      <c r="N10" s="171"/>
      <c r="O10" s="188"/>
      <c r="P10" s="188"/>
      <c r="Q10" s="188"/>
      <c r="R10" s="188"/>
      <c r="S10" s="188"/>
      <c r="T10" s="188"/>
      <c r="U10" s="188"/>
      <c r="V10" s="188"/>
      <c r="W10" s="188"/>
      <c r="X10" s="188"/>
      <c r="Y10" s="188"/>
      <c r="Z10" s="188"/>
      <c r="AA10" s="188"/>
      <c r="AB10" s="188"/>
    </row>
    <row r="11" spans="1:28" x14ac:dyDescent="0.2">
      <c r="A11" s="171">
        <f>A9+1</f>
        <v>3</v>
      </c>
      <c r="B11" s="183"/>
      <c r="C11" s="174" t="s">
        <v>660</v>
      </c>
      <c r="D11" s="174"/>
      <c r="E11" s="174"/>
      <c r="F11" s="174"/>
      <c r="G11" s="174"/>
      <c r="H11" s="174"/>
      <c r="I11" s="174" t="s">
        <v>657</v>
      </c>
      <c r="J11" s="176" t="s">
        <v>1049</v>
      </c>
      <c r="K11" s="174"/>
      <c r="L11" s="188">
        <v>306872047.30769229</v>
      </c>
      <c r="N11" s="171"/>
      <c r="O11" s="188"/>
      <c r="P11" s="188"/>
      <c r="Q11" s="188"/>
      <c r="R11" s="188"/>
      <c r="S11" s="188"/>
      <c r="T11" s="188"/>
      <c r="U11" s="188"/>
      <c r="V11" s="188"/>
      <c r="W11" s="188"/>
      <c r="X11" s="188"/>
      <c r="Y11" s="188"/>
      <c r="Z11" s="188"/>
      <c r="AA11" s="188"/>
      <c r="AB11" s="188"/>
    </row>
    <row r="12" spans="1:28" x14ac:dyDescent="0.2">
      <c r="A12" s="171">
        <f>A11+1</f>
        <v>4</v>
      </c>
      <c r="B12" s="183"/>
      <c r="C12" s="174" t="s">
        <v>661</v>
      </c>
      <c r="D12" s="174"/>
      <c r="E12" s="174"/>
      <c r="F12" s="174"/>
      <c r="G12" s="174"/>
      <c r="H12" s="174"/>
      <c r="I12" s="174"/>
      <c r="J12" s="176"/>
      <c r="K12" s="174"/>
      <c r="L12" s="188"/>
      <c r="N12" s="171"/>
      <c r="O12" s="188"/>
      <c r="P12" s="188"/>
      <c r="Q12" s="188"/>
      <c r="R12" s="188"/>
      <c r="S12" s="188"/>
      <c r="T12" s="188"/>
      <c r="U12" s="188"/>
      <c r="V12" s="188"/>
      <c r="W12" s="188"/>
      <c r="X12" s="188"/>
      <c r="Y12" s="188"/>
      <c r="Z12" s="188"/>
      <c r="AA12" s="188"/>
      <c r="AB12" s="188"/>
    </row>
    <row r="13" spans="1:28" x14ac:dyDescent="0.2">
      <c r="A13" s="171">
        <f>A12+1</f>
        <v>5</v>
      </c>
      <c r="B13" s="183"/>
      <c r="C13" s="174" t="s">
        <v>661</v>
      </c>
      <c r="D13" s="174"/>
      <c r="E13" s="174"/>
      <c r="F13" s="174"/>
      <c r="G13" s="174"/>
      <c r="H13" s="174"/>
      <c r="I13" s="174"/>
      <c r="J13" s="176"/>
      <c r="K13" s="174"/>
      <c r="L13" s="188"/>
      <c r="N13" s="171"/>
      <c r="O13" s="188"/>
      <c r="P13" s="188"/>
      <c r="Q13" s="188"/>
      <c r="R13" s="188"/>
      <c r="S13" s="188"/>
      <c r="T13" s="188"/>
      <c r="U13" s="188"/>
      <c r="V13" s="188"/>
      <c r="W13" s="188"/>
      <c r="X13" s="188"/>
      <c r="Y13" s="188"/>
      <c r="Z13" s="188"/>
      <c r="AA13" s="188"/>
      <c r="AB13" s="188"/>
    </row>
    <row r="14" spans="1:28" x14ac:dyDescent="0.2">
      <c r="A14" s="171">
        <f>A13+1</f>
        <v>6</v>
      </c>
      <c r="B14" s="183"/>
      <c r="C14" s="174" t="s">
        <v>661</v>
      </c>
      <c r="D14" s="174"/>
      <c r="E14" s="174"/>
      <c r="F14" s="174"/>
      <c r="G14" s="174"/>
      <c r="H14" s="174"/>
      <c r="I14" s="174"/>
      <c r="J14" s="176"/>
      <c r="K14" s="174"/>
      <c r="L14" s="188"/>
      <c r="N14" s="171"/>
      <c r="O14" s="188"/>
      <c r="P14" s="188"/>
      <c r="Q14" s="188"/>
      <c r="R14" s="188"/>
      <c r="S14" s="188"/>
      <c r="T14" s="188"/>
      <c r="U14" s="188"/>
      <c r="V14" s="188"/>
      <c r="W14" s="188"/>
      <c r="X14" s="188"/>
      <c r="Y14" s="188"/>
      <c r="Z14" s="188"/>
      <c r="AA14" s="188"/>
      <c r="AB14" s="188"/>
    </row>
    <row r="15" spans="1:28" x14ac:dyDescent="0.2">
      <c r="A15" s="171">
        <f t="shared" ref="A15:A16" si="0">A14+1</f>
        <v>7</v>
      </c>
      <c r="B15" s="183"/>
      <c r="C15" s="174" t="s">
        <v>661</v>
      </c>
      <c r="D15" s="174"/>
      <c r="E15" s="174"/>
      <c r="F15" s="174"/>
      <c r="G15" s="174"/>
      <c r="H15" s="174"/>
      <c r="I15" s="174"/>
      <c r="J15" s="176"/>
      <c r="K15" s="174"/>
      <c r="L15" s="188"/>
      <c r="N15" s="171"/>
      <c r="O15" s="188"/>
      <c r="P15" s="188"/>
      <c r="Q15" s="188"/>
      <c r="R15" s="188"/>
      <c r="S15" s="188"/>
      <c r="T15" s="188"/>
      <c r="U15" s="188"/>
      <c r="V15" s="188"/>
      <c r="W15" s="188"/>
      <c r="X15" s="188"/>
      <c r="Y15" s="188"/>
      <c r="Z15" s="188"/>
      <c r="AA15" s="188"/>
      <c r="AB15" s="188"/>
    </row>
    <row r="16" spans="1:28" x14ac:dyDescent="0.2">
      <c r="A16" s="171">
        <f t="shared" si="0"/>
        <v>8</v>
      </c>
      <c r="B16" s="183"/>
      <c r="C16" s="176" t="s">
        <v>662</v>
      </c>
      <c r="D16" s="174"/>
      <c r="E16" s="174"/>
      <c r="F16" s="174"/>
      <c r="G16" s="174"/>
      <c r="H16" s="174"/>
      <c r="I16" s="163"/>
      <c r="J16" s="176" t="str">
        <f>"L"&amp;A8&amp;" + L"&amp;A9&amp;" + L"&amp;A10&amp;" + L"&amp;A11&amp;""</f>
        <v>L1 + L2 + L2a + L3</v>
      </c>
      <c r="K16" s="174"/>
      <c r="L16" s="483">
        <f>SUM(L8:L11)</f>
        <v>8768424355</v>
      </c>
    </row>
    <row r="17" spans="1:28" x14ac:dyDescent="0.2">
      <c r="A17" s="163"/>
      <c r="B17" s="183"/>
      <c r="C17" s="174"/>
      <c r="D17" s="174"/>
      <c r="E17" s="174"/>
      <c r="F17" s="174"/>
      <c r="G17" s="174" t="s">
        <v>579</v>
      </c>
      <c r="H17" s="174"/>
      <c r="I17" s="174"/>
      <c r="J17" s="176"/>
      <c r="K17" s="174"/>
      <c r="L17" s="174"/>
    </row>
    <row r="18" spans="1:28" x14ac:dyDescent="0.2">
      <c r="A18" s="171"/>
      <c r="B18" s="183"/>
      <c r="C18" s="175" t="s">
        <v>663</v>
      </c>
      <c r="D18" s="174"/>
      <c r="E18" s="174"/>
      <c r="F18" s="174"/>
      <c r="G18" s="174"/>
      <c r="H18" s="174"/>
      <c r="I18" s="174"/>
      <c r="J18" s="176"/>
      <c r="K18" s="174"/>
      <c r="L18" s="174"/>
    </row>
    <row r="19" spans="1:28" x14ac:dyDescent="0.2">
      <c r="A19" s="171">
        <f>A16+1</f>
        <v>9</v>
      </c>
      <c r="B19" s="183"/>
      <c r="C19" s="174" t="s">
        <v>664</v>
      </c>
      <c r="D19" s="174"/>
      <c r="E19" s="174"/>
      <c r="F19" s="174"/>
      <c r="G19" s="174"/>
      <c r="H19" s="174"/>
      <c r="I19" s="174"/>
      <c r="J19" s="176" t="s">
        <v>665</v>
      </c>
      <c r="K19" s="174"/>
      <c r="L19" s="454">
        <v>439796519</v>
      </c>
    </row>
    <row r="20" spans="1:28" x14ac:dyDescent="0.2">
      <c r="A20" s="171">
        <f>A19+1</f>
        <v>10</v>
      </c>
      <c r="B20" s="183"/>
      <c r="C20" s="174" t="s">
        <v>666</v>
      </c>
      <c r="D20" s="174"/>
      <c r="E20" s="174"/>
      <c r="F20" s="174"/>
      <c r="G20" s="174"/>
      <c r="H20" s="174"/>
      <c r="I20" s="174"/>
      <c r="J20" s="176" t="s">
        <v>667</v>
      </c>
      <c r="K20" s="174"/>
      <c r="L20" s="454">
        <v>31015878</v>
      </c>
    </row>
    <row r="21" spans="1:28" x14ac:dyDescent="0.2">
      <c r="A21" s="171">
        <f t="shared" ref="A21:A27" si="1">A20+1</f>
        <v>11</v>
      </c>
      <c r="B21" s="183"/>
      <c r="C21" s="174" t="s">
        <v>668</v>
      </c>
      <c r="D21" s="174"/>
      <c r="E21" s="174"/>
      <c r="F21" s="174"/>
      <c r="G21" s="174"/>
      <c r="H21" s="174"/>
      <c r="I21" s="174"/>
      <c r="J21" s="176" t="s">
        <v>669</v>
      </c>
      <c r="K21" s="174"/>
      <c r="L21" s="454">
        <v>-9</v>
      </c>
    </row>
    <row r="22" spans="1:28" x14ac:dyDescent="0.2">
      <c r="A22" s="171">
        <f t="shared" si="1"/>
        <v>12</v>
      </c>
      <c r="B22" s="183"/>
      <c r="C22" s="174" t="s">
        <v>670</v>
      </c>
      <c r="D22" s="174"/>
      <c r="E22" s="174"/>
      <c r="F22" s="174"/>
      <c r="G22" s="174"/>
      <c r="H22" s="174"/>
      <c r="I22" s="174" t="s">
        <v>671</v>
      </c>
      <c r="J22" s="176" t="s">
        <v>672</v>
      </c>
      <c r="K22" s="174"/>
      <c r="L22" s="454">
        <v>0</v>
      </c>
    </row>
    <row r="23" spans="1:28" x14ac:dyDescent="0.2">
      <c r="A23" s="171">
        <f t="shared" si="1"/>
        <v>13</v>
      </c>
      <c r="B23" s="183"/>
      <c r="C23" s="174" t="s">
        <v>673</v>
      </c>
      <c r="D23" s="174"/>
      <c r="E23" s="174"/>
      <c r="F23" s="174"/>
      <c r="G23" s="174"/>
      <c r="H23" s="174"/>
      <c r="I23" s="174" t="s">
        <v>671</v>
      </c>
      <c r="J23" s="176" t="s">
        <v>674</v>
      </c>
      <c r="K23" s="174"/>
      <c r="L23" s="454">
        <v>0</v>
      </c>
    </row>
    <row r="24" spans="1:28" x14ac:dyDescent="0.2">
      <c r="A24" s="171" t="s">
        <v>675</v>
      </c>
      <c r="B24" s="183"/>
      <c r="C24" s="174" t="s">
        <v>676</v>
      </c>
      <c r="D24" s="174"/>
      <c r="E24" s="174"/>
      <c r="F24" s="174"/>
      <c r="G24" s="174"/>
      <c r="H24" s="174"/>
      <c r="I24" s="174"/>
      <c r="J24" s="176" t="s">
        <v>677</v>
      </c>
      <c r="K24" s="174"/>
      <c r="L24" s="454">
        <v>0</v>
      </c>
    </row>
    <row r="25" spans="1:28" x14ac:dyDescent="0.2">
      <c r="A25" s="171">
        <f>A23+1</f>
        <v>14</v>
      </c>
      <c r="B25" s="183"/>
      <c r="C25" s="174" t="s">
        <v>661</v>
      </c>
      <c r="D25" s="174"/>
      <c r="E25" s="174"/>
      <c r="F25" s="174"/>
      <c r="G25" s="174"/>
      <c r="H25" s="174"/>
      <c r="I25" s="174"/>
      <c r="J25" s="176"/>
      <c r="K25" s="174"/>
      <c r="L25" s="188"/>
    </row>
    <row r="26" spans="1:28" x14ac:dyDescent="0.2">
      <c r="A26" s="171">
        <f t="shared" si="1"/>
        <v>15</v>
      </c>
      <c r="B26" s="183"/>
      <c r="C26" s="174" t="s">
        <v>661</v>
      </c>
      <c r="D26" s="174"/>
      <c r="E26" s="174"/>
      <c r="F26" s="174"/>
      <c r="G26" s="174"/>
      <c r="H26" s="174"/>
      <c r="I26" s="174"/>
      <c r="J26" s="176"/>
      <c r="K26" s="174"/>
      <c r="L26" s="484"/>
    </row>
    <row r="27" spans="1:28" x14ac:dyDescent="0.2">
      <c r="A27" s="171">
        <f t="shared" si="1"/>
        <v>16</v>
      </c>
      <c r="B27" s="183"/>
      <c r="C27" s="176" t="s">
        <v>678</v>
      </c>
      <c r="D27" s="174"/>
      <c r="E27" s="174"/>
      <c r="F27" s="174"/>
      <c r="G27" s="174"/>
      <c r="H27" s="174"/>
      <c r="I27" s="163"/>
      <c r="J27" s="176" t="str">
        <f>"Sum of Lines "&amp;A19&amp;" to "&amp;A24&amp;""</f>
        <v>Sum of Lines 9 to 13a</v>
      </c>
      <c r="K27" s="174"/>
      <c r="L27" s="483">
        <f>SUM(L19:L24)</f>
        <v>470812388</v>
      </c>
    </row>
    <row r="28" spans="1:28" x14ac:dyDescent="0.2">
      <c r="A28" s="163"/>
      <c r="B28" s="183"/>
      <c r="C28" s="174"/>
      <c r="D28" s="174"/>
      <c r="E28" s="174"/>
      <c r="F28" s="174"/>
      <c r="G28" s="174"/>
      <c r="H28" s="174"/>
      <c r="I28" s="174"/>
      <c r="J28" s="176"/>
      <c r="K28" s="174"/>
      <c r="L28" s="174"/>
    </row>
    <row r="29" spans="1:28" x14ac:dyDescent="0.2">
      <c r="A29" s="171">
        <f>A27+1</f>
        <v>17</v>
      </c>
      <c r="B29" s="183"/>
      <c r="C29" s="174" t="s">
        <v>679</v>
      </c>
      <c r="D29" s="174"/>
      <c r="E29" s="174"/>
      <c r="F29" s="174"/>
      <c r="G29" s="174"/>
      <c r="H29" s="174"/>
      <c r="I29" s="163"/>
      <c r="J29" s="176" t="str">
        <f>"Line "&amp;A27&amp;" / Line "&amp;A16&amp;""</f>
        <v>Line 16 / Line 8</v>
      </c>
      <c r="K29" s="174"/>
      <c r="L29" s="185">
        <f>L27/L16</f>
        <v>5.3694069645651862E-2</v>
      </c>
    </row>
    <row r="30" spans="1:28" x14ac:dyDescent="0.2">
      <c r="A30" s="171"/>
      <c r="B30" s="183"/>
      <c r="C30" s="174"/>
      <c r="D30" s="174"/>
      <c r="E30" s="174"/>
      <c r="F30" s="174"/>
      <c r="G30" s="174"/>
      <c r="H30" s="174"/>
      <c r="I30" s="163"/>
      <c r="J30" s="176"/>
      <c r="K30" s="174"/>
      <c r="L30" s="185"/>
    </row>
    <row r="31" spans="1:28" x14ac:dyDescent="0.2">
      <c r="A31" s="163"/>
      <c r="B31" s="183"/>
      <c r="C31" s="175" t="s">
        <v>680</v>
      </c>
      <c r="D31" s="174"/>
      <c r="E31" s="174"/>
      <c r="F31" s="174"/>
      <c r="G31" s="174"/>
      <c r="H31" s="174"/>
      <c r="I31" s="174"/>
      <c r="J31" s="176"/>
      <c r="K31" s="174"/>
      <c r="L31" s="174"/>
    </row>
    <row r="32" spans="1:28" x14ac:dyDescent="0.2">
      <c r="A32" s="171">
        <f>A29+1</f>
        <v>18</v>
      </c>
      <c r="B32" s="183"/>
      <c r="C32" s="174" t="s">
        <v>681</v>
      </c>
      <c r="D32" s="174"/>
      <c r="E32" s="174"/>
      <c r="F32" s="174"/>
      <c r="G32" s="174"/>
      <c r="H32" s="174"/>
      <c r="I32" s="174" t="s">
        <v>657</v>
      </c>
      <c r="J32" s="176" t="s">
        <v>1050</v>
      </c>
      <c r="K32" s="174"/>
      <c r="L32" s="188">
        <v>1612297950</v>
      </c>
      <c r="N32" s="171"/>
      <c r="O32" s="188"/>
      <c r="P32" s="188"/>
      <c r="Q32" s="188"/>
      <c r="R32" s="188"/>
      <c r="S32" s="188"/>
      <c r="T32" s="188"/>
      <c r="U32" s="188"/>
      <c r="V32" s="188"/>
      <c r="W32" s="188"/>
      <c r="X32" s="188"/>
      <c r="Y32" s="188"/>
      <c r="Z32" s="188"/>
      <c r="AA32" s="188"/>
      <c r="AB32" s="188"/>
    </row>
    <row r="33" spans="1:28" x14ac:dyDescent="0.2">
      <c r="A33" s="171">
        <f t="shared" ref="A33:A34" si="2">A32+1</f>
        <v>19</v>
      </c>
      <c r="B33" s="183"/>
      <c r="C33" s="174" t="s">
        <v>682</v>
      </c>
      <c r="D33" s="174"/>
      <c r="E33" s="174"/>
      <c r="F33" s="174"/>
      <c r="G33" s="174"/>
      <c r="H33" s="174"/>
      <c r="I33" s="174" t="s">
        <v>657</v>
      </c>
      <c r="J33" s="176" t="s">
        <v>1051</v>
      </c>
      <c r="K33" s="174"/>
      <c r="L33" s="186">
        <v>-22736339.166666683</v>
      </c>
      <c r="N33" s="171"/>
      <c r="O33" s="188"/>
      <c r="P33" s="188"/>
      <c r="Q33" s="188"/>
      <c r="R33" s="188"/>
      <c r="S33" s="188"/>
      <c r="T33" s="188"/>
      <c r="U33" s="188"/>
      <c r="V33" s="188"/>
      <c r="W33" s="188"/>
      <c r="X33" s="188"/>
      <c r="Y33" s="188"/>
      <c r="Z33" s="188"/>
      <c r="AA33" s="188"/>
      <c r="AB33" s="188"/>
    </row>
    <row r="34" spans="1:28" x14ac:dyDescent="0.2">
      <c r="A34" s="171">
        <f t="shared" si="2"/>
        <v>20</v>
      </c>
      <c r="B34" s="183"/>
      <c r="C34" s="174" t="s">
        <v>683</v>
      </c>
      <c r="D34" s="174"/>
      <c r="E34" s="174"/>
      <c r="F34" s="174"/>
      <c r="G34" s="174"/>
      <c r="H34" s="174"/>
      <c r="I34" s="174" t="s">
        <v>657</v>
      </c>
      <c r="J34" s="176" t="s">
        <v>1052</v>
      </c>
      <c r="K34" s="174"/>
      <c r="L34" s="485">
        <v>-1560237</v>
      </c>
      <c r="N34" s="171"/>
      <c r="O34" s="188"/>
      <c r="P34" s="188"/>
      <c r="Q34" s="188"/>
      <c r="R34" s="188"/>
      <c r="S34" s="188"/>
      <c r="T34" s="188"/>
      <c r="U34" s="188"/>
      <c r="V34" s="188"/>
      <c r="W34" s="188"/>
      <c r="X34" s="188"/>
      <c r="Y34" s="188"/>
      <c r="Z34" s="188"/>
      <c r="AA34" s="188"/>
      <c r="AB34" s="188"/>
    </row>
    <row r="35" spans="1:28" x14ac:dyDescent="0.2">
      <c r="A35" s="171">
        <f>A34+1</f>
        <v>21</v>
      </c>
      <c r="B35" s="183"/>
      <c r="C35" s="176" t="s">
        <v>684</v>
      </c>
      <c r="D35" s="174"/>
      <c r="E35" s="174"/>
      <c r="F35" s="174"/>
      <c r="G35" s="174"/>
      <c r="H35" s="174"/>
      <c r="I35" s="174"/>
      <c r="J35" s="176" t="str">
        <f>"Sum of Lines "&amp;A32&amp;" to "&amp;A34&amp;""</f>
        <v>Sum of Lines 18 to 20</v>
      </c>
      <c r="K35" s="174"/>
      <c r="L35" s="186">
        <f>SUM(L32:L34)</f>
        <v>1588001373.8333333</v>
      </c>
    </row>
    <row r="36" spans="1:28" x14ac:dyDescent="0.2">
      <c r="A36" s="171"/>
      <c r="B36" s="183"/>
      <c r="C36" s="174"/>
      <c r="D36" s="174"/>
      <c r="E36" s="174"/>
      <c r="F36" s="174"/>
      <c r="G36" s="174"/>
      <c r="H36" s="174"/>
      <c r="I36" s="174"/>
      <c r="J36" s="176"/>
      <c r="K36" s="174"/>
      <c r="L36" s="188"/>
    </row>
    <row r="37" spans="1:28" x14ac:dyDescent="0.2">
      <c r="A37" s="171"/>
      <c r="B37" s="183"/>
      <c r="C37" s="175" t="s">
        <v>685</v>
      </c>
      <c r="D37" s="174"/>
      <c r="E37" s="174"/>
      <c r="F37" s="174"/>
      <c r="G37" s="174"/>
      <c r="H37" s="174"/>
      <c r="I37" s="174"/>
      <c r="J37" s="176"/>
      <c r="K37" s="174"/>
      <c r="L37" s="188"/>
    </row>
    <row r="38" spans="1:28" x14ac:dyDescent="0.2">
      <c r="A38" s="171">
        <f>A35+1</f>
        <v>22</v>
      </c>
      <c r="B38" s="183"/>
      <c r="C38" s="174" t="s">
        <v>686</v>
      </c>
      <c r="D38" s="174"/>
      <c r="E38" s="174"/>
      <c r="F38" s="174"/>
      <c r="G38" s="174"/>
      <c r="H38" s="174"/>
      <c r="I38" s="174" t="s">
        <v>687</v>
      </c>
      <c r="J38" s="176" t="s">
        <v>688</v>
      </c>
      <c r="K38" s="174"/>
      <c r="L38" s="454">
        <v>91215826</v>
      </c>
    </row>
    <row r="39" spans="1:28" x14ac:dyDescent="0.2">
      <c r="A39" s="171">
        <f>A38+1</f>
        <v>23</v>
      </c>
      <c r="B39" s="183"/>
      <c r="C39" s="174" t="s">
        <v>689</v>
      </c>
      <c r="D39" s="174"/>
      <c r="E39" s="174"/>
      <c r="F39" s="174"/>
      <c r="G39" s="174"/>
      <c r="H39" s="174"/>
      <c r="I39" s="174"/>
      <c r="J39" s="176" t="s">
        <v>157</v>
      </c>
      <c r="K39" s="174"/>
      <c r="L39" s="188">
        <v>205467.64705882355</v>
      </c>
    </row>
    <row r="40" spans="1:28" x14ac:dyDescent="0.2">
      <c r="A40" s="171">
        <f>A39+1</f>
        <v>24</v>
      </c>
      <c r="B40" s="183"/>
      <c r="C40" s="174" t="s">
        <v>690</v>
      </c>
      <c r="D40" s="174"/>
      <c r="E40" s="174"/>
      <c r="F40" s="174"/>
      <c r="G40" s="174"/>
      <c r="H40" s="174"/>
      <c r="I40" s="174"/>
      <c r="J40" s="176" t="s">
        <v>222</v>
      </c>
      <c r="K40" s="174"/>
      <c r="L40" s="188">
        <v>1171971.486111111</v>
      </c>
    </row>
    <row r="41" spans="1:28" x14ac:dyDescent="0.2">
      <c r="A41" s="171">
        <f t="shared" ref="A41" si="3">A40+1</f>
        <v>25</v>
      </c>
      <c r="B41" s="183"/>
      <c r="C41" s="176" t="s">
        <v>686</v>
      </c>
      <c r="D41" s="174"/>
      <c r="E41" s="174"/>
      <c r="F41" s="174"/>
      <c r="G41" s="174"/>
      <c r="H41" s="174"/>
      <c r="I41" s="163"/>
      <c r="J41" s="176" t="str">
        <f>"Sum of Lines "&amp;A38&amp;" to "&amp;A40&amp;""</f>
        <v>Sum of Lines 22 to 24</v>
      </c>
      <c r="K41" s="174"/>
      <c r="L41" s="483">
        <f>SUM(L38:L40)</f>
        <v>92593265.133169934</v>
      </c>
    </row>
    <row r="42" spans="1:28" x14ac:dyDescent="0.2">
      <c r="A42" s="163"/>
      <c r="B42" s="183"/>
      <c r="C42" s="174"/>
      <c r="D42" s="174"/>
      <c r="E42" s="174"/>
      <c r="F42" s="174"/>
      <c r="G42" s="174"/>
      <c r="H42" s="174"/>
      <c r="I42" s="174"/>
      <c r="J42" s="176"/>
      <c r="K42" s="174"/>
      <c r="L42" s="188"/>
    </row>
    <row r="43" spans="1:28" x14ac:dyDescent="0.2">
      <c r="A43" s="171">
        <f>A41+1</f>
        <v>26</v>
      </c>
      <c r="B43" s="183"/>
      <c r="C43" s="174" t="s">
        <v>691</v>
      </c>
      <c r="D43" s="174"/>
      <c r="E43" s="174"/>
      <c r="F43" s="174"/>
      <c r="G43" s="174"/>
      <c r="H43" s="174"/>
      <c r="I43" s="163"/>
      <c r="J43" s="176" t="str">
        <f>"Line "&amp;A41&amp;" / Line "&amp;A35&amp;""</f>
        <v>Line 25 / Line 21</v>
      </c>
      <c r="K43" s="174"/>
      <c r="L43" s="448">
        <f>L41/L35</f>
        <v>5.8308051024953296E-2</v>
      </c>
    </row>
    <row r="44" spans="1:28" x14ac:dyDescent="0.2">
      <c r="A44" s="163"/>
      <c r="B44" s="183"/>
      <c r="C44" s="174"/>
      <c r="D44" s="174"/>
      <c r="E44" s="174"/>
      <c r="F44" s="174"/>
      <c r="G44" s="174"/>
      <c r="H44" s="174"/>
      <c r="I44" s="174"/>
      <c r="J44" s="176"/>
      <c r="K44" s="174"/>
      <c r="L44" s="174"/>
    </row>
    <row r="45" spans="1:28" x14ac:dyDescent="0.2">
      <c r="A45" s="163"/>
      <c r="B45" s="183"/>
      <c r="C45" s="175" t="s">
        <v>692</v>
      </c>
      <c r="D45" s="174"/>
      <c r="E45" s="174"/>
      <c r="F45" s="174"/>
      <c r="G45" s="174"/>
      <c r="H45" s="174"/>
      <c r="I45" s="486"/>
      <c r="J45" s="176"/>
      <c r="K45" s="174"/>
      <c r="L45" s="174"/>
    </row>
    <row r="46" spans="1:28" x14ac:dyDescent="0.2">
      <c r="A46" s="171">
        <f>A43+1</f>
        <v>27</v>
      </c>
      <c r="B46" s="183"/>
      <c r="C46" s="174" t="s">
        <v>693</v>
      </c>
      <c r="D46" s="174"/>
      <c r="E46" s="174"/>
      <c r="F46" s="174"/>
      <c r="G46" s="174"/>
      <c r="H46" s="174"/>
      <c r="I46" s="174" t="s">
        <v>657</v>
      </c>
      <c r="J46" s="176" t="s">
        <v>1053</v>
      </c>
      <c r="K46" s="174"/>
      <c r="L46" s="188">
        <v>10815018382.76923</v>
      </c>
      <c r="N46" s="171"/>
      <c r="O46" s="188"/>
      <c r="P46" s="188"/>
      <c r="Q46" s="188"/>
      <c r="R46" s="188"/>
      <c r="S46" s="188"/>
      <c r="T46" s="188"/>
      <c r="U46" s="188"/>
      <c r="V46" s="188"/>
      <c r="W46" s="188"/>
      <c r="X46" s="188"/>
      <c r="Y46" s="188"/>
      <c r="Z46" s="188"/>
      <c r="AA46" s="188"/>
      <c r="AB46" s="188"/>
    </row>
    <row r="47" spans="1:28" x14ac:dyDescent="0.2">
      <c r="A47" s="171">
        <f>A46+1</f>
        <v>28</v>
      </c>
      <c r="B47" s="183"/>
      <c r="C47" s="174" t="s">
        <v>694</v>
      </c>
      <c r="D47" s="174"/>
      <c r="E47" s="174"/>
      <c r="F47" s="174"/>
      <c r="G47" s="174"/>
      <c r="H47" s="174"/>
      <c r="I47" s="174" t="str">
        <f>"Same as L "&amp;A32&amp;", but negative"</f>
        <v>Same as L 18, but negative</v>
      </c>
      <c r="J47" s="176" t="s">
        <v>1050</v>
      </c>
      <c r="K47" s="174"/>
      <c r="L47" s="188">
        <v>-1612297950</v>
      </c>
      <c r="N47" s="171"/>
      <c r="O47" s="188"/>
      <c r="P47" s="188"/>
      <c r="Q47" s="188"/>
      <c r="R47" s="188"/>
      <c r="S47" s="188"/>
      <c r="T47" s="188"/>
      <c r="U47" s="188"/>
      <c r="V47" s="188"/>
      <c r="W47" s="188"/>
      <c r="X47" s="188"/>
      <c r="Y47" s="188"/>
      <c r="Z47" s="188"/>
      <c r="AA47" s="188"/>
      <c r="AB47" s="188"/>
    </row>
    <row r="48" spans="1:28" x14ac:dyDescent="0.2">
      <c r="A48" s="171">
        <f t="shared" ref="A48:A50" si="4">A47+1</f>
        <v>29</v>
      </c>
      <c r="B48" s="183"/>
      <c r="C48" s="174" t="s">
        <v>695</v>
      </c>
      <c r="D48" s="174"/>
      <c r="E48" s="174"/>
      <c r="F48" s="174"/>
      <c r="G48" s="174"/>
      <c r="H48" s="174"/>
      <c r="I48" s="174" t="str">
        <f>"Same as L "&amp;A34&amp;", but reverse sign"</f>
        <v>Same as L 20, but reverse sign</v>
      </c>
      <c r="J48" s="176" t="s">
        <v>696</v>
      </c>
      <c r="K48" s="174"/>
      <c r="L48" s="188">
        <f>-L34</f>
        <v>1560237</v>
      </c>
      <c r="N48" s="171"/>
      <c r="O48" s="188"/>
      <c r="P48" s="188"/>
      <c r="Q48" s="188"/>
      <c r="R48" s="188"/>
      <c r="S48" s="188"/>
      <c r="T48" s="188"/>
      <c r="U48" s="188"/>
      <c r="V48" s="188"/>
      <c r="W48" s="188"/>
      <c r="X48" s="188"/>
      <c r="Y48" s="188"/>
      <c r="Z48" s="188"/>
      <c r="AA48" s="188"/>
      <c r="AB48" s="188"/>
    </row>
    <row r="49" spans="1:28" x14ac:dyDescent="0.2">
      <c r="A49" s="171">
        <f t="shared" si="4"/>
        <v>30</v>
      </c>
      <c r="B49" s="183"/>
      <c r="C49" s="174" t="s">
        <v>697</v>
      </c>
      <c r="D49" s="174"/>
      <c r="E49" s="174"/>
      <c r="F49" s="174"/>
      <c r="G49" s="174"/>
      <c r="H49" s="174"/>
      <c r="I49" s="174" t="s">
        <v>657</v>
      </c>
      <c r="J49" s="176" t="s">
        <v>1054</v>
      </c>
      <c r="K49" s="174"/>
      <c r="L49" s="188">
        <v>-4255833.769230769</v>
      </c>
      <c r="N49" s="171"/>
      <c r="O49" s="188"/>
      <c r="P49" s="188"/>
      <c r="Q49" s="188"/>
      <c r="R49" s="188"/>
      <c r="S49" s="188"/>
      <c r="T49" s="188"/>
      <c r="U49" s="188"/>
      <c r="V49" s="188"/>
      <c r="W49" s="188"/>
      <c r="X49" s="188"/>
      <c r="Y49" s="188"/>
      <c r="Z49" s="188"/>
      <c r="AA49" s="188"/>
      <c r="AB49" s="188"/>
    </row>
    <row r="50" spans="1:28" x14ac:dyDescent="0.2">
      <c r="A50" s="171">
        <f t="shared" si="4"/>
        <v>31</v>
      </c>
      <c r="B50" s="183"/>
      <c r="C50" s="174" t="s">
        <v>698</v>
      </c>
      <c r="D50" s="174"/>
      <c r="E50" s="174"/>
      <c r="F50" s="174"/>
      <c r="G50" s="174"/>
      <c r="H50" s="174"/>
      <c r="I50" s="174" t="s">
        <v>657</v>
      </c>
      <c r="J50" s="176" t="s">
        <v>1055</v>
      </c>
      <c r="K50" s="174"/>
      <c r="L50" s="188">
        <v>23754818.53846154</v>
      </c>
      <c r="N50" s="171"/>
      <c r="O50" s="188"/>
      <c r="P50" s="188"/>
      <c r="Q50" s="188"/>
      <c r="R50" s="188"/>
      <c r="S50" s="188"/>
      <c r="T50" s="188"/>
      <c r="U50" s="188"/>
      <c r="V50" s="188"/>
      <c r="W50" s="188"/>
      <c r="X50" s="188"/>
      <c r="Y50" s="188"/>
      <c r="Z50" s="188"/>
      <c r="AA50" s="188"/>
      <c r="AB50" s="188"/>
    </row>
    <row r="51" spans="1:28" x14ac:dyDescent="0.2">
      <c r="A51" s="171">
        <f>A50+1</f>
        <v>32</v>
      </c>
      <c r="B51" s="183"/>
      <c r="C51" s="174" t="s">
        <v>699</v>
      </c>
      <c r="D51" s="174"/>
      <c r="E51" s="174"/>
      <c r="F51" s="174"/>
      <c r="G51" s="174"/>
      <c r="H51" s="174"/>
      <c r="I51" s="174"/>
      <c r="J51" s="176" t="str">
        <f>"Sum of Lines "&amp;A46&amp;" to "&amp;A50&amp;""</f>
        <v>Sum of Lines 27 to 31</v>
      </c>
      <c r="K51" s="174"/>
      <c r="L51" s="483">
        <f>SUM(L46:L50)</f>
        <v>9223779654.5384617</v>
      </c>
    </row>
    <row r="52" spans="1:28" x14ac:dyDescent="0.2">
      <c r="B52" s="169" t="s">
        <v>297</v>
      </c>
      <c r="C52" s="174"/>
      <c r="D52" s="174"/>
      <c r="E52" s="174"/>
      <c r="F52" s="174"/>
      <c r="G52" s="174"/>
      <c r="H52" s="174"/>
      <c r="I52" s="174"/>
      <c r="J52" s="174"/>
      <c r="K52" s="223"/>
      <c r="L52" s="223"/>
    </row>
    <row r="53" spans="1:28" x14ac:dyDescent="0.2">
      <c r="B53" s="174" t="s">
        <v>700</v>
      </c>
      <c r="C53" s="163"/>
      <c r="D53" s="163"/>
      <c r="E53" s="163"/>
      <c r="F53" s="163"/>
      <c r="G53" s="163"/>
      <c r="H53" s="163"/>
      <c r="I53" s="163"/>
      <c r="J53" s="174"/>
    </row>
    <row r="54" spans="1:28" x14ac:dyDescent="0.2">
      <c r="B54" s="174" t="s">
        <v>701</v>
      </c>
      <c r="C54" s="163"/>
      <c r="D54" s="163"/>
      <c r="E54" s="163"/>
      <c r="F54" s="163"/>
      <c r="G54" s="163"/>
      <c r="H54" s="163"/>
      <c r="I54" s="163"/>
      <c r="J54" s="174"/>
    </row>
    <row r="55" spans="1:28" x14ac:dyDescent="0.2">
      <c r="B55" s="174" t="s">
        <v>702</v>
      </c>
      <c r="C55" s="163"/>
      <c r="D55" s="163"/>
      <c r="E55" s="163"/>
      <c r="F55" s="163"/>
      <c r="G55" s="163"/>
      <c r="H55" s="163"/>
      <c r="I55" s="163"/>
      <c r="J55" s="174"/>
    </row>
    <row r="56" spans="1:28" x14ac:dyDescent="0.2">
      <c r="B56" s="174" t="s">
        <v>703</v>
      </c>
      <c r="C56" s="163"/>
      <c r="D56" s="163"/>
      <c r="E56" s="163"/>
      <c r="F56" s="163"/>
      <c r="G56" s="163"/>
      <c r="H56" s="163"/>
      <c r="I56" s="163"/>
      <c r="J56" s="163"/>
    </row>
    <row r="57" spans="1:28" x14ac:dyDescent="0.2">
      <c r="B57" s="487" t="str">
        <f>"5) Negative of Line "&amp;A34&amp;""&amp;", charge to common equity reversed for ratemaking."</f>
        <v>5) Negative of Line 20, charge to common equity reversed for ratemaking.</v>
      </c>
      <c r="C57" s="163"/>
      <c r="D57" s="163"/>
      <c r="E57" s="163"/>
      <c r="F57" s="163"/>
      <c r="G57" s="163"/>
      <c r="H57" s="163"/>
      <c r="I57" s="163"/>
      <c r="J57" s="163"/>
    </row>
    <row r="58" spans="1:28" x14ac:dyDescent="0.2">
      <c r="B58" s="223"/>
    </row>
    <row r="59" spans="1:28" x14ac:dyDescent="0.2">
      <c r="B59" s="247"/>
    </row>
    <row r="60" spans="1:28" x14ac:dyDescent="0.2">
      <c r="B60" s="223"/>
    </row>
    <row r="61" spans="1:28" x14ac:dyDescent="0.2">
      <c r="B61" s="247"/>
    </row>
  </sheetData>
  <pageMargins left="0.75" right="0.75" top="1" bottom="1" header="0.5" footer="0.5"/>
  <pageSetup scale="66" orientation="landscape" cellComments="asDisplayed" r:id="rId1"/>
  <headerFooter alignWithMargins="0">
    <oddHeader>&amp;CSchedule 5 ROR-1
Return and Capitalization
(Revised 2012 True Up TRR)&amp;RTO12 Draft Annual Update
Attachment 4
WP-Schedule 3-One Time Adj True Up Adj
Page &amp;P of &amp;N</oddHeader>
    <oddFooter>&amp;R&amp;A</oddFooter>
  </headerFooter>
  <colBreaks count="1" manualBreakCount="1">
    <brk id="12"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P78"/>
  <sheetViews>
    <sheetView zoomScale="110" zoomScaleNormal="110" workbookViewId="0"/>
  </sheetViews>
  <sheetFormatPr defaultRowHeight="12.75" x14ac:dyDescent="0.2"/>
  <cols>
    <col min="1" max="1" width="5.42578125" customWidth="1"/>
    <col min="2" max="2" width="5.28515625" customWidth="1"/>
    <col min="3" max="16" width="14.7109375" customWidth="1"/>
  </cols>
  <sheetData>
    <row r="1" spans="1:16" x14ac:dyDescent="0.2">
      <c r="A1" s="162" t="s">
        <v>585</v>
      </c>
      <c r="B1" s="162"/>
    </row>
    <row r="2" spans="1:16" x14ac:dyDescent="0.2">
      <c r="A2" s="162" t="s">
        <v>17</v>
      </c>
      <c r="B2" s="162">
        <v>2012</v>
      </c>
    </row>
    <row r="3" spans="1:16" x14ac:dyDescent="0.2">
      <c r="C3" s="227" t="s">
        <v>152</v>
      </c>
      <c r="D3" s="227" t="s">
        <v>153</v>
      </c>
      <c r="E3" s="227" t="s">
        <v>154</v>
      </c>
      <c r="F3" s="227" t="s">
        <v>155</v>
      </c>
      <c r="G3" s="227" t="s">
        <v>371</v>
      </c>
      <c r="H3" s="227" t="s">
        <v>372</v>
      </c>
      <c r="I3" s="227" t="s">
        <v>386</v>
      </c>
      <c r="J3" s="227" t="s">
        <v>387</v>
      </c>
      <c r="K3" s="227" t="s">
        <v>388</v>
      </c>
      <c r="L3" s="227" t="s">
        <v>389</v>
      </c>
      <c r="M3" s="227" t="s">
        <v>390</v>
      </c>
      <c r="N3" s="227" t="s">
        <v>391</v>
      </c>
      <c r="O3" s="227" t="s">
        <v>586</v>
      </c>
      <c r="P3" s="227" t="s">
        <v>587</v>
      </c>
    </row>
    <row r="4" spans="1:16" x14ac:dyDescent="0.2">
      <c r="A4" s="170" t="s">
        <v>42</v>
      </c>
      <c r="B4" s="170" t="s">
        <v>588</v>
      </c>
      <c r="C4" s="230" t="s">
        <v>48</v>
      </c>
      <c r="D4" s="452" t="s">
        <v>6</v>
      </c>
      <c r="E4" s="453" t="s">
        <v>7</v>
      </c>
      <c r="F4" s="453" t="s">
        <v>8</v>
      </c>
      <c r="G4" s="453" t="s">
        <v>18</v>
      </c>
      <c r="H4" s="453" t="s">
        <v>9</v>
      </c>
      <c r="I4" s="453" t="s">
        <v>10</v>
      </c>
      <c r="J4" s="453" t="s">
        <v>25</v>
      </c>
      <c r="K4" s="453" t="s">
        <v>11</v>
      </c>
      <c r="L4" s="453" t="s">
        <v>12</v>
      </c>
      <c r="M4" s="453" t="s">
        <v>13</v>
      </c>
      <c r="N4" s="453" t="s">
        <v>15</v>
      </c>
      <c r="O4" s="453" t="s">
        <v>14</v>
      </c>
      <c r="P4" s="453" t="s">
        <v>6</v>
      </c>
    </row>
    <row r="5" spans="1:16" x14ac:dyDescent="0.2">
      <c r="A5" s="170"/>
      <c r="B5" s="170"/>
      <c r="C5" s="453" t="s">
        <v>589</v>
      </c>
      <c r="D5" s="452"/>
      <c r="E5" s="453"/>
      <c r="F5" s="453"/>
      <c r="G5" s="453"/>
      <c r="H5" s="453"/>
      <c r="I5" s="453"/>
      <c r="J5" s="453"/>
      <c r="K5" s="453"/>
      <c r="L5" s="453"/>
      <c r="M5" s="453"/>
      <c r="N5" s="453"/>
      <c r="O5" s="453"/>
      <c r="P5" s="453"/>
    </row>
    <row r="6" spans="1:16" x14ac:dyDescent="0.2">
      <c r="A6" s="167"/>
      <c r="B6" s="167"/>
      <c r="C6" s="230"/>
      <c r="D6" s="452"/>
      <c r="E6" s="453"/>
      <c r="F6" s="453"/>
      <c r="G6" s="453"/>
      <c r="H6" s="453"/>
      <c r="I6" s="453"/>
      <c r="J6" s="453"/>
      <c r="K6" s="453"/>
      <c r="L6" s="453"/>
      <c r="M6" s="453"/>
      <c r="N6" s="453"/>
      <c r="O6" s="453"/>
      <c r="P6" s="453"/>
    </row>
    <row r="7" spans="1:16" x14ac:dyDescent="0.2">
      <c r="B7" s="183" t="s">
        <v>590</v>
      </c>
      <c r="D7" s="452"/>
      <c r="E7" s="453"/>
      <c r="F7" s="453"/>
      <c r="G7" s="453"/>
      <c r="H7" s="453"/>
      <c r="I7" s="453"/>
      <c r="J7" s="453"/>
      <c r="K7" s="453"/>
      <c r="L7" s="453"/>
      <c r="M7" s="453"/>
      <c r="N7" s="453"/>
      <c r="O7" s="453"/>
      <c r="P7" s="453"/>
    </row>
    <row r="8" spans="1:16" x14ac:dyDescent="0.2">
      <c r="A8" s="171">
        <v>1</v>
      </c>
      <c r="B8" s="171"/>
      <c r="C8" s="188">
        <f>SUM(D8:P8)/13</f>
        <v>8622092307.6923084</v>
      </c>
      <c r="D8" s="454">
        <v>8314400000</v>
      </c>
      <c r="E8" s="454">
        <v>8314400000</v>
      </c>
      <c r="F8" s="454">
        <v>8314400000</v>
      </c>
      <c r="G8" s="454">
        <v>8714400000</v>
      </c>
      <c r="H8" s="454">
        <v>8714400000</v>
      </c>
      <c r="I8" s="454">
        <v>8714400000</v>
      </c>
      <c r="J8" s="454">
        <v>8714400000</v>
      </c>
      <c r="K8" s="454">
        <v>8714400000</v>
      </c>
      <c r="L8" s="454">
        <v>8714400000</v>
      </c>
      <c r="M8" s="454">
        <v>8714400000</v>
      </c>
      <c r="N8" s="454">
        <v>8714400000</v>
      </c>
      <c r="O8" s="454">
        <v>8714400000</v>
      </c>
      <c r="P8" s="454">
        <v>8714400000</v>
      </c>
    </row>
    <row r="9" spans="1:16" x14ac:dyDescent="0.2">
      <c r="A9" s="171"/>
      <c r="B9" s="183" t="s">
        <v>591</v>
      </c>
      <c r="C9" s="221"/>
      <c r="D9" s="188"/>
      <c r="E9" s="188"/>
      <c r="F9" s="188"/>
      <c r="G9" s="188"/>
      <c r="H9" s="188"/>
      <c r="I9" s="188"/>
      <c r="J9" s="188"/>
      <c r="K9" s="188"/>
      <c r="L9" s="188"/>
      <c r="M9" s="188"/>
      <c r="N9" s="188"/>
      <c r="O9" s="188"/>
      <c r="P9" s="188"/>
    </row>
    <row r="10" spans="1:16" x14ac:dyDescent="0.2">
      <c r="A10" s="171">
        <f>A8+1</f>
        <v>2</v>
      </c>
      <c r="B10" s="171"/>
      <c r="C10" s="188">
        <f t="shared" ref="C10:C14" si="0">SUM(D10:P10)/13</f>
        <v>-160540000</v>
      </c>
      <c r="D10" s="454">
        <v>-160540000</v>
      </c>
      <c r="E10" s="454">
        <v>-160540000</v>
      </c>
      <c r="F10" s="454">
        <v>-160540000</v>
      </c>
      <c r="G10" s="454">
        <v>-160540000</v>
      </c>
      <c r="H10" s="454">
        <v>-160540000</v>
      </c>
      <c r="I10" s="454">
        <v>-160540000</v>
      </c>
      <c r="J10" s="454">
        <v>-160540000</v>
      </c>
      <c r="K10" s="454">
        <v>-160540000</v>
      </c>
      <c r="L10" s="454">
        <v>-160540000</v>
      </c>
      <c r="M10" s="454">
        <v>-160540000</v>
      </c>
      <c r="N10" s="454">
        <v>-160540000</v>
      </c>
      <c r="O10" s="454">
        <v>-160540000</v>
      </c>
      <c r="P10" s="454">
        <v>-160540000</v>
      </c>
    </row>
    <row r="11" spans="1:16" x14ac:dyDescent="0.2">
      <c r="A11" s="171"/>
      <c r="B11" s="183" t="s">
        <v>592</v>
      </c>
      <c r="C11" s="163"/>
      <c r="D11" s="188"/>
      <c r="E11" s="188"/>
      <c r="F11" s="188"/>
      <c r="G11" s="188"/>
      <c r="H11" s="188"/>
      <c r="I11" s="188"/>
      <c r="J11" s="188"/>
      <c r="K11" s="188"/>
      <c r="L11" s="188"/>
      <c r="M11" s="188"/>
      <c r="N11" s="188"/>
      <c r="O11" s="188"/>
      <c r="P11" s="188"/>
    </row>
    <row r="12" spans="1:16" x14ac:dyDescent="0.2">
      <c r="A12" s="171" t="s">
        <v>593</v>
      </c>
      <c r="B12" s="183"/>
      <c r="C12" s="188">
        <f>SUM(D12:P12)/13</f>
        <v>0</v>
      </c>
      <c r="D12" s="243">
        <v>0</v>
      </c>
      <c r="E12" s="243">
        <v>0</v>
      </c>
      <c r="F12" s="243">
        <v>0</v>
      </c>
      <c r="G12" s="243">
        <v>0</v>
      </c>
      <c r="H12" s="243">
        <v>0</v>
      </c>
      <c r="I12" s="243">
        <v>0</v>
      </c>
      <c r="J12" s="243">
        <v>0</v>
      </c>
      <c r="K12" s="243">
        <v>0</v>
      </c>
      <c r="L12" s="243">
        <v>0</v>
      </c>
      <c r="M12" s="243">
        <v>0</v>
      </c>
      <c r="N12" s="243">
        <v>0</v>
      </c>
      <c r="O12" s="243">
        <v>0</v>
      </c>
      <c r="P12" s="243">
        <v>0</v>
      </c>
    </row>
    <row r="13" spans="1:16" x14ac:dyDescent="0.2">
      <c r="A13" s="171"/>
      <c r="B13" s="183" t="s">
        <v>594</v>
      </c>
      <c r="D13" s="188"/>
      <c r="E13" s="188"/>
      <c r="F13" s="188"/>
      <c r="G13" s="188"/>
      <c r="H13" s="188"/>
      <c r="I13" s="188"/>
      <c r="J13" s="188"/>
      <c r="K13" s="188"/>
      <c r="L13" s="188"/>
      <c r="M13" s="188"/>
      <c r="N13" s="188"/>
      <c r="O13" s="188"/>
      <c r="P13" s="188"/>
    </row>
    <row r="14" spans="1:16" x14ac:dyDescent="0.2">
      <c r="A14" s="171">
        <f>A10+1</f>
        <v>3</v>
      </c>
      <c r="B14" s="171"/>
      <c r="C14" s="188">
        <f t="shared" si="0"/>
        <v>306872047.30769229</v>
      </c>
      <c r="D14" s="454">
        <v>306896667</v>
      </c>
      <c r="E14" s="454">
        <v>306892627</v>
      </c>
      <c r="F14" s="454">
        <v>306888569</v>
      </c>
      <c r="G14" s="454">
        <v>306884495</v>
      </c>
      <c r="H14" s="454">
        <v>306880404</v>
      </c>
      <c r="I14" s="454">
        <v>306876295</v>
      </c>
      <c r="J14" s="454">
        <v>306872169</v>
      </c>
      <c r="K14" s="454">
        <v>306868026</v>
      </c>
      <c r="L14" s="454">
        <v>306863865</v>
      </c>
      <c r="M14" s="454">
        <v>306859686</v>
      </c>
      <c r="N14" s="454">
        <v>306855490</v>
      </c>
      <c r="O14" s="454">
        <v>306851277</v>
      </c>
      <c r="P14" s="454">
        <v>306847045</v>
      </c>
    </row>
    <row r="15" spans="1:16" x14ac:dyDescent="0.2">
      <c r="A15" s="171"/>
      <c r="B15" s="183"/>
      <c r="C15" s="163"/>
      <c r="D15" s="188"/>
      <c r="E15" s="188"/>
      <c r="F15" s="188"/>
      <c r="G15" s="188"/>
      <c r="H15" s="188"/>
      <c r="I15" s="188"/>
      <c r="J15" s="188"/>
      <c r="K15" s="188"/>
      <c r="L15" s="188"/>
      <c r="M15" s="188"/>
      <c r="N15" s="188"/>
      <c r="O15" s="188"/>
      <c r="P15" s="188"/>
    </row>
    <row r="16" spans="1:16" x14ac:dyDescent="0.2">
      <c r="A16" s="171">
        <f>A14+1</f>
        <v>4</v>
      </c>
      <c r="B16" s="195" t="s">
        <v>595</v>
      </c>
      <c r="C16" s="188"/>
      <c r="D16" s="188"/>
      <c r="E16" s="188"/>
      <c r="F16" s="188"/>
      <c r="G16" s="188"/>
      <c r="H16" s="188"/>
      <c r="I16" s="188"/>
      <c r="J16" s="188"/>
      <c r="K16" s="188"/>
      <c r="L16" s="188"/>
      <c r="M16" s="188"/>
      <c r="N16" s="188"/>
      <c r="O16" s="188"/>
      <c r="P16" s="188"/>
    </row>
    <row r="17" spans="1:16" x14ac:dyDescent="0.2">
      <c r="A17" s="171"/>
      <c r="B17" s="183"/>
      <c r="C17" s="163"/>
      <c r="D17" s="188"/>
      <c r="E17" s="188"/>
      <c r="F17" s="188"/>
      <c r="G17" s="188"/>
      <c r="H17" s="188"/>
      <c r="I17" s="188"/>
      <c r="J17" s="188"/>
      <c r="K17" s="188"/>
      <c r="L17" s="188"/>
      <c r="M17" s="188"/>
      <c r="N17" s="188"/>
      <c r="O17" s="188"/>
      <c r="P17" s="188"/>
    </row>
    <row r="18" spans="1:16" x14ac:dyDescent="0.2">
      <c r="A18" s="171">
        <f>A16+1</f>
        <v>5</v>
      </c>
      <c r="B18" s="195" t="s">
        <v>595</v>
      </c>
      <c r="C18" s="188"/>
      <c r="D18" s="188"/>
      <c r="E18" s="188"/>
      <c r="F18" s="188"/>
      <c r="G18" s="188"/>
      <c r="H18" s="188"/>
      <c r="I18" s="188"/>
      <c r="J18" s="188"/>
      <c r="K18" s="188"/>
      <c r="L18" s="188"/>
      <c r="M18" s="188"/>
      <c r="N18" s="188"/>
      <c r="O18" s="188"/>
      <c r="P18" s="188"/>
    </row>
    <row r="19" spans="1:16" x14ac:dyDescent="0.2">
      <c r="A19" s="163"/>
      <c r="B19" s="183"/>
      <c r="C19" s="163"/>
      <c r="D19" s="163"/>
      <c r="E19" s="163"/>
      <c r="F19" s="163"/>
      <c r="G19" s="163"/>
      <c r="H19" s="163"/>
      <c r="I19" s="163"/>
      <c r="J19" s="163"/>
      <c r="K19" s="163"/>
      <c r="L19" s="163"/>
      <c r="M19" s="163"/>
      <c r="N19" s="163"/>
      <c r="O19" s="163"/>
      <c r="P19" s="163"/>
    </row>
    <row r="20" spans="1:16" x14ac:dyDescent="0.2">
      <c r="A20" s="171">
        <v>6</v>
      </c>
      <c r="B20" s="195" t="s">
        <v>595</v>
      </c>
      <c r="C20" s="188"/>
      <c r="D20" s="188"/>
      <c r="E20" s="188"/>
      <c r="F20" s="188"/>
      <c r="G20" s="188"/>
      <c r="H20" s="188"/>
      <c r="I20" s="188"/>
      <c r="J20" s="188"/>
      <c r="K20" s="188"/>
      <c r="L20" s="188"/>
      <c r="M20" s="188"/>
      <c r="N20" s="188"/>
      <c r="O20" s="188"/>
      <c r="P20" s="188"/>
    </row>
    <row r="21" spans="1:16" x14ac:dyDescent="0.2">
      <c r="A21" s="171"/>
      <c r="B21" s="183"/>
      <c r="C21" s="163"/>
      <c r="D21" s="188"/>
      <c r="E21" s="188"/>
      <c r="F21" s="188"/>
      <c r="G21" s="188"/>
      <c r="H21" s="188"/>
      <c r="I21" s="188"/>
      <c r="J21" s="188"/>
      <c r="K21" s="188"/>
      <c r="L21" s="188"/>
      <c r="M21" s="188"/>
      <c r="N21" s="188"/>
      <c r="O21" s="188"/>
      <c r="P21" s="188"/>
    </row>
    <row r="22" spans="1:16" x14ac:dyDescent="0.2">
      <c r="A22" s="171">
        <f>A20+1</f>
        <v>7</v>
      </c>
      <c r="B22" s="195" t="s">
        <v>595</v>
      </c>
      <c r="C22" s="188"/>
      <c r="D22" s="188"/>
      <c r="E22" s="188"/>
      <c r="F22" s="188"/>
      <c r="G22" s="188"/>
      <c r="H22" s="188"/>
      <c r="I22" s="188"/>
      <c r="J22" s="188"/>
      <c r="K22" s="188"/>
      <c r="L22" s="188"/>
      <c r="M22" s="188"/>
      <c r="N22" s="188"/>
      <c r="O22" s="188"/>
      <c r="P22" s="188"/>
    </row>
    <row r="23" spans="1:16" x14ac:dyDescent="0.2">
      <c r="A23" s="163"/>
      <c r="B23" s="183" t="s">
        <v>596</v>
      </c>
    </row>
    <row r="24" spans="1:16" x14ac:dyDescent="0.2">
      <c r="A24" s="171">
        <v>18</v>
      </c>
      <c r="B24" s="171"/>
      <c r="C24" s="188">
        <f t="shared" ref="C24:C28" si="1">SUM(D24:P24)/13</f>
        <v>1612297950</v>
      </c>
      <c r="D24" s="454">
        <v>1045004950</v>
      </c>
      <c r="E24" s="454">
        <v>1295004950</v>
      </c>
      <c r="F24" s="454">
        <v>1394743950</v>
      </c>
      <c r="G24" s="454">
        <v>1395004950</v>
      </c>
      <c r="H24" s="454">
        <v>1395004950</v>
      </c>
      <c r="I24" s="454">
        <v>1870004950</v>
      </c>
      <c r="J24" s="454">
        <v>1795014950</v>
      </c>
      <c r="K24" s="454">
        <v>1795014950</v>
      </c>
      <c r="L24" s="454">
        <v>1795014950</v>
      </c>
      <c r="M24" s="454">
        <v>1795014950</v>
      </c>
      <c r="N24" s="454">
        <v>1795014950</v>
      </c>
      <c r="O24" s="454">
        <v>1795014950</v>
      </c>
      <c r="P24" s="454">
        <v>1795014950</v>
      </c>
    </row>
    <row r="25" spans="1:16" ht="13.5" thickBot="1" x14ac:dyDescent="0.25">
      <c r="A25" s="171"/>
      <c r="B25" s="183" t="s">
        <v>597</v>
      </c>
      <c r="D25" s="188"/>
      <c r="E25" s="188"/>
      <c r="F25" s="188"/>
      <c r="G25" s="188"/>
      <c r="H25" s="188"/>
      <c r="I25" s="188"/>
      <c r="J25" s="188"/>
      <c r="K25" s="188"/>
      <c r="L25" s="188"/>
      <c r="M25" s="188"/>
      <c r="N25" s="188"/>
      <c r="O25" s="188"/>
      <c r="P25" s="188"/>
    </row>
    <row r="26" spans="1:16" ht="13.5" thickBot="1" x14ac:dyDescent="0.25">
      <c r="A26" s="171">
        <f>A24+1</f>
        <v>19</v>
      </c>
      <c r="B26" s="171"/>
      <c r="C26" s="186">
        <f t="shared" si="1"/>
        <v>-22736339.166666683</v>
      </c>
      <c r="D26" s="455">
        <v>-8266725.8277777871</v>
      </c>
      <c r="E26" s="456">
        <v>-14196814.061111119</v>
      </c>
      <c r="F26" s="456">
        <v>-14119969.219444454</v>
      </c>
      <c r="G26" s="456">
        <v>-14043124.377777785</v>
      </c>
      <c r="H26" s="456">
        <v>-13966279.53611112</v>
      </c>
      <c r="I26" s="456">
        <v>-29291132.694444455</v>
      </c>
      <c r="J26" s="456">
        <v>-29171505.358333342</v>
      </c>
      <c r="K26" s="456">
        <v>-29051878.022222236</v>
      </c>
      <c r="L26" s="456">
        <v>-28932250.686111126</v>
      </c>
      <c r="M26" s="456">
        <v>-28812623.350000013</v>
      </c>
      <c r="N26" s="456">
        <v>-28692996.013888903</v>
      </c>
      <c r="O26" s="456">
        <v>-28573368.67777779</v>
      </c>
      <c r="P26" s="457">
        <v>-28453741.341666684</v>
      </c>
    </row>
    <row r="27" spans="1:16" x14ac:dyDescent="0.2">
      <c r="A27" s="171"/>
      <c r="B27" s="183" t="s">
        <v>598</v>
      </c>
      <c r="D27" s="188"/>
      <c r="E27" s="188"/>
      <c r="F27" s="188"/>
      <c r="G27" s="188"/>
      <c r="H27" s="188"/>
      <c r="I27" s="188"/>
      <c r="J27" s="188"/>
      <c r="K27" s="188"/>
      <c r="L27" s="188"/>
      <c r="M27" s="188"/>
      <c r="N27" s="188"/>
      <c r="O27" s="188"/>
      <c r="P27" s="188"/>
    </row>
    <row r="28" spans="1:16" x14ac:dyDescent="0.2">
      <c r="A28" s="171">
        <f>A26+1</f>
        <v>20</v>
      </c>
      <c r="B28" s="171"/>
      <c r="C28" s="188">
        <f t="shared" si="1"/>
        <v>-1560237</v>
      </c>
      <c r="D28" s="454">
        <v>-1662971</v>
      </c>
      <c r="E28" s="454">
        <v>-1645849</v>
      </c>
      <c r="F28" s="454">
        <v>-1628726</v>
      </c>
      <c r="G28" s="454">
        <v>-1611604</v>
      </c>
      <c r="H28" s="454">
        <v>-1594482</v>
      </c>
      <c r="I28" s="454">
        <v>-1577359</v>
      </c>
      <c r="J28" s="454">
        <v>-1560237</v>
      </c>
      <c r="K28" s="454">
        <v>-1543115</v>
      </c>
      <c r="L28" s="454">
        <v>-1525992</v>
      </c>
      <c r="M28" s="454">
        <v>-1508870</v>
      </c>
      <c r="N28" s="454">
        <v>-1491748</v>
      </c>
      <c r="O28" s="454">
        <v>-1474625</v>
      </c>
      <c r="P28" s="454">
        <v>-1457503</v>
      </c>
    </row>
    <row r="29" spans="1:16" x14ac:dyDescent="0.2">
      <c r="A29" s="163"/>
      <c r="B29" s="183" t="s">
        <v>599</v>
      </c>
    </row>
    <row r="30" spans="1:16" x14ac:dyDescent="0.2">
      <c r="A30" s="171">
        <v>27</v>
      </c>
      <c r="B30" s="171"/>
      <c r="C30" s="188">
        <f t="shared" ref="C30" si="2">SUM(D30:P30)/13</f>
        <v>10815018382.76923</v>
      </c>
      <c r="D30" s="454">
        <v>9957301162</v>
      </c>
      <c r="E30" s="454">
        <v>10293124010</v>
      </c>
      <c r="F30" s="454">
        <v>10314594543</v>
      </c>
      <c r="G30" s="454">
        <v>10363273857</v>
      </c>
      <c r="H30" s="454">
        <v>10286673394</v>
      </c>
      <c r="I30" s="454">
        <v>10800135161</v>
      </c>
      <c r="J30" s="454">
        <v>10816364240</v>
      </c>
      <c r="K30" s="454">
        <v>10915124963</v>
      </c>
      <c r="L30" s="454">
        <v>11045170465</v>
      </c>
      <c r="M30" s="454">
        <v>11064397724</v>
      </c>
      <c r="N30" s="454">
        <v>11175292096</v>
      </c>
      <c r="O30" s="454">
        <v>11821518178</v>
      </c>
      <c r="P30" s="454">
        <v>11742269183</v>
      </c>
    </row>
    <row r="31" spans="1:16" x14ac:dyDescent="0.2">
      <c r="A31" s="171"/>
      <c r="B31" s="183" t="s">
        <v>600</v>
      </c>
      <c r="D31" s="188"/>
      <c r="E31" s="188"/>
      <c r="F31" s="188"/>
      <c r="G31" s="188"/>
      <c r="H31" s="188"/>
      <c r="I31" s="188"/>
      <c r="J31" s="188"/>
      <c r="K31" s="188"/>
      <c r="L31" s="188"/>
      <c r="M31" s="188"/>
      <c r="N31" s="188"/>
      <c r="O31" s="188"/>
      <c r="P31" s="188"/>
    </row>
    <row r="32" spans="1:16" x14ac:dyDescent="0.2">
      <c r="A32" s="171">
        <v>30</v>
      </c>
      <c r="B32" s="171"/>
      <c r="C32" s="188">
        <f t="shared" ref="C32:C34" si="3">SUM(D32:P32)/13</f>
        <v>-4255833.769230769</v>
      </c>
      <c r="D32" s="454">
        <v>-4021177</v>
      </c>
      <c r="E32" s="454">
        <v>-4025412</v>
      </c>
      <c r="F32" s="454">
        <v>-4076138</v>
      </c>
      <c r="G32" s="454">
        <v>-4210542</v>
      </c>
      <c r="H32" s="454">
        <v>-4276542</v>
      </c>
      <c r="I32" s="454">
        <v>-4314303</v>
      </c>
      <c r="J32" s="454">
        <v>-4337114</v>
      </c>
      <c r="K32" s="454">
        <v>-4370705</v>
      </c>
      <c r="L32" s="454">
        <v>-4327605</v>
      </c>
      <c r="M32" s="454">
        <v>-4276542</v>
      </c>
      <c r="N32" s="454">
        <v>-4267344</v>
      </c>
      <c r="O32" s="454">
        <v>-4400055</v>
      </c>
      <c r="P32" s="454">
        <v>-4422360</v>
      </c>
    </row>
    <row r="33" spans="1:16" x14ac:dyDescent="0.2">
      <c r="A33" s="171"/>
      <c r="B33" s="183" t="s">
        <v>601</v>
      </c>
      <c r="D33" s="188"/>
      <c r="E33" s="188"/>
      <c r="F33" s="188"/>
      <c r="G33" s="188"/>
      <c r="H33" s="188"/>
      <c r="I33" s="188"/>
      <c r="J33" s="188"/>
      <c r="K33" s="188"/>
      <c r="L33" s="188"/>
      <c r="M33" s="188"/>
      <c r="N33" s="188"/>
      <c r="O33" s="188"/>
      <c r="P33" s="188"/>
    </row>
    <row r="34" spans="1:16" x14ac:dyDescent="0.2">
      <c r="A34" s="171">
        <f>A32+1</f>
        <v>31</v>
      </c>
      <c r="B34" s="171"/>
      <c r="C34" s="188">
        <f t="shared" si="3"/>
        <v>23754818.53846154</v>
      </c>
      <c r="D34" s="454">
        <v>24475843</v>
      </c>
      <c r="E34" s="454">
        <v>24127255</v>
      </c>
      <c r="F34" s="454">
        <v>23778667</v>
      </c>
      <c r="G34" s="454">
        <v>21174808</v>
      </c>
      <c r="H34" s="454">
        <v>24448370</v>
      </c>
      <c r="I34" s="454">
        <v>24103434</v>
      </c>
      <c r="J34" s="454">
        <v>23758498</v>
      </c>
      <c r="K34" s="454">
        <v>23413562</v>
      </c>
      <c r="L34" s="454">
        <v>23068627</v>
      </c>
      <c r="M34" s="454">
        <v>22723691</v>
      </c>
      <c r="N34" s="454">
        <v>22378755</v>
      </c>
      <c r="O34" s="454">
        <v>22033819</v>
      </c>
      <c r="P34" s="454">
        <v>29327312</v>
      </c>
    </row>
    <row r="35" spans="1:16" x14ac:dyDescent="0.2">
      <c r="A35" s="171"/>
      <c r="B35" s="171"/>
      <c r="C35" s="188"/>
      <c r="D35" s="188"/>
      <c r="E35" s="188"/>
      <c r="F35" s="188"/>
      <c r="G35" s="188"/>
      <c r="H35" s="188"/>
      <c r="I35" s="188"/>
      <c r="J35" s="188"/>
      <c r="K35" s="188"/>
      <c r="L35" s="188"/>
      <c r="M35" s="188"/>
      <c r="N35" s="188"/>
      <c r="O35" s="188"/>
      <c r="P35" s="188"/>
    </row>
    <row r="36" spans="1:16" x14ac:dyDescent="0.2">
      <c r="A36" s="171"/>
      <c r="B36" s="169" t="s">
        <v>109</v>
      </c>
      <c r="C36" s="188"/>
      <c r="D36" s="188"/>
      <c r="E36" s="188"/>
      <c r="F36" s="188"/>
      <c r="G36" s="188"/>
      <c r="H36" s="188"/>
      <c r="I36" s="188"/>
      <c r="J36" s="188"/>
      <c r="K36" s="188"/>
      <c r="L36" s="188"/>
      <c r="M36" s="188"/>
      <c r="N36" s="188"/>
      <c r="O36" s="188"/>
      <c r="P36" s="188"/>
    </row>
    <row r="37" spans="1:16" x14ac:dyDescent="0.2">
      <c r="A37" s="171"/>
      <c r="B37" s="223" t="s">
        <v>602</v>
      </c>
      <c r="C37" s="188"/>
      <c r="D37" s="188"/>
      <c r="E37" s="188"/>
      <c r="F37" s="188"/>
      <c r="G37" s="188"/>
      <c r="H37" s="188"/>
      <c r="I37" s="188"/>
      <c r="J37" s="188"/>
      <c r="K37" s="188"/>
      <c r="L37" s="188"/>
      <c r="M37" s="188"/>
      <c r="N37" s="188"/>
      <c r="O37" s="188"/>
      <c r="P37" s="188"/>
    </row>
    <row r="38" spans="1:16" x14ac:dyDescent="0.2">
      <c r="A38" s="171"/>
      <c r="B38" s="247" t="s">
        <v>603</v>
      </c>
      <c r="C38" s="188"/>
      <c r="D38" s="188"/>
      <c r="E38" s="188"/>
      <c r="F38" s="188"/>
      <c r="G38" s="188"/>
      <c r="H38" s="188"/>
      <c r="I38" s="188"/>
      <c r="J38" s="188"/>
      <c r="K38" s="188"/>
      <c r="L38" s="188"/>
      <c r="M38" s="188"/>
      <c r="N38" s="188"/>
      <c r="O38" s="188"/>
      <c r="P38" s="188"/>
    </row>
    <row r="39" spans="1:16" x14ac:dyDescent="0.2">
      <c r="A39" s="171"/>
      <c r="B39" s="174" t="s">
        <v>604</v>
      </c>
      <c r="C39" s="195" t="s">
        <v>595</v>
      </c>
      <c r="D39" s="188"/>
      <c r="E39" s="188"/>
      <c r="F39" s="188"/>
      <c r="G39" s="188"/>
      <c r="H39" s="188"/>
      <c r="I39" s="188"/>
      <c r="J39" s="188"/>
      <c r="K39" s="188"/>
      <c r="L39" s="188"/>
      <c r="M39" s="188"/>
      <c r="N39" s="188"/>
      <c r="O39" s="188"/>
      <c r="P39" s="188"/>
    </row>
    <row r="40" spans="1:16" x14ac:dyDescent="0.2">
      <c r="A40" s="163"/>
      <c r="B40" s="215" t="s">
        <v>605</v>
      </c>
      <c r="C40" s="163"/>
      <c r="D40" s="163"/>
      <c r="E40" s="163"/>
      <c r="F40" s="163"/>
      <c r="G40" s="163"/>
      <c r="H40" s="163"/>
      <c r="I40" s="163"/>
      <c r="J40" s="163"/>
      <c r="K40" s="163"/>
      <c r="L40" s="163"/>
    </row>
    <row r="41" spans="1:16" x14ac:dyDescent="0.2">
      <c r="A41" s="163"/>
      <c r="B41" s="176"/>
      <c r="C41" s="163"/>
      <c r="D41" s="163"/>
      <c r="E41" s="163"/>
      <c r="F41" s="163"/>
      <c r="G41" s="163"/>
      <c r="H41" s="163"/>
      <c r="I41" s="163"/>
      <c r="J41" s="163"/>
      <c r="K41" s="163"/>
      <c r="L41" s="163"/>
    </row>
    <row r="42" spans="1:16" x14ac:dyDescent="0.2">
      <c r="A42" s="163"/>
      <c r="B42" s="183" t="s">
        <v>297</v>
      </c>
      <c r="C42" s="163"/>
      <c r="D42" s="163"/>
      <c r="E42" s="163"/>
      <c r="F42" s="163"/>
      <c r="G42" s="163"/>
      <c r="H42" s="163"/>
      <c r="I42" s="163"/>
      <c r="J42" s="163"/>
      <c r="K42" s="163"/>
      <c r="L42" s="163"/>
    </row>
    <row r="43" spans="1:16" x14ac:dyDescent="0.2">
      <c r="A43" s="163"/>
      <c r="B43" s="174" t="s">
        <v>606</v>
      </c>
      <c r="C43" s="163"/>
      <c r="D43" s="163"/>
      <c r="E43" s="163"/>
      <c r="F43" s="163"/>
      <c r="G43" s="163"/>
      <c r="H43" s="163"/>
      <c r="I43" s="163"/>
      <c r="J43" s="163"/>
      <c r="K43" s="163"/>
      <c r="L43" s="163"/>
    </row>
    <row r="44" spans="1:16" x14ac:dyDescent="0.2">
      <c r="A44" s="163"/>
      <c r="B44" s="174" t="s">
        <v>607</v>
      </c>
      <c r="C44" s="163"/>
      <c r="D44" s="163"/>
      <c r="E44" s="163"/>
      <c r="F44" s="163"/>
      <c r="G44" s="163"/>
      <c r="H44" s="163"/>
      <c r="I44" s="163"/>
      <c r="J44" s="163"/>
      <c r="K44" s="163"/>
      <c r="L44" s="163"/>
    </row>
    <row r="45" spans="1:16" x14ac:dyDescent="0.2">
      <c r="A45" s="163"/>
      <c r="B45" s="174" t="s">
        <v>608</v>
      </c>
      <c r="C45" s="163"/>
      <c r="D45" s="163"/>
      <c r="E45" s="163"/>
      <c r="F45" s="163"/>
      <c r="G45" s="163"/>
      <c r="H45" s="163"/>
      <c r="I45" s="163"/>
      <c r="J45" s="163"/>
      <c r="K45" s="163"/>
      <c r="L45" s="163"/>
    </row>
    <row r="46" spans="1:16" x14ac:dyDescent="0.2">
      <c r="A46" s="163"/>
      <c r="B46" s="174" t="s">
        <v>609</v>
      </c>
      <c r="C46" s="163"/>
      <c r="D46" s="163"/>
      <c r="E46" s="163"/>
      <c r="F46" s="163"/>
      <c r="G46" s="163"/>
      <c r="H46" s="163"/>
      <c r="I46" s="163"/>
      <c r="J46" s="163"/>
      <c r="K46" s="163"/>
      <c r="L46" s="163"/>
    </row>
    <row r="47" spans="1:16" x14ac:dyDescent="0.2">
      <c r="A47" s="163"/>
      <c r="B47" s="174" t="s">
        <v>610</v>
      </c>
      <c r="C47" s="195" t="s">
        <v>595</v>
      </c>
      <c r="D47" s="163"/>
      <c r="E47" s="163"/>
      <c r="F47" s="163"/>
      <c r="G47" s="163"/>
      <c r="H47" s="163"/>
      <c r="I47" s="163"/>
      <c r="J47" s="163"/>
      <c r="K47" s="163"/>
      <c r="L47" s="163"/>
    </row>
    <row r="48" spans="1:16" x14ac:dyDescent="0.2">
      <c r="A48" s="163"/>
      <c r="B48" s="174" t="s">
        <v>611</v>
      </c>
      <c r="C48" s="195" t="s">
        <v>595</v>
      </c>
      <c r="D48" s="163"/>
      <c r="E48" s="163"/>
      <c r="F48" s="163"/>
      <c r="G48" s="163"/>
      <c r="H48" s="163"/>
      <c r="I48" s="163"/>
      <c r="J48" s="163"/>
      <c r="K48" s="163"/>
      <c r="L48" s="163"/>
    </row>
    <row r="49" spans="1:13" x14ac:dyDescent="0.2">
      <c r="A49" s="163"/>
      <c r="B49" s="174" t="s">
        <v>612</v>
      </c>
      <c r="C49" s="195" t="s">
        <v>595</v>
      </c>
      <c r="D49" s="163"/>
      <c r="E49" s="163"/>
      <c r="F49" s="163"/>
      <c r="G49" s="163"/>
      <c r="H49" s="163"/>
      <c r="I49" s="163"/>
      <c r="J49" s="163"/>
      <c r="K49" s="163"/>
      <c r="L49" s="163"/>
    </row>
    <row r="50" spans="1:13" x14ac:dyDescent="0.2">
      <c r="A50" s="163"/>
      <c r="B50" s="174" t="s">
        <v>613</v>
      </c>
      <c r="C50" s="195" t="s">
        <v>595</v>
      </c>
      <c r="D50" s="163"/>
      <c r="E50" s="163"/>
      <c r="F50" s="163"/>
      <c r="G50" s="163"/>
      <c r="H50" s="163"/>
      <c r="I50" s="163"/>
      <c r="J50" s="163"/>
      <c r="K50" s="163"/>
      <c r="L50" s="163"/>
    </row>
    <row r="51" spans="1:13" x14ac:dyDescent="0.2">
      <c r="A51" s="163"/>
      <c r="B51" s="174" t="s">
        <v>614</v>
      </c>
      <c r="C51" s="163"/>
      <c r="D51" s="163"/>
      <c r="E51" s="163"/>
      <c r="F51" s="163"/>
      <c r="G51" s="163"/>
      <c r="H51" s="163"/>
      <c r="I51" s="163"/>
      <c r="J51" s="163"/>
      <c r="K51" s="163"/>
      <c r="L51" s="163"/>
    </row>
    <row r="52" spans="1:13" x14ac:dyDescent="0.2">
      <c r="A52" s="163"/>
      <c r="B52" s="174" t="s">
        <v>615</v>
      </c>
      <c r="C52" s="163"/>
      <c r="D52" s="163"/>
      <c r="E52" s="163"/>
      <c r="F52" s="163"/>
      <c r="G52" s="163"/>
      <c r="H52" s="163"/>
      <c r="I52" s="163"/>
      <c r="J52" s="163"/>
      <c r="K52" s="163"/>
      <c r="L52" s="163"/>
    </row>
    <row r="53" spans="1:13" x14ac:dyDescent="0.2">
      <c r="A53" s="163"/>
      <c r="B53" s="176" t="s">
        <v>616</v>
      </c>
      <c r="C53" s="163"/>
      <c r="D53" s="163"/>
      <c r="E53" s="163"/>
      <c r="F53" s="163"/>
      <c r="G53" s="163"/>
      <c r="H53" s="163"/>
      <c r="I53" s="163"/>
      <c r="J53" s="163"/>
      <c r="K53" s="163"/>
      <c r="L53" s="163"/>
    </row>
    <row r="54" spans="1:13" x14ac:dyDescent="0.2">
      <c r="A54" s="163"/>
      <c r="B54" s="163"/>
      <c r="C54" s="163"/>
      <c r="D54" s="163"/>
      <c r="E54" s="163"/>
      <c r="F54" s="163"/>
      <c r="G54" s="163"/>
      <c r="H54" s="171" t="s">
        <v>617</v>
      </c>
      <c r="I54" s="163"/>
      <c r="J54" s="163"/>
      <c r="K54" s="163"/>
      <c r="L54" s="163"/>
    </row>
    <row r="55" spans="1:13" x14ac:dyDescent="0.2">
      <c r="A55" s="163"/>
      <c r="B55" s="163"/>
      <c r="C55" s="171"/>
      <c r="D55" s="163"/>
      <c r="E55" s="171" t="s">
        <v>618</v>
      </c>
      <c r="F55" s="171" t="s">
        <v>619</v>
      </c>
      <c r="G55" s="171" t="s">
        <v>619</v>
      </c>
      <c r="H55" s="171" t="s">
        <v>620</v>
      </c>
      <c r="I55" s="171" t="s">
        <v>621</v>
      </c>
      <c r="J55" s="163"/>
      <c r="K55" s="163"/>
      <c r="L55" s="163"/>
    </row>
    <row r="56" spans="1:13" x14ac:dyDescent="0.2">
      <c r="A56" s="163"/>
      <c r="B56" s="163"/>
      <c r="C56" s="207" t="s">
        <v>622</v>
      </c>
      <c r="D56" s="163"/>
      <c r="E56" s="207" t="s">
        <v>34</v>
      </c>
      <c r="F56" s="207" t="s">
        <v>623</v>
      </c>
      <c r="G56" s="207" t="s">
        <v>624</v>
      </c>
      <c r="H56" s="241" t="s">
        <v>625</v>
      </c>
      <c r="I56" s="207" t="s">
        <v>617</v>
      </c>
      <c r="J56" s="207" t="s">
        <v>45</v>
      </c>
      <c r="K56" s="163"/>
      <c r="L56" s="163"/>
    </row>
    <row r="57" spans="1:13" x14ac:dyDescent="0.2">
      <c r="A57" s="163"/>
      <c r="B57" s="163"/>
      <c r="C57" s="458" t="s">
        <v>626</v>
      </c>
      <c r="D57" s="459"/>
      <c r="E57" s="460">
        <v>325000000</v>
      </c>
      <c r="F57" s="461">
        <v>38469</v>
      </c>
      <c r="G57" s="460">
        <v>4409385</v>
      </c>
      <c r="H57" s="462">
        <v>5</v>
      </c>
      <c r="I57" s="463" t="s">
        <v>126</v>
      </c>
      <c r="J57" s="464" t="s">
        <v>627</v>
      </c>
      <c r="K57" s="218"/>
      <c r="L57" s="218"/>
      <c r="M57" s="218"/>
    </row>
    <row r="58" spans="1:13" x14ac:dyDescent="0.2">
      <c r="A58" s="163"/>
      <c r="B58" s="163"/>
      <c r="C58" s="458" t="s">
        <v>628</v>
      </c>
      <c r="D58" s="459"/>
      <c r="E58" s="244">
        <v>200000000</v>
      </c>
      <c r="F58" s="461">
        <v>38610</v>
      </c>
      <c r="G58" s="244">
        <v>3435743</v>
      </c>
      <c r="H58" s="462">
        <v>30</v>
      </c>
      <c r="I58" s="244">
        <f>G58/H58</f>
        <v>114524.76666666666</v>
      </c>
      <c r="J58" s="464"/>
      <c r="K58" s="218"/>
      <c r="L58" s="218"/>
      <c r="M58" s="218"/>
    </row>
    <row r="59" spans="1:13" x14ac:dyDescent="0.2">
      <c r="A59" s="163"/>
      <c r="B59" s="163"/>
      <c r="C59" s="458" t="s">
        <v>629</v>
      </c>
      <c r="D59" s="459"/>
      <c r="E59" s="244">
        <v>200000000</v>
      </c>
      <c r="F59" s="461">
        <v>38741</v>
      </c>
      <c r="G59" s="244">
        <v>3779170</v>
      </c>
      <c r="H59" s="462">
        <v>30</v>
      </c>
      <c r="I59" s="244">
        <f>G59/H59</f>
        <v>125972.33333333333</v>
      </c>
      <c r="J59" s="464"/>
      <c r="K59" s="218"/>
      <c r="L59" s="218"/>
      <c r="M59" s="218"/>
    </row>
    <row r="60" spans="1:13" x14ac:dyDescent="0.2">
      <c r="A60" s="163"/>
      <c r="B60" s="163"/>
      <c r="C60" s="465" t="s">
        <v>630</v>
      </c>
      <c r="D60" s="466"/>
      <c r="E60" s="114">
        <v>125000000</v>
      </c>
      <c r="F60" s="467">
        <v>40612</v>
      </c>
      <c r="G60" s="373">
        <v>2577363</v>
      </c>
      <c r="H60" s="468">
        <v>30</v>
      </c>
      <c r="I60" s="244">
        <f t="shared" ref="I60" si="4">G60/H60</f>
        <v>85912.1</v>
      </c>
      <c r="J60" s="464"/>
      <c r="K60" s="218"/>
      <c r="L60" s="218"/>
      <c r="M60" s="218"/>
    </row>
    <row r="61" spans="1:13" x14ac:dyDescent="0.2">
      <c r="A61" s="163"/>
      <c r="B61" s="163"/>
      <c r="C61" s="465" t="s">
        <v>631</v>
      </c>
      <c r="D61" s="466"/>
      <c r="E61" s="114">
        <v>350000000</v>
      </c>
      <c r="F61" s="467">
        <v>40925</v>
      </c>
      <c r="G61" s="114">
        <v>5957289</v>
      </c>
      <c r="H61" s="469">
        <v>10</v>
      </c>
      <c r="I61" s="244">
        <f>(G61/H61)*(11/12)</f>
        <v>546084.82499999995</v>
      </c>
      <c r="J61" s="464" t="s">
        <v>632</v>
      </c>
      <c r="K61" s="218"/>
      <c r="L61" s="218"/>
      <c r="M61" s="218"/>
    </row>
    <row r="62" spans="1:13" x14ac:dyDescent="0.2">
      <c r="A62" s="163"/>
      <c r="B62" s="163"/>
      <c r="C62" s="465" t="s">
        <v>633</v>
      </c>
      <c r="D62" s="466"/>
      <c r="E62" s="114">
        <v>475000000</v>
      </c>
      <c r="F62" s="467">
        <v>41046</v>
      </c>
      <c r="G62" s="114">
        <v>15401698</v>
      </c>
      <c r="H62" s="468">
        <v>30</v>
      </c>
      <c r="I62" s="244">
        <f>(G62/H62)*(7/12)</f>
        <v>299477.46111111116</v>
      </c>
      <c r="J62" s="470" t="s">
        <v>634</v>
      </c>
      <c r="K62" s="218"/>
      <c r="L62" s="218"/>
      <c r="M62" s="218"/>
    </row>
    <row r="63" spans="1:13" x14ac:dyDescent="0.2">
      <c r="A63" s="163"/>
      <c r="B63" s="163"/>
      <c r="C63" s="459" t="s">
        <v>635</v>
      </c>
      <c r="D63" s="459"/>
      <c r="E63" s="244"/>
      <c r="F63" s="461"/>
      <c r="G63" s="244"/>
      <c r="H63" s="462"/>
      <c r="I63" s="218"/>
      <c r="J63" s="464"/>
      <c r="K63" s="218"/>
      <c r="L63" s="218"/>
      <c r="M63" s="218"/>
    </row>
    <row r="64" spans="1:13" x14ac:dyDescent="0.2">
      <c r="A64" s="163"/>
      <c r="B64" s="163"/>
      <c r="C64" s="471"/>
      <c r="D64" s="471"/>
      <c r="E64" s="163"/>
      <c r="F64" s="163"/>
      <c r="G64" s="163"/>
      <c r="H64" s="163"/>
      <c r="I64" s="248">
        <f>SUM(I58:I63)</f>
        <v>1171971.486111111</v>
      </c>
      <c r="J64" s="174" t="s">
        <v>636</v>
      </c>
      <c r="K64" s="163"/>
      <c r="L64" s="163"/>
      <c r="M64" s="163"/>
    </row>
    <row r="65" spans="1:13" x14ac:dyDescent="0.2">
      <c r="A65" s="163"/>
      <c r="B65" s="174" t="s">
        <v>637</v>
      </c>
      <c r="G65" s="163"/>
      <c r="H65" s="163"/>
      <c r="I65" s="163"/>
      <c r="J65" s="163"/>
      <c r="K65" s="163"/>
      <c r="L65" s="163"/>
      <c r="M65" s="163"/>
    </row>
    <row r="66" spans="1:13" x14ac:dyDescent="0.2">
      <c r="A66" s="163"/>
      <c r="B66" s="176" t="s">
        <v>638</v>
      </c>
      <c r="G66" s="163"/>
      <c r="H66" s="163"/>
      <c r="I66" s="163"/>
      <c r="J66" s="163"/>
      <c r="K66" s="163"/>
      <c r="L66" s="163"/>
      <c r="M66" s="163"/>
    </row>
    <row r="67" spans="1:13" x14ac:dyDescent="0.2">
      <c r="A67" s="163"/>
      <c r="B67" s="163"/>
      <c r="G67" s="171" t="s">
        <v>617</v>
      </c>
      <c r="H67" s="163"/>
      <c r="I67" s="163"/>
      <c r="J67" s="163"/>
      <c r="K67" s="163"/>
      <c r="L67" s="163"/>
      <c r="M67" s="163"/>
    </row>
    <row r="68" spans="1:13" x14ac:dyDescent="0.2">
      <c r="A68" s="163"/>
      <c r="B68" s="163"/>
      <c r="C68" s="171"/>
      <c r="E68" s="166" t="s">
        <v>639</v>
      </c>
      <c r="F68" s="171" t="s">
        <v>617</v>
      </c>
      <c r="G68" s="171" t="s">
        <v>620</v>
      </c>
      <c r="H68" s="171" t="s">
        <v>621</v>
      </c>
      <c r="I68" s="171"/>
      <c r="J68" s="163"/>
      <c r="K68" s="163"/>
      <c r="L68" s="163"/>
      <c r="M68" s="163"/>
    </row>
    <row r="69" spans="1:13" x14ac:dyDescent="0.2">
      <c r="A69" s="163"/>
      <c r="B69" s="163"/>
      <c r="C69" s="207" t="s">
        <v>640</v>
      </c>
      <c r="E69" s="207" t="s">
        <v>623</v>
      </c>
      <c r="F69" s="207" t="s">
        <v>34</v>
      </c>
      <c r="G69" s="241" t="s">
        <v>625</v>
      </c>
      <c r="H69" s="207" t="s">
        <v>617</v>
      </c>
      <c r="I69" s="207" t="s">
        <v>45</v>
      </c>
      <c r="J69" s="163"/>
      <c r="K69" s="163"/>
      <c r="L69" s="163"/>
      <c r="M69" s="163"/>
    </row>
    <row r="70" spans="1:13" x14ac:dyDescent="0.2">
      <c r="A70" s="163"/>
      <c r="B70" s="163"/>
      <c r="C70" s="458" t="s">
        <v>641</v>
      </c>
      <c r="D70" s="459"/>
      <c r="E70" s="472" t="s">
        <v>642</v>
      </c>
      <c r="F70" s="244">
        <v>-286600</v>
      </c>
      <c r="G70" s="462">
        <v>34</v>
      </c>
      <c r="H70" s="244">
        <f>F70/G70</f>
        <v>-8429.4117647058829</v>
      </c>
      <c r="I70" s="218" t="s">
        <v>643</v>
      </c>
      <c r="J70" s="218"/>
      <c r="K70" s="218"/>
      <c r="L70" s="218"/>
      <c r="M70" s="218"/>
    </row>
    <row r="71" spans="1:13" x14ac:dyDescent="0.2">
      <c r="A71" s="163"/>
      <c r="B71" s="163"/>
      <c r="C71" s="458" t="s">
        <v>644</v>
      </c>
      <c r="D71" s="459"/>
      <c r="E71" s="473" t="s">
        <v>645</v>
      </c>
      <c r="F71" s="244">
        <v>6247500</v>
      </c>
      <c r="G71" s="462">
        <v>34</v>
      </c>
      <c r="H71" s="244">
        <f t="shared" ref="H71:H72" si="5">F71/G71</f>
        <v>183750</v>
      </c>
      <c r="I71" s="218" t="s">
        <v>646</v>
      </c>
      <c r="J71" s="218"/>
      <c r="K71" s="218"/>
      <c r="L71" s="218"/>
      <c r="M71" s="218"/>
    </row>
    <row r="72" spans="1:13" x14ac:dyDescent="0.2">
      <c r="A72" s="163"/>
      <c r="B72" s="163"/>
      <c r="C72" s="458" t="s">
        <v>644</v>
      </c>
      <c r="D72" s="459"/>
      <c r="E72" s="473" t="s">
        <v>645</v>
      </c>
      <c r="F72" s="244">
        <v>1025000</v>
      </c>
      <c r="G72" s="462">
        <v>34</v>
      </c>
      <c r="H72" s="244">
        <f t="shared" si="5"/>
        <v>30147.058823529413</v>
      </c>
      <c r="I72" s="218" t="s">
        <v>647</v>
      </c>
      <c r="J72" s="218"/>
      <c r="K72" s="218"/>
      <c r="L72" s="218"/>
      <c r="M72" s="218"/>
    </row>
    <row r="73" spans="1:13" x14ac:dyDescent="0.2">
      <c r="A73" s="163"/>
      <c r="B73" s="163"/>
      <c r="C73" s="459" t="s">
        <v>635</v>
      </c>
      <c r="D73" s="459"/>
      <c r="E73" s="473"/>
      <c r="F73" s="244"/>
      <c r="G73" s="462"/>
      <c r="H73" s="244"/>
      <c r="I73" s="213"/>
      <c r="J73" s="218"/>
      <c r="K73" s="218"/>
      <c r="L73" s="218"/>
      <c r="M73" s="218"/>
    </row>
    <row r="74" spans="1:13" x14ac:dyDescent="0.2">
      <c r="A74" s="163"/>
      <c r="B74" s="163"/>
      <c r="C74" s="471"/>
      <c r="D74" s="471"/>
      <c r="E74" s="163"/>
      <c r="F74" s="163"/>
      <c r="G74" s="163"/>
      <c r="H74" s="248">
        <f>SUM(H70:H73)</f>
        <v>205467.64705882355</v>
      </c>
      <c r="I74" s="174" t="s">
        <v>648</v>
      </c>
      <c r="J74" s="163"/>
      <c r="K74" s="163"/>
      <c r="L74" s="163"/>
      <c r="M74" s="163"/>
    </row>
    <row r="75" spans="1:13" x14ac:dyDescent="0.2">
      <c r="A75" s="163"/>
      <c r="B75" s="163"/>
      <c r="C75" s="163"/>
      <c r="D75" s="163"/>
      <c r="E75" s="163"/>
      <c r="F75" s="163"/>
      <c r="G75" s="163"/>
      <c r="H75" s="163"/>
      <c r="I75" s="163"/>
      <c r="J75" s="163"/>
      <c r="K75" s="163"/>
      <c r="L75" s="163"/>
      <c r="M75" s="163"/>
    </row>
    <row r="76" spans="1:13" x14ac:dyDescent="0.2">
      <c r="A76" s="163"/>
      <c r="B76" s="174" t="s">
        <v>649</v>
      </c>
      <c r="C76" s="163"/>
      <c r="D76" s="163"/>
      <c r="E76" s="163"/>
      <c r="F76" s="163"/>
      <c r="G76" s="163"/>
      <c r="H76" s="163"/>
      <c r="I76" s="163"/>
      <c r="J76" s="163"/>
      <c r="K76" s="163"/>
      <c r="L76" s="163"/>
      <c r="M76" s="163"/>
    </row>
    <row r="77" spans="1:13" x14ac:dyDescent="0.2">
      <c r="A77" s="163"/>
      <c r="B77" s="174" t="s">
        <v>650</v>
      </c>
      <c r="C77" s="163"/>
      <c r="D77" s="163"/>
      <c r="E77" s="163"/>
      <c r="F77" s="163"/>
      <c r="G77" s="163"/>
      <c r="H77" s="163"/>
      <c r="I77" s="163"/>
      <c r="J77" s="163"/>
      <c r="K77" s="163"/>
      <c r="L77" s="163"/>
      <c r="M77" s="163"/>
    </row>
    <row r="78" spans="1:13" x14ac:dyDescent="0.2">
      <c r="A78" s="163"/>
      <c r="B78" s="174" t="s">
        <v>651</v>
      </c>
      <c r="C78" s="163"/>
      <c r="D78" s="163"/>
      <c r="E78" s="163"/>
      <c r="F78" s="163"/>
      <c r="G78" s="163"/>
      <c r="H78" s="163"/>
      <c r="I78" s="163"/>
      <c r="J78" s="163"/>
      <c r="K78" s="163"/>
      <c r="L78" s="163"/>
      <c r="M78" s="163"/>
    </row>
  </sheetData>
  <pageMargins left="0.7" right="0.7" top="0.75" bottom="0.75" header="0.3" footer="0.3"/>
  <pageSetup scale="57" fitToHeight="0" orientation="landscape" cellComments="asDisplayed" r:id="rId1"/>
  <headerFooter>
    <oddHeader>&amp;CSchedule 5 ROR-2
Return and Capitalization
(Revised 2012 True Up TRR)&amp;RTO12 Draft Annual Update
Attachment 4
WP-Schedule 3-One Time Adj True Up Adj
Page &amp;P of &amp;N</oddHeader>
    <oddFooter>&amp;R5-ROR-2</oddFooter>
  </headerFooter>
  <rowBreaks count="1" manualBreakCount="1">
    <brk id="49" max="15" man="1"/>
  </rowBreaks>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I54"/>
  <sheetViews>
    <sheetView zoomScale="110" zoomScaleNormal="110" workbookViewId="0">
      <selection activeCell="D49" sqref="D49"/>
    </sheetView>
  </sheetViews>
  <sheetFormatPr defaultRowHeight="12.75" x14ac:dyDescent="0.2"/>
  <cols>
    <col min="1" max="1" width="4.7109375" style="64" customWidth="1"/>
    <col min="2" max="2" width="25.7109375" style="309" customWidth="1"/>
    <col min="3" max="5" width="15.7109375" style="309" customWidth="1"/>
    <col min="6" max="6" width="12.28515625" style="309" customWidth="1"/>
    <col min="7" max="7" width="9.140625" style="64"/>
    <col min="8" max="8" width="15.5703125" style="64" customWidth="1"/>
    <col min="9" max="16384" width="9.140625" style="64"/>
  </cols>
  <sheetData>
    <row r="1" spans="1:8" x14ac:dyDescent="0.2">
      <c r="A1" s="109" t="s">
        <v>322</v>
      </c>
      <c r="B1" s="306"/>
      <c r="C1" s="306"/>
      <c r="D1" s="306"/>
      <c r="E1" s="307" t="s">
        <v>323</v>
      </c>
      <c r="F1" s="308"/>
      <c r="G1" s="99"/>
    </row>
    <row r="2" spans="1:8" x14ac:dyDescent="0.2">
      <c r="B2" s="306"/>
      <c r="C2" s="306"/>
      <c r="G2" s="99"/>
    </row>
    <row r="3" spans="1:8" x14ac:dyDescent="0.2">
      <c r="A3" s="310" t="s">
        <v>324</v>
      </c>
      <c r="B3" s="311"/>
      <c r="C3" s="311"/>
      <c r="D3" s="311"/>
      <c r="E3" s="312" t="s">
        <v>295</v>
      </c>
      <c r="F3" s="307">
        <v>2012</v>
      </c>
      <c r="G3" s="99"/>
    </row>
    <row r="4" spans="1:8" x14ac:dyDescent="0.2">
      <c r="A4" s="313"/>
      <c r="B4" s="306"/>
      <c r="C4" s="306"/>
      <c r="D4" s="306"/>
      <c r="E4" s="306"/>
      <c r="F4" s="306"/>
      <c r="G4" s="99"/>
    </row>
    <row r="5" spans="1:8" x14ac:dyDescent="0.2">
      <c r="B5" s="313"/>
      <c r="C5" s="92" t="s">
        <v>152</v>
      </c>
      <c r="E5" s="92" t="s">
        <v>153</v>
      </c>
      <c r="F5" s="92" t="s">
        <v>154</v>
      </c>
      <c r="G5" s="99"/>
    </row>
    <row r="6" spans="1:8" x14ac:dyDescent="0.2">
      <c r="B6" s="313"/>
      <c r="C6" s="92"/>
      <c r="E6" s="92"/>
      <c r="F6" s="92"/>
      <c r="G6" s="99"/>
    </row>
    <row r="7" spans="1:8" x14ac:dyDescent="0.2">
      <c r="A7" s="122" t="s">
        <v>296</v>
      </c>
      <c r="B7" s="313"/>
      <c r="C7" s="314" t="s">
        <v>325</v>
      </c>
      <c r="D7" s="314"/>
      <c r="E7" s="314" t="s">
        <v>326</v>
      </c>
      <c r="F7" s="314" t="s">
        <v>327</v>
      </c>
      <c r="G7" s="99"/>
    </row>
    <row r="8" spans="1:8" x14ac:dyDescent="0.2">
      <c r="A8" s="93">
        <v>1</v>
      </c>
      <c r="B8" s="315" t="s">
        <v>328</v>
      </c>
      <c r="C8" s="315" t="s">
        <v>329</v>
      </c>
      <c r="D8" s="315" t="s">
        <v>330</v>
      </c>
      <c r="E8" s="315" t="s">
        <v>331</v>
      </c>
      <c r="F8" s="315" t="s">
        <v>332</v>
      </c>
      <c r="G8" s="316" t="s">
        <v>45</v>
      </c>
    </row>
    <row r="9" spans="1:8" ht="12.75" customHeight="1" x14ac:dyDescent="0.2">
      <c r="A9" s="93">
        <f>A8+1</f>
        <v>2</v>
      </c>
      <c r="B9" s="317" t="s">
        <v>333</v>
      </c>
      <c r="C9" s="318"/>
      <c r="D9" s="318"/>
      <c r="E9" s="318"/>
      <c r="F9" s="319"/>
      <c r="G9" s="99"/>
    </row>
    <row r="10" spans="1:8" x14ac:dyDescent="0.2">
      <c r="A10" s="93">
        <f t="shared" ref="A10:A28" si="0">A9+1</f>
        <v>3</v>
      </c>
      <c r="B10" s="320">
        <v>352</v>
      </c>
      <c r="C10" s="113">
        <v>378255078.49000001</v>
      </c>
      <c r="D10" s="321" t="s">
        <v>334</v>
      </c>
      <c r="E10" s="322">
        <v>207656916</v>
      </c>
      <c r="F10" s="323">
        <f>E10/C10</f>
        <v>0.54898645863254381</v>
      </c>
      <c r="G10" s="99"/>
      <c r="H10" s="324"/>
    </row>
    <row r="11" spans="1:8" x14ac:dyDescent="0.2">
      <c r="A11" s="93">
        <f t="shared" si="0"/>
        <v>4</v>
      </c>
      <c r="B11" s="320">
        <v>353</v>
      </c>
      <c r="C11" s="325">
        <v>4021792061</v>
      </c>
      <c r="D11" s="321" t="s">
        <v>335</v>
      </c>
      <c r="E11" s="326">
        <v>2231719300</v>
      </c>
      <c r="F11" s="327">
        <f>E11/C11</f>
        <v>0.55490668491823847</v>
      </c>
      <c r="G11" s="99"/>
    </row>
    <row r="12" spans="1:8" x14ac:dyDescent="0.2">
      <c r="A12" s="93">
        <f t="shared" si="0"/>
        <v>5</v>
      </c>
      <c r="B12" s="328" t="s">
        <v>336</v>
      </c>
      <c r="C12" s="329">
        <f>SUM(C10:C11)</f>
        <v>4400047139.4899998</v>
      </c>
      <c r="D12" s="116" t="str">
        <f>"L "&amp;A10&amp;" + L "&amp;A11&amp;""</f>
        <v>L 3 + L 4</v>
      </c>
      <c r="E12" s="329">
        <f>SUM(E10:E11)</f>
        <v>2439376216</v>
      </c>
      <c r="F12" s="323">
        <f>E12/C12</f>
        <v>0.55439774590295476</v>
      </c>
      <c r="G12" s="99"/>
    </row>
    <row r="13" spans="1:8" x14ac:dyDescent="0.2">
      <c r="A13" s="93">
        <f t="shared" si="0"/>
        <v>6</v>
      </c>
      <c r="B13" s="330"/>
      <c r="C13" s="331"/>
      <c r="D13" s="331"/>
      <c r="E13" s="331"/>
      <c r="F13" s="323"/>
      <c r="G13" s="99"/>
    </row>
    <row r="14" spans="1:8" ht="13.5" thickBot="1" x14ac:dyDescent="0.25">
      <c r="A14" s="93">
        <f t="shared" si="0"/>
        <v>7</v>
      </c>
      <c r="B14" s="332" t="s">
        <v>337</v>
      </c>
      <c r="C14" s="333"/>
      <c r="D14" s="333"/>
      <c r="E14" s="333"/>
      <c r="F14" s="334"/>
      <c r="G14" s="99"/>
    </row>
    <row r="15" spans="1:8" ht="13.5" thickBot="1" x14ac:dyDescent="0.25">
      <c r="A15" s="93">
        <f t="shared" si="0"/>
        <v>8</v>
      </c>
      <c r="B15" s="320">
        <v>350</v>
      </c>
      <c r="C15" s="335">
        <v>268447150.04000002</v>
      </c>
      <c r="D15" s="321" t="s">
        <v>338</v>
      </c>
      <c r="E15" s="336">
        <v>185958730.48129782</v>
      </c>
      <c r="F15" s="337">
        <f>E15/C15</f>
        <v>0.69272007713096972</v>
      </c>
      <c r="G15" s="99"/>
    </row>
    <row r="16" spans="1:8" x14ac:dyDescent="0.2">
      <c r="A16" s="93">
        <f t="shared" si="0"/>
        <v>9</v>
      </c>
      <c r="B16" s="320"/>
      <c r="C16" s="329"/>
      <c r="D16" s="329"/>
      <c r="E16" s="329"/>
      <c r="F16" s="323"/>
      <c r="G16" s="99"/>
    </row>
    <row r="17" spans="1:7" x14ac:dyDescent="0.2">
      <c r="A17" s="93">
        <f t="shared" si="0"/>
        <v>10</v>
      </c>
      <c r="B17" s="332" t="s">
        <v>339</v>
      </c>
      <c r="C17" s="329">
        <f>C12+C15</f>
        <v>4668494289.5299997</v>
      </c>
      <c r="D17" s="116" t="str">
        <f>"L "&amp;A12&amp;" + L "&amp;A15&amp;""</f>
        <v>L 5 + L 8</v>
      </c>
      <c r="E17" s="338">
        <f>E12+E15</f>
        <v>2625334946.481298</v>
      </c>
      <c r="F17" s="337">
        <f>E17/C17</f>
        <v>0.56235153856118425</v>
      </c>
      <c r="G17" s="99"/>
    </row>
    <row r="18" spans="1:7" x14ac:dyDescent="0.2">
      <c r="A18" s="93">
        <f t="shared" si="0"/>
        <v>11</v>
      </c>
      <c r="B18" s="330"/>
      <c r="C18" s="331"/>
      <c r="D18" s="331"/>
      <c r="E18" s="331"/>
      <c r="F18" s="323"/>
      <c r="G18" s="99"/>
    </row>
    <row r="19" spans="1:7" ht="13.5" thickBot="1" x14ac:dyDescent="0.25">
      <c r="A19" s="93">
        <f t="shared" si="0"/>
        <v>12</v>
      </c>
      <c r="B19" s="332" t="s">
        <v>340</v>
      </c>
      <c r="C19" s="331"/>
      <c r="D19" s="331"/>
      <c r="E19" s="331"/>
      <c r="F19" s="323"/>
      <c r="G19" s="99"/>
    </row>
    <row r="20" spans="1:7" ht="13.5" thickBot="1" x14ac:dyDescent="0.25">
      <c r="A20" s="93">
        <f t="shared" si="0"/>
        <v>13</v>
      </c>
      <c r="B20" s="320">
        <v>354</v>
      </c>
      <c r="C20" s="339">
        <v>772203665.50999999</v>
      </c>
      <c r="D20" s="321" t="s">
        <v>341</v>
      </c>
      <c r="E20" s="340">
        <v>728005652.52050996</v>
      </c>
      <c r="F20" s="337">
        <f>E20/C20</f>
        <v>0.94276378763327995</v>
      </c>
      <c r="G20" s="99"/>
    </row>
    <row r="21" spans="1:7" ht="13.5" thickBot="1" x14ac:dyDescent="0.25">
      <c r="A21" s="93">
        <f t="shared" si="0"/>
        <v>14</v>
      </c>
      <c r="B21" s="320">
        <v>355</v>
      </c>
      <c r="C21" s="339">
        <v>603692253.20000005</v>
      </c>
      <c r="D21" s="321" t="s">
        <v>342</v>
      </c>
      <c r="E21" s="339">
        <v>148632888.4820841</v>
      </c>
      <c r="F21" s="341">
        <f t="shared" ref="F21:F26" si="1">E21/C21</f>
        <v>0.24620638693676064</v>
      </c>
      <c r="G21" s="99"/>
    </row>
    <row r="22" spans="1:7" ht="13.5" thickBot="1" x14ac:dyDescent="0.25">
      <c r="A22" s="93">
        <f t="shared" si="0"/>
        <v>15</v>
      </c>
      <c r="B22" s="320">
        <v>356</v>
      </c>
      <c r="C22" s="339">
        <v>706020710.715047</v>
      </c>
      <c r="D22" s="321" t="s">
        <v>343</v>
      </c>
      <c r="E22" s="340">
        <v>494752742.15160972</v>
      </c>
      <c r="F22" s="337">
        <f t="shared" si="1"/>
        <v>0.70076236382716262</v>
      </c>
      <c r="G22" s="99"/>
    </row>
    <row r="23" spans="1:7" x14ac:dyDescent="0.2">
      <c r="A23" s="93">
        <f t="shared" si="0"/>
        <v>16</v>
      </c>
      <c r="B23" s="320">
        <v>357</v>
      </c>
      <c r="C23" s="339">
        <v>48517033.210000001</v>
      </c>
      <c r="D23" s="321" t="s">
        <v>344</v>
      </c>
      <c r="E23" s="339">
        <v>645861.64518965012</v>
      </c>
      <c r="F23" s="341">
        <f t="shared" si="1"/>
        <v>1.3312059754233479E-2</v>
      </c>
      <c r="G23" s="99"/>
    </row>
    <row r="24" spans="1:7" ht="13.5" thickBot="1" x14ac:dyDescent="0.25">
      <c r="A24" s="93">
        <f t="shared" si="0"/>
        <v>17</v>
      </c>
      <c r="B24" s="320">
        <v>358</v>
      </c>
      <c r="C24" s="339">
        <v>208167367.08000001</v>
      </c>
      <c r="D24" s="321" t="s">
        <v>345</v>
      </c>
      <c r="E24" s="339">
        <v>3959306.6940610548</v>
      </c>
      <c r="F24" s="341">
        <f t="shared" si="1"/>
        <v>1.9019824046386045E-2</v>
      </c>
      <c r="G24" s="99"/>
    </row>
    <row r="25" spans="1:7" ht="13.5" thickBot="1" x14ac:dyDescent="0.25">
      <c r="A25" s="93">
        <f t="shared" si="0"/>
        <v>18</v>
      </c>
      <c r="B25" s="320">
        <v>359</v>
      </c>
      <c r="C25" s="342">
        <v>43038583</v>
      </c>
      <c r="D25" s="321" t="s">
        <v>346</v>
      </c>
      <c r="E25" s="343">
        <v>38745450.409576274</v>
      </c>
      <c r="F25" s="344">
        <f t="shared" si="1"/>
        <v>0.90024921149416737</v>
      </c>
      <c r="G25" s="99"/>
    </row>
    <row r="26" spans="1:7" x14ac:dyDescent="0.2">
      <c r="A26" s="93">
        <f t="shared" si="0"/>
        <v>19</v>
      </c>
      <c r="B26" s="328" t="s">
        <v>347</v>
      </c>
      <c r="C26" s="329">
        <f>SUM(C20:C25)</f>
        <v>2381639612.7150469</v>
      </c>
      <c r="D26" s="345" t="str">
        <f>"Sum L"&amp;A20&amp;" to L"&amp;A25&amp;""</f>
        <v>Sum L13 to L18</v>
      </c>
      <c r="E26" s="338">
        <f>SUM(E20:E25)</f>
        <v>1414741901.9030306</v>
      </c>
      <c r="F26" s="337">
        <f t="shared" si="1"/>
        <v>0.59402014240527268</v>
      </c>
      <c r="G26" s="99"/>
    </row>
    <row r="27" spans="1:7" x14ac:dyDescent="0.2">
      <c r="A27" s="93">
        <f t="shared" si="0"/>
        <v>20</v>
      </c>
      <c r="B27" s="346"/>
      <c r="C27" s="329"/>
      <c r="D27" s="329"/>
      <c r="E27" s="329"/>
      <c r="F27" s="323"/>
      <c r="G27" s="99"/>
    </row>
    <row r="28" spans="1:7" x14ac:dyDescent="0.2">
      <c r="A28" s="93">
        <f t="shared" si="0"/>
        <v>21</v>
      </c>
      <c r="B28" s="347" t="s">
        <v>348</v>
      </c>
      <c r="C28" s="348">
        <f>C17+C26</f>
        <v>7050133902.2450466</v>
      </c>
      <c r="D28" s="116" t="str">
        <f>"L "&amp;A17&amp;" + L "&amp;A26&amp;""</f>
        <v>L 10 + L 19</v>
      </c>
      <c r="E28" s="349">
        <f>E17+E26</f>
        <v>4040076848.3843288</v>
      </c>
      <c r="F28" s="350">
        <f>E28/C28</f>
        <v>0.57304966180823969</v>
      </c>
      <c r="G28" s="99" t="s">
        <v>349</v>
      </c>
    </row>
    <row r="29" spans="1:7" x14ac:dyDescent="0.2">
      <c r="A29" s="93"/>
      <c r="B29" s="351"/>
      <c r="C29" s="352"/>
      <c r="D29" s="352"/>
      <c r="E29" s="353"/>
      <c r="F29" s="354"/>
    </row>
    <row r="30" spans="1:7" x14ac:dyDescent="0.2">
      <c r="A30" s="93"/>
      <c r="B30" s="355"/>
      <c r="C30" s="356"/>
      <c r="D30" s="356"/>
      <c r="E30" s="357"/>
      <c r="F30" s="356"/>
    </row>
    <row r="31" spans="1:7" x14ac:dyDescent="0.2">
      <c r="A31" s="313" t="s">
        <v>350</v>
      </c>
      <c r="C31" s="356"/>
      <c r="D31" s="356"/>
      <c r="E31" s="356"/>
      <c r="F31" s="356"/>
    </row>
    <row r="32" spans="1:7" x14ac:dyDescent="0.2">
      <c r="A32" s="93"/>
      <c r="B32" s="358"/>
      <c r="C32" s="356"/>
      <c r="D32" s="356"/>
      <c r="E32" s="356"/>
      <c r="F32" s="356"/>
    </row>
    <row r="33" spans="1:9" x14ac:dyDescent="0.2">
      <c r="A33" s="122" t="s">
        <v>296</v>
      </c>
      <c r="B33" s="313"/>
      <c r="C33" s="314" t="s">
        <v>325</v>
      </c>
      <c r="D33" s="314"/>
      <c r="E33" s="314" t="s">
        <v>351</v>
      </c>
      <c r="F33" s="314" t="s">
        <v>327</v>
      </c>
    </row>
    <row r="34" spans="1:9" x14ac:dyDescent="0.2">
      <c r="A34" s="93">
        <f>A28+1</f>
        <v>22</v>
      </c>
      <c r="B34" s="315" t="s">
        <v>328</v>
      </c>
      <c r="C34" s="315" t="s">
        <v>329</v>
      </c>
      <c r="D34" s="315" t="s">
        <v>330</v>
      </c>
      <c r="E34" s="315" t="s">
        <v>331</v>
      </c>
      <c r="F34" s="315" t="s">
        <v>332</v>
      </c>
    </row>
    <row r="35" spans="1:9" x14ac:dyDescent="0.2">
      <c r="A35" s="93">
        <f t="shared" ref="A35:A42" si="2">A34+1</f>
        <v>23</v>
      </c>
      <c r="B35" s="317" t="s">
        <v>352</v>
      </c>
      <c r="C35" s="352"/>
      <c r="D35" s="352"/>
      <c r="E35" s="352"/>
      <c r="F35" s="354"/>
    </row>
    <row r="36" spans="1:9" x14ac:dyDescent="0.2">
      <c r="A36" s="93">
        <f t="shared" si="2"/>
        <v>24</v>
      </c>
      <c r="B36" s="320">
        <v>360</v>
      </c>
      <c r="C36" s="335">
        <v>105974876</v>
      </c>
      <c r="D36" s="321" t="s">
        <v>353</v>
      </c>
      <c r="E36" s="335">
        <v>78348.646627332098</v>
      </c>
      <c r="F36" s="323">
        <f>E36/C36</f>
        <v>7.3931340695630634E-4</v>
      </c>
    </row>
    <row r="37" spans="1:9" x14ac:dyDescent="0.2">
      <c r="A37" s="93">
        <f t="shared" si="2"/>
        <v>25</v>
      </c>
      <c r="B37" s="332" t="s">
        <v>354</v>
      </c>
      <c r="C37" s="329"/>
      <c r="D37" s="329"/>
      <c r="E37" s="329"/>
      <c r="F37" s="323"/>
    </row>
    <row r="38" spans="1:9" x14ac:dyDescent="0.2">
      <c r="A38" s="93">
        <f t="shared" si="2"/>
        <v>26</v>
      </c>
      <c r="B38" s="320">
        <v>361</v>
      </c>
      <c r="C38" s="335">
        <v>436830749</v>
      </c>
      <c r="D38" s="321" t="s">
        <v>355</v>
      </c>
      <c r="E38" s="335">
        <v>718564.57265429304</v>
      </c>
      <c r="F38" s="323">
        <f>E38/C38</f>
        <v>1.6449496156102624E-3</v>
      </c>
    </row>
    <row r="39" spans="1:9" x14ac:dyDescent="0.2">
      <c r="A39" s="93">
        <f t="shared" si="2"/>
        <v>27</v>
      </c>
      <c r="B39" s="320">
        <v>362</v>
      </c>
      <c r="C39" s="359">
        <v>1761037882</v>
      </c>
      <c r="D39" s="321" t="s">
        <v>356</v>
      </c>
      <c r="E39" s="359">
        <v>6051836.2912730929</v>
      </c>
      <c r="F39" s="327">
        <f>E39/C39</f>
        <v>3.4365168138234818E-3</v>
      </c>
    </row>
    <row r="40" spans="1:9" x14ac:dyDescent="0.2">
      <c r="A40" s="93">
        <f t="shared" si="2"/>
        <v>28</v>
      </c>
      <c r="B40" s="328" t="s">
        <v>357</v>
      </c>
      <c r="C40" s="329">
        <f>SUM(C38:C39)</f>
        <v>2197868631</v>
      </c>
      <c r="D40" s="116" t="str">
        <f>"L "&amp;A38&amp;" + L "&amp;A39&amp;""</f>
        <v>L 26 + L 27</v>
      </c>
      <c r="E40" s="329">
        <f>SUM(E38:E39)</f>
        <v>6770400.8639273858</v>
      </c>
      <c r="F40" s="323">
        <f>E40/C40</f>
        <v>3.0804392803253878E-3</v>
      </c>
    </row>
    <row r="41" spans="1:9" x14ac:dyDescent="0.2">
      <c r="A41" s="93">
        <f t="shared" si="2"/>
        <v>29</v>
      </c>
      <c r="B41" s="360"/>
      <c r="C41" s="361"/>
      <c r="D41" s="329"/>
      <c r="E41" s="329"/>
      <c r="F41" s="323"/>
    </row>
    <row r="42" spans="1:9" x14ac:dyDescent="0.2">
      <c r="A42" s="93">
        <f t="shared" si="2"/>
        <v>30</v>
      </c>
      <c r="B42" s="362" t="s">
        <v>358</v>
      </c>
      <c r="C42" s="348">
        <f>C36+C40</f>
        <v>2303843507</v>
      </c>
      <c r="D42" s="116" t="str">
        <f>"L "&amp;A36&amp;" + L "&amp;A40&amp;""</f>
        <v>L 24 + L 28</v>
      </c>
      <c r="E42" s="348">
        <f>E36+E40</f>
        <v>6848749.5105547179</v>
      </c>
      <c r="F42" s="363">
        <f>E42/C42</f>
        <v>2.9727494466292837E-3</v>
      </c>
      <c r="G42" s="99" t="s">
        <v>359</v>
      </c>
      <c r="H42" s="99"/>
    </row>
    <row r="43" spans="1:9" x14ac:dyDescent="0.2">
      <c r="A43" s="93"/>
      <c r="B43" s="364"/>
      <c r="C43" s="365"/>
      <c r="D43" s="365"/>
      <c r="E43" s="365"/>
      <c r="F43" s="366"/>
      <c r="H43" s="367"/>
      <c r="I43" s="99"/>
    </row>
    <row r="44" spans="1:9" x14ac:dyDescent="0.2">
      <c r="A44" s="91"/>
      <c r="E44" s="368"/>
    </row>
    <row r="45" spans="1:9" x14ac:dyDescent="0.2">
      <c r="A45" s="131" t="s">
        <v>297</v>
      </c>
    </row>
    <row r="46" spans="1:9" x14ac:dyDescent="0.2">
      <c r="A46" s="116" t="s">
        <v>360</v>
      </c>
      <c r="E46" s="368"/>
    </row>
    <row r="47" spans="1:9" x14ac:dyDescent="0.2">
      <c r="A47" s="116" t="s">
        <v>361</v>
      </c>
    </row>
    <row r="48" spans="1:9" x14ac:dyDescent="0.2">
      <c r="A48" s="116" t="s">
        <v>362</v>
      </c>
      <c r="C48" s="368"/>
      <c r="D48" s="368"/>
    </row>
    <row r="49" spans="1:4" x14ac:dyDescent="0.2">
      <c r="A49" s="116" t="s">
        <v>363</v>
      </c>
      <c r="C49" s="369"/>
      <c r="D49" s="369"/>
    </row>
    <row r="50" spans="1:4" x14ac:dyDescent="0.2">
      <c r="A50" s="91"/>
      <c r="C50" s="368"/>
      <c r="D50" s="368"/>
    </row>
    <row r="51" spans="1:4" x14ac:dyDescent="0.2">
      <c r="A51" s="131" t="s">
        <v>109</v>
      </c>
    </row>
    <row r="52" spans="1:4" x14ac:dyDescent="0.2">
      <c r="A52" s="116" t="s">
        <v>364</v>
      </c>
    </row>
    <row r="53" spans="1:4" x14ac:dyDescent="0.2">
      <c r="A53" s="116" t="s">
        <v>365</v>
      </c>
    </row>
    <row r="54" spans="1:4" x14ac:dyDescent="0.2">
      <c r="A54" s="116" t="s">
        <v>366</v>
      </c>
    </row>
  </sheetData>
  <pageMargins left="0.7" right="0.7" top="0.75" bottom="0.75" header="0.3" footer="0.3"/>
  <pageSetup scale="90" orientation="portrait" cellComments="asDisplayed" r:id="rId1"/>
  <headerFooter>
    <oddHeader>&amp;CSchedule 7
Transmission Plant Study Summary
(Revised 2012 True Up TRR)&amp;RTO12 Draft Annual Update
Attachment 4
WP-Schedule 3-One Time Adj True Up Adj
Page &amp;P of &amp;N</oddHeader>
    <oddFooter>&amp;R7-PlantStudy</odd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dimension ref="A1:M428"/>
  <sheetViews>
    <sheetView zoomScale="110" zoomScaleNormal="110" workbookViewId="0"/>
  </sheetViews>
  <sheetFormatPr defaultRowHeight="12.75" x14ac:dyDescent="0.2"/>
  <cols>
    <col min="1" max="1" width="4.7109375" style="106" customWidth="1"/>
    <col min="2" max="2" width="12.7109375" style="64" customWidth="1"/>
    <col min="3" max="3" width="8.7109375" style="64" customWidth="1"/>
    <col min="4" max="4" width="15.140625" style="64" bestFit="1" customWidth="1"/>
    <col min="5" max="5" width="18.7109375" style="64" customWidth="1"/>
    <col min="6" max="6" width="16.140625" style="64" customWidth="1"/>
    <col min="7" max="7" width="13.42578125" style="64" customWidth="1"/>
    <col min="8" max="8" width="13.5703125" style="64" bestFit="1" customWidth="1"/>
    <col min="9" max="9" width="17.140625" style="64" customWidth="1"/>
    <col min="10" max="10" width="15.42578125" style="64" customWidth="1"/>
    <col min="11" max="11" width="17.28515625" style="64" customWidth="1"/>
    <col min="12" max="12" width="14.7109375" style="106" bestFit="1" customWidth="1"/>
    <col min="13" max="13" width="13.140625" style="64" bestFit="1" customWidth="1"/>
    <col min="14" max="16384" width="9.140625" style="64"/>
  </cols>
  <sheetData>
    <row r="1" spans="1:12" x14ac:dyDescent="0.2">
      <c r="A1" s="119" t="s">
        <v>367</v>
      </c>
      <c r="K1" s="109"/>
    </row>
    <row r="2" spans="1:12" x14ac:dyDescent="0.2">
      <c r="A2" s="119"/>
      <c r="K2" s="109"/>
    </row>
    <row r="3" spans="1:12" x14ac:dyDescent="0.2">
      <c r="A3" s="119"/>
      <c r="B3" s="99" t="s">
        <v>368</v>
      </c>
      <c r="K3" s="109"/>
    </row>
    <row r="4" spans="1:12" x14ac:dyDescent="0.2">
      <c r="B4" s="99" t="s">
        <v>369</v>
      </c>
      <c r="K4" s="109"/>
      <c r="L4" s="120"/>
    </row>
    <row r="5" spans="1:12" x14ac:dyDescent="0.2">
      <c r="B5" s="99"/>
      <c r="K5" s="109"/>
    </row>
    <row r="6" spans="1:12" x14ac:dyDescent="0.2">
      <c r="A6" s="120"/>
      <c r="B6" s="109" t="s">
        <v>370</v>
      </c>
      <c r="K6" s="109"/>
    </row>
    <row r="7" spans="1:12" x14ac:dyDescent="0.2">
      <c r="A7" s="120"/>
      <c r="B7" s="109"/>
      <c r="D7" s="92" t="s">
        <v>152</v>
      </c>
      <c r="E7" s="92" t="s">
        <v>153</v>
      </c>
      <c r="F7" s="92" t="s">
        <v>154</v>
      </c>
      <c r="G7" s="92" t="s">
        <v>155</v>
      </c>
      <c r="H7" s="92" t="s">
        <v>371</v>
      </c>
      <c r="I7" s="92" t="s">
        <v>372</v>
      </c>
      <c r="J7" s="110"/>
      <c r="K7" s="109"/>
      <c r="L7" s="110"/>
    </row>
    <row r="8" spans="1:12" x14ac:dyDescent="0.2">
      <c r="D8" s="370" t="s">
        <v>373</v>
      </c>
      <c r="J8" s="106"/>
      <c r="K8" s="106"/>
    </row>
    <row r="9" spans="1:12" x14ac:dyDescent="0.2">
      <c r="D9" s="91" t="s">
        <v>374</v>
      </c>
      <c r="J9" s="106"/>
      <c r="K9" s="106"/>
    </row>
    <row r="10" spans="1:12" x14ac:dyDescent="0.2">
      <c r="B10" s="93"/>
      <c r="J10" s="106"/>
      <c r="K10" s="106"/>
    </row>
    <row r="11" spans="1:12" x14ac:dyDescent="0.2">
      <c r="B11" s="93"/>
      <c r="D11" s="93" t="s">
        <v>1</v>
      </c>
      <c r="F11" s="93" t="s">
        <v>375</v>
      </c>
      <c r="G11" s="93" t="s">
        <v>376</v>
      </c>
      <c r="H11" s="93"/>
      <c r="I11" s="93"/>
      <c r="J11" s="111"/>
      <c r="K11" s="99"/>
    </row>
    <row r="12" spans="1:12" x14ac:dyDescent="0.2">
      <c r="A12" s="136" t="s">
        <v>296</v>
      </c>
      <c r="B12" s="57" t="s">
        <v>16</v>
      </c>
      <c r="C12" s="57" t="s">
        <v>17</v>
      </c>
      <c r="D12" s="95" t="s">
        <v>377</v>
      </c>
      <c r="E12" s="95" t="s">
        <v>378</v>
      </c>
      <c r="F12" s="95" t="s">
        <v>379</v>
      </c>
      <c r="G12" s="95" t="s">
        <v>380</v>
      </c>
      <c r="H12" s="95" t="s">
        <v>381</v>
      </c>
      <c r="I12" s="95" t="s">
        <v>382</v>
      </c>
      <c r="J12" s="63"/>
      <c r="K12" s="99"/>
    </row>
    <row r="13" spans="1:12" x14ac:dyDescent="0.2">
      <c r="A13" s="111">
        <v>1</v>
      </c>
      <c r="B13" s="58" t="s">
        <v>6</v>
      </c>
      <c r="C13" s="371">
        <v>2011</v>
      </c>
      <c r="D13" s="286">
        <f t="shared" ref="D13:D25" si="0">SUM(E13:I13)+SUM(D33:G33)</f>
        <v>1272447204.0070703</v>
      </c>
      <c r="E13" s="372">
        <v>1055342874.3736817</v>
      </c>
      <c r="F13" s="373">
        <v>150997361.17012712</v>
      </c>
      <c r="G13" s="373">
        <v>30840968.271137845</v>
      </c>
      <c r="H13" s="373">
        <v>-73287.943056206728</v>
      </c>
      <c r="I13" s="373">
        <v>15400523.592885498</v>
      </c>
      <c r="J13" s="374"/>
    </row>
    <row r="14" spans="1:12" x14ac:dyDescent="0.2">
      <c r="A14" s="111">
        <f t="shared" ref="A14:A26" si="1">A13+1</f>
        <v>2</v>
      </c>
      <c r="B14" s="58" t="s">
        <v>7</v>
      </c>
      <c r="C14" s="371">
        <v>2012</v>
      </c>
      <c r="D14" s="286">
        <f t="shared" si="0"/>
        <v>1310224527.6203587</v>
      </c>
      <c r="E14" s="372">
        <v>1072044236.9440101</v>
      </c>
      <c r="F14" s="373">
        <v>164276614.02547273</v>
      </c>
      <c r="G14" s="373">
        <v>35977430.254513845</v>
      </c>
      <c r="H14" s="373">
        <v>-70360.766686206727</v>
      </c>
      <c r="I14" s="373">
        <v>16874555.694305498</v>
      </c>
      <c r="J14" s="374"/>
    </row>
    <row r="15" spans="1:12" x14ac:dyDescent="0.2">
      <c r="A15" s="111">
        <f t="shared" si="1"/>
        <v>3</v>
      </c>
      <c r="B15" s="53" t="s">
        <v>8</v>
      </c>
      <c r="C15" s="371">
        <v>2012</v>
      </c>
      <c r="D15" s="286">
        <f t="shared" si="0"/>
        <v>1226968738.7111251</v>
      </c>
      <c r="E15" s="372">
        <v>960770236.37290978</v>
      </c>
      <c r="F15" s="373">
        <v>180519660.41084775</v>
      </c>
      <c r="G15" s="373">
        <v>39507221.23990684</v>
      </c>
      <c r="H15" s="373">
        <v>-70400.379985206906</v>
      </c>
      <c r="I15" s="373">
        <v>22322691.225285497</v>
      </c>
      <c r="J15" s="374"/>
    </row>
    <row r="16" spans="1:12" x14ac:dyDescent="0.2">
      <c r="A16" s="111">
        <f t="shared" si="1"/>
        <v>4</v>
      </c>
      <c r="B16" s="53" t="s">
        <v>18</v>
      </c>
      <c r="C16" s="371">
        <v>2012</v>
      </c>
      <c r="D16" s="286">
        <f t="shared" si="0"/>
        <v>1306952219.3428807</v>
      </c>
      <c r="E16" s="372">
        <v>988047535.8430301</v>
      </c>
      <c r="F16" s="373">
        <v>215481737.07084772</v>
      </c>
      <c r="G16" s="373">
        <v>43998099.579906836</v>
      </c>
      <c r="H16" s="373">
        <v>-70400.379985206906</v>
      </c>
      <c r="I16" s="373">
        <v>30187616.765285503</v>
      </c>
      <c r="J16" s="374"/>
    </row>
    <row r="17" spans="1:11" x14ac:dyDescent="0.2">
      <c r="A17" s="111">
        <f t="shared" si="1"/>
        <v>5</v>
      </c>
      <c r="B17" s="58" t="s">
        <v>9</v>
      </c>
      <c r="C17" s="371">
        <v>2012</v>
      </c>
      <c r="D17" s="286">
        <f t="shared" si="0"/>
        <v>1265918335.2292488</v>
      </c>
      <c r="E17" s="372">
        <v>895041080.73767984</v>
      </c>
      <c r="F17" s="373">
        <v>236246479.17084771</v>
      </c>
      <c r="G17" s="373">
        <v>51334654.249906845</v>
      </c>
      <c r="H17" s="373">
        <v>-70400.379985206906</v>
      </c>
      <c r="I17" s="373">
        <v>42060940.955285512</v>
      </c>
      <c r="J17" s="374"/>
    </row>
    <row r="18" spans="1:11" x14ac:dyDescent="0.2">
      <c r="A18" s="111">
        <f t="shared" si="1"/>
        <v>6</v>
      </c>
      <c r="B18" s="53" t="s">
        <v>10</v>
      </c>
      <c r="C18" s="371">
        <v>2012</v>
      </c>
      <c r="D18" s="286">
        <f t="shared" si="0"/>
        <v>1328117689.0730867</v>
      </c>
      <c r="E18" s="372">
        <v>911319250.00435042</v>
      </c>
      <c r="F18" s="373">
        <v>263700658.81050852</v>
      </c>
      <c r="G18" s="373">
        <v>52770435.56000001</v>
      </c>
      <c r="H18" s="373">
        <v>-70400.379999999888</v>
      </c>
      <c r="I18" s="373">
        <v>55841316.640819997</v>
      </c>
      <c r="J18" s="374"/>
    </row>
    <row r="19" spans="1:11" x14ac:dyDescent="0.2">
      <c r="A19" s="111">
        <f t="shared" si="1"/>
        <v>7</v>
      </c>
      <c r="B19" s="53" t="s">
        <v>383</v>
      </c>
      <c r="C19" s="371">
        <v>2012</v>
      </c>
      <c r="D19" s="286">
        <f t="shared" si="0"/>
        <v>1284380764.3029988</v>
      </c>
      <c r="E19" s="372">
        <v>827168218.63923991</v>
      </c>
      <c r="F19" s="373">
        <v>286740404.97366595</v>
      </c>
      <c r="G19" s="373">
        <v>54352445.079999998</v>
      </c>
      <c r="H19" s="373">
        <v>-69345.540000000037</v>
      </c>
      <c r="I19" s="373">
        <v>68397745.786310002</v>
      </c>
      <c r="J19" s="374"/>
    </row>
    <row r="20" spans="1:11" x14ac:dyDescent="0.2">
      <c r="A20" s="111">
        <f t="shared" si="1"/>
        <v>8</v>
      </c>
      <c r="B20" s="58" t="s">
        <v>11</v>
      </c>
      <c r="C20" s="371">
        <v>2012</v>
      </c>
      <c r="D20" s="286">
        <f t="shared" si="0"/>
        <v>1356072433.3217039</v>
      </c>
      <c r="E20" s="372">
        <v>854985553.13158321</v>
      </c>
      <c r="F20" s="373">
        <v>312002704.12560391</v>
      </c>
      <c r="G20" s="373">
        <v>61721720.270000003</v>
      </c>
      <c r="H20" s="373">
        <v>-69345.540000000037</v>
      </c>
      <c r="I20" s="373">
        <v>75069819.944279999</v>
      </c>
      <c r="J20" s="374"/>
    </row>
    <row r="21" spans="1:11" x14ac:dyDescent="0.2">
      <c r="A21" s="111">
        <f t="shared" si="1"/>
        <v>9</v>
      </c>
      <c r="B21" s="53" t="s">
        <v>12</v>
      </c>
      <c r="C21" s="371">
        <v>2012</v>
      </c>
      <c r="D21" s="286">
        <f t="shared" si="0"/>
        <v>1440150344.4419749</v>
      </c>
      <c r="E21" s="372">
        <v>881900953.80989754</v>
      </c>
      <c r="F21" s="373">
        <v>346609902.7747829</v>
      </c>
      <c r="G21" s="373">
        <v>65872706.950000003</v>
      </c>
      <c r="H21" s="373">
        <v>-69345.540000000037</v>
      </c>
      <c r="I21" s="373">
        <v>85799857.196889997</v>
      </c>
      <c r="J21" s="374"/>
    </row>
    <row r="22" spans="1:11" x14ac:dyDescent="0.2">
      <c r="A22" s="111">
        <f t="shared" si="1"/>
        <v>10</v>
      </c>
      <c r="B22" s="53" t="s">
        <v>13</v>
      </c>
      <c r="C22" s="371">
        <v>2012</v>
      </c>
      <c r="D22" s="286">
        <f t="shared" si="0"/>
        <v>1531281063.269105</v>
      </c>
      <c r="E22" s="372">
        <v>907366122.11964834</v>
      </c>
      <c r="F22" s="373">
        <v>389112432.77000004</v>
      </c>
      <c r="G22" s="373">
        <v>76362434.129999995</v>
      </c>
      <c r="H22" s="373">
        <v>-69915.360000000102</v>
      </c>
      <c r="I22" s="373">
        <v>95159654.459999993</v>
      </c>
      <c r="J22" s="374"/>
    </row>
    <row r="23" spans="1:11" x14ac:dyDescent="0.2">
      <c r="A23" s="111">
        <f t="shared" si="1"/>
        <v>11</v>
      </c>
      <c r="B23" s="58" t="s">
        <v>384</v>
      </c>
      <c r="C23" s="371">
        <v>2012</v>
      </c>
      <c r="D23" s="286">
        <f t="shared" si="0"/>
        <v>1644342846.5021741</v>
      </c>
      <c r="E23" s="372">
        <v>927601587.7304852</v>
      </c>
      <c r="F23" s="373">
        <v>432488359.63000005</v>
      </c>
      <c r="G23" s="373">
        <v>98194091.150000006</v>
      </c>
      <c r="H23" s="373">
        <v>-69633.120000000112</v>
      </c>
      <c r="I23" s="373">
        <v>116900682.12999998</v>
      </c>
      <c r="J23" s="374"/>
    </row>
    <row r="24" spans="1:11" ht="13.5" thickBot="1" x14ac:dyDescent="0.25">
      <c r="A24" s="111">
        <f t="shared" si="1"/>
        <v>12</v>
      </c>
      <c r="B24" s="58" t="s">
        <v>14</v>
      </c>
      <c r="C24" s="371">
        <v>2012</v>
      </c>
      <c r="D24" s="286">
        <f t="shared" si="0"/>
        <v>1723549980.0324905</v>
      </c>
      <c r="E24" s="372">
        <v>954089312.59087086</v>
      </c>
      <c r="F24" s="373">
        <v>454923155.35999984</v>
      </c>
      <c r="G24" s="373">
        <v>120943056.34999998</v>
      </c>
      <c r="H24" s="373">
        <v>-69617.340000000084</v>
      </c>
      <c r="I24" s="373">
        <v>129304752.72000001</v>
      </c>
      <c r="J24" s="374"/>
    </row>
    <row r="25" spans="1:11" ht="13.5" thickBot="1" x14ac:dyDescent="0.25">
      <c r="A25" s="111">
        <f t="shared" si="1"/>
        <v>13</v>
      </c>
      <c r="B25" s="58" t="s">
        <v>6</v>
      </c>
      <c r="C25" s="371">
        <v>2012</v>
      </c>
      <c r="D25" s="375">
        <f t="shared" si="0"/>
        <v>1695912000.2639215</v>
      </c>
      <c r="E25" s="376">
        <v>786298777.73778844</v>
      </c>
      <c r="F25" s="377">
        <v>536220864.63999993</v>
      </c>
      <c r="G25" s="326">
        <v>149796433.14000002</v>
      </c>
      <c r="H25" s="326">
        <v>-69617.340000000084</v>
      </c>
      <c r="I25" s="326">
        <v>150902784.00999999</v>
      </c>
      <c r="J25" s="374"/>
    </row>
    <row r="26" spans="1:11" x14ac:dyDescent="0.2">
      <c r="A26" s="111">
        <f t="shared" si="1"/>
        <v>14</v>
      </c>
      <c r="B26" s="58"/>
      <c r="C26" s="378" t="s">
        <v>385</v>
      </c>
      <c r="D26" s="147">
        <f t="shared" ref="D26:I26" si="2">SUM(D13:D25)/13</f>
        <v>1414332165.0860105</v>
      </c>
      <c r="E26" s="148">
        <f t="shared" si="2"/>
        <v>924767364.61809039</v>
      </c>
      <c r="F26" s="379">
        <f t="shared" si="2"/>
        <v>305332333.45636183</v>
      </c>
      <c r="G26" s="148">
        <f t="shared" si="2"/>
        <v>67820899.70964402</v>
      </c>
      <c r="H26" s="148">
        <f t="shared" si="2"/>
        <v>-70159.231515233419</v>
      </c>
      <c r="I26" s="148">
        <f t="shared" si="2"/>
        <v>69555610.855488271</v>
      </c>
      <c r="J26" s="374"/>
      <c r="K26" s="374"/>
    </row>
    <row r="27" spans="1:11" x14ac:dyDescent="0.2">
      <c r="A27" s="111"/>
      <c r="B27" s="58"/>
      <c r="C27" s="378"/>
      <c r="D27" s="148"/>
      <c r="E27" s="148"/>
      <c r="F27" s="148"/>
      <c r="G27" s="148"/>
      <c r="H27" s="148"/>
      <c r="I27" s="374"/>
      <c r="J27" s="116"/>
      <c r="K27" s="374"/>
    </row>
    <row r="28" spans="1:11" x14ac:dyDescent="0.2">
      <c r="A28" s="111"/>
      <c r="B28" s="58"/>
      <c r="C28" s="378"/>
      <c r="D28" s="92" t="s">
        <v>386</v>
      </c>
      <c r="E28" s="92" t="s">
        <v>387</v>
      </c>
      <c r="F28" s="92" t="s">
        <v>388</v>
      </c>
      <c r="G28" s="92" t="s">
        <v>389</v>
      </c>
      <c r="H28" s="92" t="s">
        <v>390</v>
      </c>
      <c r="I28" s="92" t="s">
        <v>391</v>
      </c>
      <c r="J28" s="116"/>
      <c r="K28" s="374"/>
    </row>
    <row r="29" spans="1:11" x14ac:dyDescent="0.2">
      <c r="A29" s="111"/>
      <c r="B29" s="58"/>
      <c r="C29" s="378"/>
      <c r="E29" s="380" t="s">
        <v>392</v>
      </c>
      <c r="F29" s="380"/>
      <c r="G29" s="380"/>
      <c r="H29" s="148"/>
      <c r="I29" s="374"/>
      <c r="J29" s="116"/>
      <c r="K29" s="374"/>
    </row>
    <row r="30" spans="1:11" x14ac:dyDescent="0.2">
      <c r="B30" s="93"/>
      <c r="D30" s="93" t="s">
        <v>393</v>
      </c>
      <c r="E30" s="93" t="s">
        <v>394</v>
      </c>
      <c r="F30" s="380"/>
      <c r="G30" s="380"/>
      <c r="H30" s="148"/>
      <c r="I30" s="374"/>
      <c r="J30" s="116"/>
      <c r="K30" s="374"/>
    </row>
    <row r="31" spans="1:11" x14ac:dyDescent="0.2">
      <c r="B31" s="93"/>
      <c r="D31" s="93" t="s">
        <v>333</v>
      </c>
      <c r="E31" s="93" t="s">
        <v>333</v>
      </c>
      <c r="F31" s="380" t="s">
        <v>395</v>
      </c>
      <c r="G31" s="380" t="s">
        <v>396</v>
      </c>
      <c r="H31" s="148"/>
      <c r="I31" s="374"/>
      <c r="J31" s="374"/>
      <c r="K31" s="374"/>
    </row>
    <row r="32" spans="1:11" ht="13.5" thickBot="1" x14ac:dyDescent="0.25">
      <c r="A32" s="136" t="s">
        <v>296</v>
      </c>
      <c r="B32" s="57" t="s">
        <v>16</v>
      </c>
      <c r="C32" s="57" t="s">
        <v>17</v>
      </c>
      <c r="D32" s="95" t="s">
        <v>397</v>
      </c>
      <c r="E32" s="95" t="s">
        <v>397</v>
      </c>
      <c r="F32" s="381" t="s">
        <v>398</v>
      </c>
      <c r="G32" s="381" t="s">
        <v>399</v>
      </c>
      <c r="H32" s="382"/>
      <c r="I32" s="382"/>
      <c r="J32" s="374"/>
      <c r="K32" s="374"/>
    </row>
    <row r="33" spans="1:11" x14ac:dyDescent="0.2">
      <c r="A33" s="111">
        <f>+A26+1</f>
        <v>15</v>
      </c>
      <c r="B33" s="58" t="s">
        <v>6</v>
      </c>
      <c r="C33" s="371">
        <v>2011</v>
      </c>
      <c r="D33" s="114">
        <v>2893212.161289352</v>
      </c>
      <c r="E33" s="383">
        <v>10909337.88545125</v>
      </c>
      <c r="F33" s="373">
        <v>2139361.4</v>
      </c>
      <c r="G33" s="373">
        <v>3996853.0955536882</v>
      </c>
      <c r="H33" s="384" t="s">
        <v>400</v>
      </c>
      <c r="I33" s="384" t="s">
        <v>400</v>
      </c>
      <c r="J33" s="374"/>
      <c r="K33" s="374"/>
    </row>
    <row r="34" spans="1:11" x14ac:dyDescent="0.2">
      <c r="A34" s="111">
        <f t="shared" ref="A34:A46" si="3">A33+1</f>
        <v>16</v>
      </c>
      <c r="B34" s="58" t="s">
        <v>7</v>
      </c>
      <c r="C34" s="371">
        <v>2012</v>
      </c>
      <c r="D34" s="114">
        <v>3194615.2702153521</v>
      </c>
      <c r="E34" s="385">
        <v>11318417.440813251</v>
      </c>
      <c r="F34" s="373">
        <v>2346086.2157979999</v>
      </c>
      <c r="G34" s="373">
        <v>4262932.541916281</v>
      </c>
      <c r="H34" s="384" t="s">
        <v>400</v>
      </c>
      <c r="I34" s="384" t="s">
        <v>400</v>
      </c>
      <c r="J34" s="374"/>
      <c r="K34" s="374"/>
    </row>
    <row r="35" spans="1:11" x14ac:dyDescent="0.2">
      <c r="A35" s="111">
        <f t="shared" si="3"/>
        <v>17</v>
      </c>
      <c r="B35" s="53" t="s">
        <v>8</v>
      </c>
      <c r="C35" s="371">
        <v>2012</v>
      </c>
      <c r="D35" s="114">
        <v>3218341.6366033512</v>
      </c>
      <c r="E35" s="385">
        <v>13352523.505080251</v>
      </c>
      <c r="F35" s="373">
        <v>2725574.2728280001</v>
      </c>
      <c r="G35" s="373">
        <v>4622890.4276489476</v>
      </c>
      <c r="H35" s="384" t="s">
        <v>400</v>
      </c>
      <c r="I35" s="384" t="s">
        <v>400</v>
      </c>
      <c r="J35" s="374"/>
      <c r="K35" s="374"/>
    </row>
    <row r="36" spans="1:11" x14ac:dyDescent="0.2">
      <c r="A36" s="111">
        <f t="shared" si="3"/>
        <v>18</v>
      </c>
      <c r="B36" s="53" t="s">
        <v>18</v>
      </c>
      <c r="C36" s="371">
        <v>2012</v>
      </c>
      <c r="D36" s="114">
        <v>4583248.5366033521</v>
      </c>
      <c r="E36" s="385">
        <v>16365400.725080252</v>
      </c>
      <c r="F36" s="373">
        <v>3176197.2728279997</v>
      </c>
      <c r="G36" s="373">
        <v>5182783.9292840306</v>
      </c>
      <c r="H36" s="384" t="s">
        <v>400</v>
      </c>
      <c r="I36" s="384" t="s">
        <v>400</v>
      </c>
      <c r="J36" s="374"/>
      <c r="K36" s="374"/>
    </row>
    <row r="37" spans="1:11" x14ac:dyDescent="0.2">
      <c r="A37" s="111">
        <f t="shared" si="3"/>
        <v>19</v>
      </c>
      <c r="B37" s="58" t="s">
        <v>9</v>
      </c>
      <c r="C37" s="371">
        <v>2012</v>
      </c>
      <c r="D37" s="114">
        <v>4647809.7766033523</v>
      </c>
      <c r="E37" s="385">
        <v>26718751.665080249</v>
      </c>
      <c r="F37" s="373">
        <v>3894174.092828</v>
      </c>
      <c r="G37" s="373">
        <v>6044844.9610022744</v>
      </c>
      <c r="H37" s="384" t="s">
        <v>400</v>
      </c>
      <c r="I37" s="384" t="s">
        <v>400</v>
      </c>
      <c r="J37" s="374"/>
      <c r="K37" s="374"/>
    </row>
    <row r="38" spans="1:11" x14ac:dyDescent="0.2">
      <c r="A38" s="111">
        <f t="shared" si="3"/>
        <v>20</v>
      </c>
      <c r="B38" s="53" t="s">
        <v>10</v>
      </c>
      <c r="C38" s="371">
        <v>2012</v>
      </c>
      <c r="D38" s="114">
        <v>4836888.2300000004</v>
      </c>
      <c r="E38" s="385">
        <v>28611547.620000001</v>
      </c>
      <c r="F38" s="373">
        <v>4490719.5600000005</v>
      </c>
      <c r="G38" s="373">
        <v>6617273.0274080848</v>
      </c>
      <c r="H38" s="384" t="s">
        <v>400</v>
      </c>
      <c r="I38" s="384" t="s">
        <v>400</v>
      </c>
      <c r="J38" s="374"/>
      <c r="K38" s="374"/>
    </row>
    <row r="39" spans="1:11" x14ac:dyDescent="0.2">
      <c r="A39" s="111">
        <f t="shared" si="3"/>
        <v>21</v>
      </c>
      <c r="B39" s="53" t="s">
        <v>383</v>
      </c>
      <c r="C39" s="371">
        <v>2012</v>
      </c>
      <c r="D39" s="114">
        <v>5054397.24</v>
      </c>
      <c r="E39" s="385">
        <v>30260047</v>
      </c>
      <c r="F39" s="373">
        <v>5171904.41</v>
      </c>
      <c r="G39" s="373">
        <v>7304946.7137829456</v>
      </c>
      <c r="H39" s="384" t="s">
        <v>400</v>
      </c>
      <c r="I39" s="384" t="s">
        <v>400</v>
      </c>
      <c r="J39" s="374"/>
      <c r="K39" s="374"/>
    </row>
    <row r="40" spans="1:11" x14ac:dyDescent="0.2">
      <c r="A40" s="111">
        <f t="shared" si="3"/>
        <v>22</v>
      </c>
      <c r="B40" s="58" t="s">
        <v>11</v>
      </c>
      <c r="C40" s="371">
        <v>2012</v>
      </c>
      <c r="D40" s="114">
        <v>5307523.84</v>
      </c>
      <c r="E40" s="385">
        <v>32861671.609999999</v>
      </c>
      <c r="F40" s="373">
        <v>6131663.2600000007</v>
      </c>
      <c r="G40" s="373">
        <v>8061122.6802368183</v>
      </c>
      <c r="H40" s="384" t="s">
        <v>400</v>
      </c>
      <c r="I40" s="384" t="s">
        <v>400</v>
      </c>
      <c r="J40" s="374"/>
      <c r="K40" s="374"/>
    </row>
    <row r="41" spans="1:11" x14ac:dyDescent="0.2">
      <c r="A41" s="111">
        <f t="shared" si="3"/>
        <v>23</v>
      </c>
      <c r="B41" s="53" t="s">
        <v>12</v>
      </c>
      <c r="C41" s="371">
        <v>2012</v>
      </c>
      <c r="D41" s="114">
        <v>6404848.9900000002</v>
      </c>
      <c r="E41" s="385">
        <v>37721514.120000005</v>
      </c>
      <c r="F41" s="373">
        <v>7087425.4500000002</v>
      </c>
      <c r="G41" s="373">
        <v>8822480.690404065</v>
      </c>
      <c r="H41" s="384" t="s">
        <v>400</v>
      </c>
      <c r="I41" s="384" t="s">
        <v>400</v>
      </c>
      <c r="J41" s="374"/>
      <c r="K41" s="374"/>
    </row>
    <row r="42" spans="1:11" x14ac:dyDescent="0.2">
      <c r="A42" s="111">
        <f t="shared" si="3"/>
        <v>24</v>
      </c>
      <c r="B42" s="53" t="s">
        <v>13</v>
      </c>
      <c r="C42" s="371">
        <v>2012</v>
      </c>
      <c r="D42" s="114">
        <v>7929868.5099999998</v>
      </c>
      <c r="E42" s="385">
        <v>38915339.93</v>
      </c>
      <c r="F42" s="373">
        <v>7463084.5099999998</v>
      </c>
      <c r="G42" s="373">
        <v>9042042.1994562931</v>
      </c>
      <c r="H42" s="384" t="s">
        <v>400</v>
      </c>
      <c r="I42" s="384" t="s">
        <v>400</v>
      </c>
      <c r="J42" s="374"/>
      <c r="K42" s="374"/>
    </row>
    <row r="43" spans="1:11" x14ac:dyDescent="0.2">
      <c r="A43" s="111">
        <f t="shared" si="3"/>
        <v>25</v>
      </c>
      <c r="B43" s="58" t="s">
        <v>384</v>
      </c>
      <c r="C43" s="371">
        <v>2012</v>
      </c>
      <c r="D43" s="114">
        <v>9907332.0700000003</v>
      </c>
      <c r="E43" s="385">
        <v>40880203.140000001</v>
      </c>
      <c r="F43" s="373">
        <v>8414612.4700000007</v>
      </c>
      <c r="G43" s="373">
        <v>10025611.30168882</v>
      </c>
      <c r="H43" s="384" t="s">
        <v>400</v>
      </c>
      <c r="I43" s="384" t="s">
        <v>400</v>
      </c>
      <c r="J43" s="374"/>
      <c r="K43" s="374"/>
    </row>
    <row r="44" spans="1:11" x14ac:dyDescent="0.2">
      <c r="A44" s="111">
        <f t="shared" si="3"/>
        <v>26</v>
      </c>
      <c r="B44" s="58" t="s">
        <v>14</v>
      </c>
      <c r="C44" s="371">
        <v>2012</v>
      </c>
      <c r="D44" s="114">
        <v>1962269.87</v>
      </c>
      <c r="E44" s="385">
        <v>42548747.229999997</v>
      </c>
      <c r="F44" s="373">
        <v>9234289.25</v>
      </c>
      <c r="G44" s="373">
        <v>10614014.001619678</v>
      </c>
      <c r="H44" s="384" t="s">
        <v>400</v>
      </c>
      <c r="I44" s="384" t="s">
        <v>400</v>
      </c>
      <c r="J44" s="374"/>
      <c r="K44" s="374"/>
    </row>
    <row r="45" spans="1:11" ht="13.5" thickBot="1" x14ac:dyDescent="0.25">
      <c r="A45" s="111">
        <f t="shared" si="3"/>
        <v>27</v>
      </c>
      <c r="B45" s="58" t="s">
        <v>6</v>
      </c>
      <c r="C45" s="371">
        <v>2012</v>
      </c>
      <c r="D45" s="325">
        <v>3256743.08</v>
      </c>
      <c r="E45" s="386">
        <v>47651133.539999999</v>
      </c>
      <c r="F45" s="326">
        <v>10360459.710000001</v>
      </c>
      <c r="G45" s="326">
        <v>11494421.74613302</v>
      </c>
      <c r="H45" s="384" t="s">
        <v>400</v>
      </c>
      <c r="I45" s="384" t="s">
        <v>400</v>
      </c>
      <c r="J45" s="374"/>
      <c r="K45" s="374"/>
    </row>
    <row r="46" spans="1:11" x14ac:dyDescent="0.2">
      <c r="A46" s="111">
        <f t="shared" si="3"/>
        <v>28</v>
      </c>
      <c r="B46" s="58"/>
      <c r="C46" s="378" t="s">
        <v>385</v>
      </c>
      <c r="D46" s="148">
        <f>SUM(D33:D45)/13</f>
        <v>4861315.323947289</v>
      </c>
      <c r="E46" s="147">
        <f>SUM(E33:E45)/13</f>
        <v>29085741.185500406</v>
      </c>
      <c r="F46" s="148">
        <f>SUM(F33:F45)/13</f>
        <v>5587350.1441755388</v>
      </c>
      <c r="G46" s="148">
        <f>SUM(G33:G45)/13</f>
        <v>7391709.0243180729</v>
      </c>
      <c r="H46" s="387" t="s">
        <v>400</v>
      </c>
      <c r="I46" s="387" t="s">
        <v>400</v>
      </c>
      <c r="J46" s="374"/>
      <c r="K46" s="374"/>
    </row>
    <row r="48" spans="1:11" x14ac:dyDescent="0.2">
      <c r="B48" s="388" t="s">
        <v>401</v>
      </c>
    </row>
    <row r="49" spans="1:13" x14ac:dyDescent="0.2">
      <c r="B49" s="388"/>
      <c r="D49" s="389" t="s">
        <v>152</v>
      </c>
      <c r="E49" s="389" t="s">
        <v>153</v>
      </c>
      <c r="F49" s="389" t="s">
        <v>154</v>
      </c>
      <c r="G49" s="389" t="s">
        <v>155</v>
      </c>
      <c r="H49" s="389" t="s">
        <v>371</v>
      </c>
      <c r="I49" s="389" t="s">
        <v>372</v>
      </c>
      <c r="J49" s="389" t="s">
        <v>386</v>
      </c>
      <c r="K49" s="389" t="s">
        <v>387</v>
      </c>
    </row>
    <row r="50" spans="1:13" s="391" customFormat="1" x14ac:dyDescent="0.2">
      <c r="A50" s="390"/>
      <c r="D50" s="370" t="s">
        <v>402</v>
      </c>
      <c r="E50" s="370" t="s">
        <v>402</v>
      </c>
      <c r="F50" s="370" t="s">
        <v>402</v>
      </c>
      <c r="G50" s="370" t="s">
        <v>402</v>
      </c>
      <c r="H50" s="370" t="s">
        <v>402</v>
      </c>
      <c r="I50" s="370" t="s">
        <v>402</v>
      </c>
      <c r="J50" s="370" t="s">
        <v>402</v>
      </c>
      <c r="K50" s="370" t="s">
        <v>402</v>
      </c>
      <c r="L50" s="390"/>
    </row>
    <row r="51" spans="1:13" x14ac:dyDescent="0.2">
      <c r="G51" s="93" t="s">
        <v>403</v>
      </c>
      <c r="K51" s="392"/>
    </row>
    <row r="52" spans="1:13" x14ac:dyDescent="0.2">
      <c r="A52" s="392"/>
      <c r="B52" s="392"/>
      <c r="C52" s="392"/>
      <c r="D52" s="392" t="s">
        <v>404</v>
      </c>
      <c r="E52" s="392" t="s">
        <v>405</v>
      </c>
      <c r="F52" s="392" t="s">
        <v>406</v>
      </c>
      <c r="G52" s="392" t="s">
        <v>325</v>
      </c>
      <c r="H52" s="392" t="s">
        <v>407</v>
      </c>
      <c r="I52" s="393" t="s">
        <v>408</v>
      </c>
      <c r="J52" s="392" t="s">
        <v>404</v>
      </c>
      <c r="K52" s="392" t="s">
        <v>409</v>
      </c>
    </row>
    <row r="53" spans="1:13" x14ac:dyDescent="0.2">
      <c r="A53" s="136" t="s">
        <v>296</v>
      </c>
      <c r="B53" s="57" t="s">
        <v>16</v>
      </c>
      <c r="C53" s="57" t="s">
        <v>17</v>
      </c>
      <c r="D53" s="389" t="s">
        <v>410</v>
      </c>
      <c r="E53" s="389" t="s">
        <v>411</v>
      </c>
      <c r="F53" s="389" t="s">
        <v>412</v>
      </c>
      <c r="G53" s="389" t="s">
        <v>413</v>
      </c>
      <c r="H53" s="389" t="s">
        <v>414</v>
      </c>
      <c r="I53" s="389" t="s">
        <v>415</v>
      </c>
      <c r="J53" s="389" t="s">
        <v>416</v>
      </c>
      <c r="K53" s="95" t="s">
        <v>417</v>
      </c>
    </row>
    <row r="54" spans="1:13" x14ac:dyDescent="0.2">
      <c r="A54" s="111">
        <f>A46+1</f>
        <v>29</v>
      </c>
      <c r="B54" s="58" t="s">
        <v>6</v>
      </c>
      <c r="C54" s="371">
        <v>2012</v>
      </c>
      <c r="D54" s="394" t="s">
        <v>400</v>
      </c>
      <c r="E54" s="394" t="s">
        <v>400</v>
      </c>
      <c r="F54" s="394" t="s">
        <v>400</v>
      </c>
      <c r="G54" s="394" t="s">
        <v>400</v>
      </c>
      <c r="H54" s="394" t="s">
        <v>400</v>
      </c>
      <c r="I54" s="394" t="s">
        <v>400</v>
      </c>
      <c r="J54" s="286">
        <f>D25</f>
        <v>1695912000.2639215</v>
      </c>
      <c r="K54" s="394" t="s">
        <v>400</v>
      </c>
    </row>
    <row r="55" spans="1:13" x14ac:dyDescent="0.2">
      <c r="A55" s="111">
        <f t="shared" ref="A55:A79" si="4">A54+1</f>
        <v>30</v>
      </c>
      <c r="B55" s="58" t="s">
        <v>7</v>
      </c>
      <c r="C55" s="371">
        <v>2013</v>
      </c>
      <c r="D55" s="97">
        <f t="shared" ref="D55:K70" si="5">D89+D122+D153+D186+D217+D250+D281+D314+D345+D378</f>
        <v>50259003.649999999</v>
      </c>
      <c r="E55" s="97">
        <f t="shared" si="5"/>
        <v>3769425.2737499997</v>
      </c>
      <c r="F55" s="97">
        <f t="shared" si="5"/>
        <v>54028428.923749998</v>
      </c>
      <c r="G55" s="97">
        <f t="shared" si="5"/>
        <v>145129213.62000015</v>
      </c>
      <c r="H55" s="97">
        <f t="shared" si="5"/>
        <v>295022532.56000024</v>
      </c>
      <c r="I55" s="97">
        <f t="shared" si="5"/>
        <v>-11241998.920500007</v>
      </c>
      <c r="J55" s="286">
        <f t="shared" si="5"/>
        <v>1616053214.4881716</v>
      </c>
      <c r="K55" s="97">
        <f t="shared" si="5"/>
        <v>-79858785.77575013</v>
      </c>
      <c r="L55" s="395"/>
      <c r="M55" s="98"/>
    </row>
    <row r="56" spans="1:13" x14ac:dyDescent="0.2">
      <c r="A56" s="111">
        <f t="shared" si="4"/>
        <v>31</v>
      </c>
      <c r="B56" s="53" t="s">
        <v>8</v>
      </c>
      <c r="C56" s="371">
        <v>2013</v>
      </c>
      <c r="D56" s="97">
        <f t="shared" si="5"/>
        <v>97845551.450000003</v>
      </c>
      <c r="E56" s="97">
        <f t="shared" si="5"/>
        <v>7338416.3587500006</v>
      </c>
      <c r="F56" s="97">
        <f t="shared" si="5"/>
        <v>105183967.80875</v>
      </c>
      <c r="G56" s="97">
        <f t="shared" si="5"/>
        <v>8991321.8600000013</v>
      </c>
      <c r="H56" s="97">
        <f t="shared" si="5"/>
        <v>8991321.8600000013</v>
      </c>
      <c r="I56" s="97">
        <f t="shared" si="5"/>
        <v>0</v>
      </c>
      <c r="J56" s="286">
        <f t="shared" si="5"/>
        <v>1712245860.4369216</v>
      </c>
      <c r="K56" s="97">
        <f t="shared" si="5"/>
        <v>16333860.172999939</v>
      </c>
      <c r="L56" s="395"/>
      <c r="M56" s="98"/>
    </row>
    <row r="57" spans="1:13" x14ac:dyDescent="0.2">
      <c r="A57" s="111">
        <f t="shared" si="4"/>
        <v>32</v>
      </c>
      <c r="B57" s="53" t="s">
        <v>18</v>
      </c>
      <c r="C57" s="371">
        <v>2013</v>
      </c>
      <c r="D57" s="97">
        <f t="shared" si="5"/>
        <v>137210586.82077932</v>
      </c>
      <c r="E57" s="97">
        <f t="shared" si="5"/>
        <v>10290794.011558451</v>
      </c>
      <c r="F57" s="97">
        <f t="shared" si="5"/>
        <v>147501380.8323378</v>
      </c>
      <c r="G57" s="97">
        <f t="shared" si="5"/>
        <v>1822508.7900000007</v>
      </c>
      <c r="H57" s="97">
        <f t="shared" si="5"/>
        <v>1822508.7900000007</v>
      </c>
      <c r="I57" s="97">
        <f t="shared" si="5"/>
        <v>0</v>
      </c>
      <c r="J57" s="286">
        <f t="shared" si="5"/>
        <v>1857924732.4792593</v>
      </c>
      <c r="K57" s="97">
        <f t="shared" si="5"/>
        <v>162012732.21533784</v>
      </c>
      <c r="L57" s="395"/>
      <c r="M57" s="98"/>
    </row>
    <row r="58" spans="1:13" x14ac:dyDescent="0.2">
      <c r="A58" s="111">
        <f t="shared" si="4"/>
        <v>33</v>
      </c>
      <c r="B58" s="58" t="s">
        <v>9</v>
      </c>
      <c r="C58" s="371">
        <v>2013</v>
      </c>
      <c r="D58" s="97">
        <f t="shared" si="5"/>
        <v>120170692.39646509</v>
      </c>
      <c r="E58" s="97">
        <f t="shared" si="5"/>
        <v>9012801.9297348838</v>
      </c>
      <c r="F58" s="97">
        <f t="shared" si="5"/>
        <v>129183494.32619999</v>
      </c>
      <c r="G58" s="97">
        <f t="shared" si="5"/>
        <v>9184478.7328800019</v>
      </c>
      <c r="H58" s="97">
        <f t="shared" si="5"/>
        <v>9184478.7328800019</v>
      </c>
      <c r="I58" s="97">
        <f t="shared" si="5"/>
        <v>0</v>
      </c>
      <c r="J58" s="286">
        <f t="shared" si="5"/>
        <v>1977923748.0725791</v>
      </c>
      <c r="K58" s="97">
        <f t="shared" si="5"/>
        <v>282011747.80865782</v>
      </c>
      <c r="L58" s="395"/>
      <c r="M58" s="98"/>
    </row>
    <row r="59" spans="1:13" x14ac:dyDescent="0.2">
      <c r="A59" s="111">
        <f t="shared" si="4"/>
        <v>34</v>
      </c>
      <c r="B59" s="53" t="s">
        <v>10</v>
      </c>
      <c r="C59" s="371">
        <v>2013</v>
      </c>
      <c r="D59" s="97">
        <f t="shared" si="5"/>
        <v>78667165.994450778</v>
      </c>
      <c r="E59" s="97">
        <f t="shared" si="5"/>
        <v>5900037.4495838098</v>
      </c>
      <c r="F59" s="97">
        <f t="shared" si="5"/>
        <v>84567203.444034606</v>
      </c>
      <c r="G59" s="97">
        <f t="shared" si="5"/>
        <v>578960192.14760208</v>
      </c>
      <c r="H59" s="97">
        <f t="shared" si="5"/>
        <v>387475443.41800046</v>
      </c>
      <c r="I59" s="97">
        <f t="shared" si="5"/>
        <v>14361356.154720124</v>
      </c>
      <c r="J59" s="286">
        <f t="shared" si="5"/>
        <v>1469169403.2142913</v>
      </c>
      <c r="K59" s="97">
        <f t="shared" si="5"/>
        <v>-226742597.04962987</v>
      </c>
      <c r="L59" s="395"/>
      <c r="M59" s="98"/>
    </row>
    <row r="60" spans="1:13" x14ac:dyDescent="0.2">
      <c r="A60" s="111">
        <f t="shared" si="4"/>
        <v>35</v>
      </c>
      <c r="B60" s="53" t="s">
        <v>25</v>
      </c>
      <c r="C60" s="371">
        <v>2013</v>
      </c>
      <c r="D60" s="97">
        <f t="shared" si="5"/>
        <v>47889070.369030789</v>
      </c>
      <c r="E60" s="97">
        <f t="shared" si="5"/>
        <v>3591680.2776773092</v>
      </c>
      <c r="F60" s="97">
        <f t="shared" si="5"/>
        <v>51480750.646708108</v>
      </c>
      <c r="G60" s="97">
        <f t="shared" si="5"/>
        <v>304251817.18149155</v>
      </c>
      <c r="H60" s="97">
        <f t="shared" si="5"/>
        <v>209603011.40799999</v>
      </c>
      <c r="I60" s="97">
        <f t="shared" si="5"/>
        <v>7098660.4330118652</v>
      </c>
      <c r="J60" s="286">
        <f t="shared" si="5"/>
        <v>1209299676.2464962</v>
      </c>
      <c r="K60" s="97">
        <f t="shared" si="5"/>
        <v>-486612324.0174253</v>
      </c>
      <c r="L60" s="395"/>
      <c r="M60" s="98"/>
    </row>
    <row r="61" spans="1:13" x14ac:dyDescent="0.2">
      <c r="A61" s="111">
        <f t="shared" si="4"/>
        <v>36</v>
      </c>
      <c r="B61" s="58" t="s">
        <v>11</v>
      </c>
      <c r="C61" s="371">
        <v>2013</v>
      </c>
      <c r="D61" s="97">
        <f t="shared" si="5"/>
        <v>48918978.640821047</v>
      </c>
      <c r="E61" s="97">
        <f t="shared" si="5"/>
        <v>3668923.3980615786</v>
      </c>
      <c r="F61" s="97">
        <f t="shared" si="5"/>
        <v>52587902.038882621</v>
      </c>
      <c r="G61" s="97">
        <f t="shared" si="5"/>
        <v>194772406.72720945</v>
      </c>
      <c r="H61" s="97">
        <f t="shared" si="5"/>
        <v>125045980.76000008</v>
      </c>
      <c r="I61" s="97">
        <f t="shared" si="5"/>
        <v>5229481.9475407014</v>
      </c>
      <c r="J61" s="286">
        <f t="shared" si="5"/>
        <v>1061885689.6106287</v>
      </c>
      <c r="K61" s="97">
        <f t="shared" si="5"/>
        <v>-634026310.65329278</v>
      </c>
      <c r="L61" s="395"/>
      <c r="M61" s="98"/>
    </row>
    <row r="62" spans="1:13" x14ac:dyDescent="0.2">
      <c r="A62" s="111">
        <f t="shared" si="4"/>
        <v>37</v>
      </c>
      <c r="B62" s="53" t="s">
        <v>12</v>
      </c>
      <c r="C62" s="371">
        <v>2013</v>
      </c>
      <c r="D62" s="97">
        <f t="shared" si="5"/>
        <v>47989557.820040993</v>
      </c>
      <c r="E62" s="97">
        <f t="shared" si="5"/>
        <v>3599216.836503074</v>
      </c>
      <c r="F62" s="97">
        <f t="shared" si="5"/>
        <v>51588774.656544067</v>
      </c>
      <c r="G62" s="97">
        <f t="shared" si="5"/>
        <v>28114442.870483499</v>
      </c>
      <c r="H62" s="97">
        <f t="shared" si="5"/>
        <v>16238607.729999999</v>
      </c>
      <c r="I62" s="97">
        <f t="shared" si="5"/>
        <v>890687.63553626265</v>
      </c>
      <c r="J62" s="286">
        <f t="shared" si="5"/>
        <v>1084469333.7611527</v>
      </c>
      <c r="K62" s="97">
        <f t="shared" si="5"/>
        <v>-611442666.50276852</v>
      </c>
      <c r="L62" s="395"/>
      <c r="M62" s="98"/>
    </row>
    <row r="63" spans="1:13" x14ac:dyDescent="0.2">
      <c r="A63" s="111">
        <f t="shared" si="4"/>
        <v>38</v>
      </c>
      <c r="B63" s="53" t="s">
        <v>13</v>
      </c>
      <c r="C63" s="371">
        <v>2013</v>
      </c>
      <c r="D63" s="97">
        <f t="shared" si="5"/>
        <v>33202224.060384415</v>
      </c>
      <c r="E63" s="97">
        <f t="shared" si="5"/>
        <v>2490166.804528831</v>
      </c>
      <c r="F63" s="97">
        <f t="shared" si="5"/>
        <v>35692390.864913248</v>
      </c>
      <c r="G63" s="97">
        <f t="shared" si="5"/>
        <v>233905808.02632135</v>
      </c>
      <c r="H63" s="97">
        <f t="shared" si="5"/>
        <v>169831199.51800036</v>
      </c>
      <c r="I63" s="97">
        <f t="shared" si="5"/>
        <v>4805595.6381240739</v>
      </c>
      <c r="J63" s="286">
        <f t="shared" si="5"/>
        <v>881450320.96162057</v>
      </c>
      <c r="K63" s="97">
        <f t="shared" si="5"/>
        <v>-814461679.30230081</v>
      </c>
      <c r="L63" s="395"/>
      <c r="M63" s="98"/>
    </row>
    <row r="64" spans="1:13" x14ac:dyDescent="0.2">
      <c r="A64" s="111">
        <f t="shared" si="4"/>
        <v>39</v>
      </c>
      <c r="B64" s="58" t="s">
        <v>15</v>
      </c>
      <c r="C64" s="371">
        <v>2013</v>
      </c>
      <c r="D64" s="97">
        <f t="shared" si="5"/>
        <v>62411730.175784521</v>
      </c>
      <c r="E64" s="97">
        <f t="shared" si="5"/>
        <v>4680879.7631838387</v>
      </c>
      <c r="F64" s="97">
        <f t="shared" si="5"/>
        <v>67092609.93896836</v>
      </c>
      <c r="G64" s="97">
        <f t="shared" si="5"/>
        <v>12102385.514751052</v>
      </c>
      <c r="H64" s="97">
        <f t="shared" si="5"/>
        <v>2179499.4080000003</v>
      </c>
      <c r="I64" s="97">
        <f t="shared" si="5"/>
        <v>744216.4580063289</v>
      </c>
      <c r="J64" s="286">
        <f t="shared" si="5"/>
        <v>935696328.92783153</v>
      </c>
      <c r="K64" s="97">
        <f t="shared" si="5"/>
        <v>-760215671.33608973</v>
      </c>
      <c r="L64" s="395"/>
      <c r="M64" s="98"/>
    </row>
    <row r="65" spans="1:13" x14ac:dyDescent="0.2">
      <c r="A65" s="111">
        <f t="shared" si="4"/>
        <v>40</v>
      </c>
      <c r="B65" s="58" t="s">
        <v>14</v>
      </c>
      <c r="C65" s="371">
        <v>2013</v>
      </c>
      <c r="D65" s="97">
        <f t="shared" si="5"/>
        <v>31334271.283581872</v>
      </c>
      <c r="E65" s="97">
        <f t="shared" si="5"/>
        <v>2350070.3462686399</v>
      </c>
      <c r="F65" s="97">
        <f t="shared" si="5"/>
        <v>33684341.629850507</v>
      </c>
      <c r="G65" s="97">
        <f t="shared" si="5"/>
        <v>220194519.14900795</v>
      </c>
      <c r="H65" s="97">
        <f t="shared" si="5"/>
        <v>111091694.4000003</v>
      </c>
      <c r="I65" s="97">
        <f t="shared" si="5"/>
        <v>8182711.8561755735</v>
      </c>
      <c r="J65" s="286">
        <f t="shared" si="5"/>
        <v>741003439.55249858</v>
      </c>
      <c r="K65" s="97">
        <f t="shared" si="5"/>
        <v>-954908560.71142304</v>
      </c>
      <c r="L65" s="395"/>
      <c r="M65" s="98"/>
    </row>
    <row r="66" spans="1:13" x14ac:dyDescent="0.2">
      <c r="A66" s="111">
        <f t="shared" si="4"/>
        <v>41</v>
      </c>
      <c r="B66" s="58" t="s">
        <v>6</v>
      </c>
      <c r="C66" s="371">
        <v>2013</v>
      </c>
      <c r="D66" s="97">
        <f t="shared" si="5"/>
        <v>41863877.26929637</v>
      </c>
      <c r="E66" s="97">
        <f t="shared" si="5"/>
        <v>3139790.7951972284</v>
      </c>
      <c r="F66" s="97">
        <f t="shared" si="5"/>
        <v>45003668.064493604</v>
      </c>
      <c r="G66" s="97">
        <f t="shared" si="5"/>
        <v>157400691.6953938</v>
      </c>
      <c r="H66" s="97">
        <f t="shared" si="5"/>
        <v>85054377.630700752</v>
      </c>
      <c r="I66" s="97">
        <f t="shared" si="5"/>
        <v>5425973.5548519762</v>
      </c>
      <c r="J66" s="286">
        <f t="shared" si="5"/>
        <v>623180442.36674619</v>
      </c>
      <c r="K66" s="97">
        <f t="shared" si="5"/>
        <v>-1072731557.8971752</v>
      </c>
      <c r="L66" s="395"/>
      <c r="M66" s="98"/>
    </row>
    <row r="67" spans="1:13" x14ac:dyDescent="0.2">
      <c r="A67" s="111">
        <f t="shared" si="4"/>
        <v>42</v>
      </c>
      <c r="B67" s="58" t="s">
        <v>7</v>
      </c>
      <c r="C67" s="371">
        <v>2014</v>
      </c>
      <c r="D67" s="97">
        <f t="shared" si="5"/>
        <v>45999140.387414642</v>
      </c>
      <c r="E67" s="97">
        <f t="shared" si="5"/>
        <v>3449935.5290560983</v>
      </c>
      <c r="F67" s="97">
        <f t="shared" si="5"/>
        <v>49449075.916470751</v>
      </c>
      <c r="G67" s="97">
        <f t="shared" si="5"/>
        <v>14970553.580666667</v>
      </c>
      <c r="H67" s="97">
        <f t="shared" si="5"/>
        <v>311404.80000000005</v>
      </c>
      <c r="I67" s="97">
        <f t="shared" si="5"/>
        <v>1099436.1585500001</v>
      </c>
      <c r="J67" s="286">
        <f t="shared" si="5"/>
        <v>656559528.54400039</v>
      </c>
      <c r="K67" s="97">
        <f t="shared" si="5"/>
        <v>-1039352471.7199211</v>
      </c>
      <c r="L67" s="395"/>
      <c r="M67" s="98"/>
    </row>
    <row r="68" spans="1:13" x14ac:dyDescent="0.2">
      <c r="A68" s="111">
        <f t="shared" si="4"/>
        <v>43</v>
      </c>
      <c r="B68" s="53" t="s">
        <v>8</v>
      </c>
      <c r="C68" s="371">
        <v>2014</v>
      </c>
      <c r="D68" s="97">
        <f t="shared" si="5"/>
        <v>36570067.601348355</v>
      </c>
      <c r="E68" s="97">
        <f t="shared" si="5"/>
        <v>2742755.0701011266</v>
      </c>
      <c r="F68" s="97">
        <f t="shared" si="5"/>
        <v>39312822.671449475</v>
      </c>
      <c r="G68" s="97">
        <f t="shared" si="5"/>
        <v>11816256.540666668</v>
      </c>
      <c r="H68" s="97">
        <f t="shared" si="5"/>
        <v>370817.76</v>
      </c>
      <c r="I68" s="97">
        <f t="shared" si="5"/>
        <v>858407.90854999993</v>
      </c>
      <c r="J68" s="286">
        <f t="shared" si="5"/>
        <v>683197686.76623321</v>
      </c>
      <c r="K68" s="97">
        <f t="shared" si="5"/>
        <v>-1012714313.4976881</v>
      </c>
      <c r="L68" s="395"/>
      <c r="M68" s="98"/>
    </row>
    <row r="69" spans="1:13" x14ac:dyDescent="0.2">
      <c r="A69" s="111">
        <f t="shared" si="4"/>
        <v>44</v>
      </c>
      <c r="B69" s="53" t="s">
        <v>18</v>
      </c>
      <c r="C69" s="371">
        <v>2014</v>
      </c>
      <c r="D69" s="97">
        <f t="shared" si="5"/>
        <v>39162654.9566378</v>
      </c>
      <c r="E69" s="97">
        <f t="shared" si="5"/>
        <v>2937199.1217478346</v>
      </c>
      <c r="F69" s="97">
        <f t="shared" si="5"/>
        <v>42099854.078385629</v>
      </c>
      <c r="G69" s="97">
        <f t="shared" si="5"/>
        <v>11147138.220666667</v>
      </c>
      <c r="H69" s="97">
        <f t="shared" si="5"/>
        <v>437989.44</v>
      </c>
      <c r="I69" s="97">
        <f t="shared" si="5"/>
        <v>803186.15854999993</v>
      </c>
      <c r="J69" s="286">
        <f t="shared" si="5"/>
        <v>713347216.46540213</v>
      </c>
      <c r="K69" s="97">
        <f t="shared" si="5"/>
        <v>-982564783.79851925</v>
      </c>
      <c r="L69" s="395"/>
      <c r="M69" s="98"/>
    </row>
    <row r="70" spans="1:13" x14ac:dyDescent="0.2">
      <c r="A70" s="111">
        <f t="shared" si="4"/>
        <v>45</v>
      </c>
      <c r="B70" s="58" t="s">
        <v>9</v>
      </c>
      <c r="C70" s="371">
        <v>2014</v>
      </c>
      <c r="D70" s="97">
        <f t="shared" si="5"/>
        <v>19821080.316562839</v>
      </c>
      <c r="E70" s="97">
        <f t="shared" si="5"/>
        <v>1486581.0237422127</v>
      </c>
      <c r="F70" s="97">
        <f t="shared" si="5"/>
        <v>21307661.340305045</v>
      </c>
      <c r="G70" s="97">
        <f t="shared" si="5"/>
        <v>5752812.583333333</v>
      </c>
      <c r="H70" s="97">
        <f t="shared" si="5"/>
        <v>300000</v>
      </c>
      <c r="I70" s="97">
        <f t="shared" si="5"/>
        <v>408960.94374999998</v>
      </c>
      <c r="J70" s="286">
        <f t="shared" si="5"/>
        <v>728493104.27862406</v>
      </c>
      <c r="K70" s="97">
        <f t="shared" si="5"/>
        <v>-967418895.98529744</v>
      </c>
      <c r="L70" s="395"/>
      <c r="M70" s="98"/>
    </row>
    <row r="71" spans="1:13" x14ac:dyDescent="0.2">
      <c r="A71" s="111">
        <f t="shared" si="4"/>
        <v>46</v>
      </c>
      <c r="B71" s="53" t="s">
        <v>10</v>
      </c>
      <c r="C71" s="371">
        <v>2014</v>
      </c>
      <c r="D71" s="97">
        <f t="shared" ref="D71:K78" si="6">D105+D138+D169+D202+D233+D266+D297+D330+D361+D394</f>
        <v>21655143.71626246</v>
      </c>
      <c r="E71" s="97">
        <f t="shared" si="6"/>
        <v>1624135.7787196846</v>
      </c>
      <c r="F71" s="97">
        <f t="shared" si="6"/>
        <v>23279279.494982142</v>
      </c>
      <c r="G71" s="97">
        <f t="shared" si="6"/>
        <v>4127812.5833333335</v>
      </c>
      <c r="H71" s="97">
        <f t="shared" si="6"/>
        <v>300000</v>
      </c>
      <c r="I71" s="97">
        <f t="shared" si="6"/>
        <v>287085.94374999998</v>
      </c>
      <c r="J71" s="286">
        <f t="shared" si="6"/>
        <v>747357485.2465229</v>
      </c>
      <c r="K71" s="97">
        <f t="shared" si="6"/>
        <v>-948554515.0173986</v>
      </c>
      <c r="L71" s="395"/>
      <c r="M71" s="98"/>
    </row>
    <row r="72" spans="1:13" x14ac:dyDescent="0.2">
      <c r="A72" s="111">
        <f t="shared" si="4"/>
        <v>47</v>
      </c>
      <c r="B72" s="53" t="s">
        <v>25</v>
      </c>
      <c r="C72" s="371">
        <v>2014</v>
      </c>
      <c r="D72" s="97">
        <f t="shared" si="6"/>
        <v>18063520.056371771</v>
      </c>
      <c r="E72" s="97">
        <f t="shared" si="6"/>
        <v>1354764.0042278829</v>
      </c>
      <c r="F72" s="97">
        <f t="shared" si="6"/>
        <v>19418284.060599655</v>
      </c>
      <c r="G72" s="97">
        <f t="shared" si="6"/>
        <v>4018645.583333333</v>
      </c>
      <c r="H72" s="97">
        <f t="shared" si="6"/>
        <v>185633</v>
      </c>
      <c r="I72" s="97">
        <f t="shared" si="6"/>
        <v>287475.94374999998</v>
      </c>
      <c r="J72" s="286">
        <f t="shared" si="6"/>
        <v>762469647.78003931</v>
      </c>
      <c r="K72" s="97">
        <f t="shared" si="6"/>
        <v>-933442352.48388195</v>
      </c>
      <c r="L72" s="395"/>
      <c r="M72" s="98"/>
    </row>
    <row r="73" spans="1:13" x14ac:dyDescent="0.2">
      <c r="A73" s="111">
        <f t="shared" si="4"/>
        <v>48</v>
      </c>
      <c r="B73" s="58" t="s">
        <v>11</v>
      </c>
      <c r="C73" s="371">
        <v>2014</v>
      </c>
      <c r="D73" s="97">
        <f t="shared" si="6"/>
        <v>14605964.975094885</v>
      </c>
      <c r="E73" s="97">
        <f t="shared" si="6"/>
        <v>1095447.3731321164</v>
      </c>
      <c r="F73" s="97">
        <f t="shared" si="6"/>
        <v>15701412.348227002</v>
      </c>
      <c r="G73" s="97">
        <f t="shared" si="6"/>
        <v>1474429.9166666665</v>
      </c>
      <c r="H73" s="97">
        <f t="shared" si="6"/>
        <v>0</v>
      </c>
      <c r="I73" s="97">
        <f t="shared" si="6"/>
        <v>110582.24374999999</v>
      </c>
      <c r="J73" s="286">
        <f t="shared" si="6"/>
        <v>776586047.96784973</v>
      </c>
      <c r="K73" s="97">
        <f t="shared" si="6"/>
        <v>-919325952.29607153</v>
      </c>
      <c r="L73" s="395"/>
      <c r="M73" s="98"/>
    </row>
    <row r="74" spans="1:13" x14ac:dyDescent="0.2">
      <c r="A74" s="111">
        <f t="shared" si="4"/>
        <v>49</v>
      </c>
      <c r="B74" s="53" t="s">
        <v>12</v>
      </c>
      <c r="C74" s="371">
        <v>2014</v>
      </c>
      <c r="D74" s="97">
        <f t="shared" si="6"/>
        <v>16046375.940404885</v>
      </c>
      <c r="E74" s="97">
        <f t="shared" si="6"/>
        <v>1203478.1955303664</v>
      </c>
      <c r="F74" s="97">
        <f t="shared" si="6"/>
        <v>17249854.135935247</v>
      </c>
      <c r="G74" s="97">
        <f t="shared" si="6"/>
        <v>1434529.9166666665</v>
      </c>
      <c r="H74" s="97">
        <f t="shared" si="6"/>
        <v>0</v>
      </c>
      <c r="I74" s="97">
        <f t="shared" si="6"/>
        <v>107589.74374999999</v>
      </c>
      <c r="J74" s="286">
        <f t="shared" si="6"/>
        <v>792293782.44336843</v>
      </c>
      <c r="K74" s="97">
        <f t="shared" si="6"/>
        <v>-903618217.82055295</v>
      </c>
      <c r="L74" s="395"/>
      <c r="M74" s="98"/>
    </row>
    <row r="75" spans="1:13" x14ac:dyDescent="0.2">
      <c r="A75" s="111">
        <f t="shared" si="4"/>
        <v>50</v>
      </c>
      <c r="B75" s="53" t="s">
        <v>13</v>
      </c>
      <c r="C75" s="371">
        <v>2014</v>
      </c>
      <c r="D75" s="97">
        <f t="shared" si="6"/>
        <v>17864466.010955501</v>
      </c>
      <c r="E75" s="97">
        <f t="shared" si="6"/>
        <v>1339834.9508216626</v>
      </c>
      <c r="F75" s="97">
        <f t="shared" si="6"/>
        <v>19204300.961777166</v>
      </c>
      <c r="G75" s="97">
        <f t="shared" si="6"/>
        <v>1592479.9166666665</v>
      </c>
      <c r="H75" s="97">
        <f t="shared" si="6"/>
        <v>157950</v>
      </c>
      <c r="I75" s="97">
        <f t="shared" si="6"/>
        <v>107589.74374999999</v>
      </c>
      <c r="J75" s="286">
        <f t="shared" si="6"/>
        <v>809798013.74472904</v>
      </c>
      <c r="K75" s="396">
        <f t="shared" si="6"/>
        <v>-886113986.51919234</v>
      </c>
      <c r="L75" s="395"/>
      <c r="M75" s="98"/>
    </row>
    <row r="76" spans="1:13" x14ac:dyDescent="0.2">
      <c r="A76" s="111">
        <f t="shared" si="4"/>
        <v>51</v>
      </c>
      <c r="B76" s="53" t="s">
        <v>15</v>
      </c>
      <c r="C76" s="371">
        <v>2014</v>
      </c>
      <c r="D76" s="97">
        <f>D110+D143+D174+D207+D238+D271+D302+D335+D366</f>
        <v>17361939.494164977</v>
      </c>
      <c r="E76" s="97">
        <f t="shared" si="6"/>
        <v>1302145.4620623731</v>
      </c>
      <c r="F76" s="97">
        <f t="shared" si="6"/>
        <v>18664084.956227347</v>
      </c>
      <c r="G76" s="97">
        <f t="shared" si="6"/>
        <v>1431529.9166666665</v>
      </c>
      <c r="H76" s="97">
        <f t="shared" si="6"/>
        <v>0</v>
      </c>
      <c r="I76" s="97">
        <f t="shared" si="6"/>
        <v>107364.74374999999</v>
      </c>
      <c r="J76" s="286">
        <f t="shared" si="6"/>
        <v>826923204.04053986</v>
      </c>
      <c r="K76" s="396">
        <f t="shared" si="6"/>
        <v>-868988796.22338164</v>
      </c>
      <c r="L76" s="395"/>
      <c r="M76" s="98"/>
    </row>
    <row r="77" spans="1:13" x14ac:dyDescent="0.2">
      <c r="A77" s="111">
        <f t="shared" si="4"/>
        <v>52</v>
      </c>
      <c r="B77" s="53" t="s">
        <v>14</v>
      </c>
      <c r="C77" s="371">
        <v>2014</v>
      </c>
      <c r="D77" s="97">
        <f>D111+D144+D175+D208+D239+D272+D303+D336+D367</f>
        <v>14712574.19445779</v>
      </c>
      <c r="E77" s="97">
        <f t="shared" si="6"/>
        <v>1103443.0645843341</v>
      </c>
      <c r="F77" s="97">
        <f t="shared" si="6"/>
        <v>15816017.259042125</v>
      </c>
      <c r="G77" s="97">
        <f t="shared" si="6"/>
        <v>1589529.9166666665</v>
      </c>
      <c r="H77" s="97">
        <f t="shared" si="6"/>
        <v>0</v>
      </c>
      <c r="I77" s="97">
        <f t="shared" si="6"/>
        <v>119214.74374999999</v>
      </c>
      <c r="J77" s="286">
        <f t="shared" si="6"/>
        <v>841030476.63916528</v>
      </c>
      <c r="K77" s="396">
        <f t="shared" si="6"/>
        <v>-854881523.62475598</v>
      </c>
      <c r="L77" s="395"/>
      <c r="M77" s="98"/>
    </row>
    <row r="78" spans="1:13" x14ac:dyDescent="0.2">
      <c r="A78" s="111">
        <f t="shared" si="4"/>
        <v>53</v>
      </c>
      <c r="B78" s="53" t="s">
        <v>6</v>
      </c>
      <c r="C78" s="371">
        <v>2014</v>
      </c>
      <c r="D78" s="97">
        <f>D112+D145+D176+D209+D240+D273+D304+D337+D368+D401</f>
        <v>15478560.601462318</v>
      </c>
      <c r="E78" s="97">
        <f t="shared" si="6"/>
        <v>1160892.0451096739</v>
      </c>
      <c r="F78" s="97">
        <f t="shared" si="6"/>
        <v>16639452.646571992</v>
      </c>
      <c r="G78" s="97">
        <f t="shared" si="6"/>
        <v>60839963.86666666</v>
      </c>
      <c r="H78" s="97">
        <f t="shared" si="6"/>
        <v>15217238.950000001</v>
      </c>
      <c r="I78" s="97">
        <f t="shared" si="6"/>
        <v>3421704.3687499994</v>
      </c>
      <c r="J78" s="286">
        <f t="shared" si="6"/>
        <v>793408261.05032074</v>
      </c>
      <c r="K78" s="107">
        <f t="shared" si="6"/>
        <v>-902503739.21360075</v>
      </c>
      <c r="L78" s="397"/>
      <c r="M78" s="98"/>
    </row>
    <row r="79" spans="1:13" x14ac:dyDescent="0.2">
      <c r="A79" s="111">
        <f t="shared" si="4"/>
        <v>54</v>
      </c>
      <c r="C79" s="398" t="s">
        <v>418</v>
      </c>
      <c r="D79" s="106"/>
      <c r="E79" s="106"/>
      <c r="F79" s="106"/>
      <c r="G79" s="106"/>
      <c r="H79" s="106"/>
      <c r="I79" s="106"/>
      <c r="J79" s="106"/>
      <c r="K79" s="399">
        <f>AVERAGE(K66:K78)</f>
        <v>-945554700.46903348</v>
      </c>
      <c r="L79" s="400"/>
    </row>
    <row r="81" spans="1:11" x14ac:dyDescent="0.2">
      <c r="B81" s="388" t="s">
        <v>419</v>
      </c>
    </row>
    <row r="82" spans="1:11" s="401" customFormat="1" x14ac:dyDescent="0.2">
      <c r="B82" s="402" t="s">
        <v>420</v>
      </c>
      <c r="D82" s="737" t="s">
        <v>378</v>
      </c>
      <c r="E82" s="737"/>
    </row>
    <row r="83" spans="1:11" s="389" customFormat="1" x14ac:dyDescent="0.2">
      <c r="D83" s="389" t="s">
        <v>152</v>
      </c>
      <c r="E83" s="389" t="s">
        <v>153</v>
      </c>
      <c r="F83" s="389" t="s">
        <v>154</v>
      </c>
      <c r="G83" s="389" t="s">
        <v>155</v>
      </c>
      <c r="H83" s="389" t="s">
        <v>371</v>
      </c>
      <c r="I83" s="389" t="s">
        <v>372</v>
      </c>
      <c r="J83" s="389" t="s">
        <v>386</v>
      </c>
      <c r="K83" s="389" t="s">
        <v>387</v>
      </c>
    </row>
    <row r="84" spans="1:11" s="401" customFormat="1" ht="25.9" customHeight="1" x14ac:dyDescent="0.2">
      <c r="D84" s="403"/>
      <c r="E84" s="404" t="s">
        <v>421</v>
      </c>
      <c r="F84" s="394" t="s">
        <v>422</v>
      </c>
      <c r="G84" s="405"/>
      <c r="H84" s="403"/>
      <c r="I84" s="404" t="s">
        <v>423</v>
      </c>
      <c r="J84" s="404" t="s">
        <v>424</v>
      </c>
      <c r="K84" s="404" t="s">
        <v>425</v>
      </c>
    </row>
    <row r="85" spans="1:11" s="401" customFormat="1" x14ac:dyDescent="0.2">
      <c r="D85" s="403"/>
      <c r="E85" s="406"/>
      <c r="F85" s="406"/>
      <c r="G85" s="93" t="str">
        <f>G51</f>
        <v>Unloaded</v>
      </c>
      <c r="H85" s="403"/>
      <c r="I85" s="406"/>
      <c r="J85" s="406"/>
      <c r="K85" s="93"/>
    </row>
    <row r="86" spans="1:11" s="392" customFormat="1" x14ac:dyDescent="0.2">
      <c r="D86" s="392" t="str">
        <f>D$52</f>
        <v>Forecast</v>
      </c>
      <c r="E86" s="392" t="str">
        <f>E$52</f>
        <v>Corporate</v>
      </c>
      <c r="F86" s="392" t="str">
        <f>F$52</f>
        <v xml:space="preserve">Total </v>
      </c>
      <c r="G86" s="93" t="str">
        <f>G52</f>
        <v>Total</v>
      </c>
      <c r="H86" s="392" t="str">
        <f>H$52</f>
        <v>Prior Period</v>
      </c>
      <c r="I86" s="392" t="str">
        <f>I$52</f>
        <v>Over Heads</v>
      </c>
      <c r="J86" s="392" t="str">
        <f>J$52</f>
        <v>Forecast</v>
      </c>
      <c r="K86" s="93" t="str">
        <f>K$52</f>
        <v>Forecast Period</v>
      </c>
    </row>
    <row r="87" spans="1:11" s="401" customFormat="1" x14ac:dyDescent="0.2">
      <c r="A87" s="136" t="s">
        <v>296</v>
      </c>
      <c r="B87" s="57" t="s">
        <v>16</v>
      </c>
      <c r="C87" s="57" t="s">
        <v>17</v>
      </c>
      <c r="D87" s="389" t="str">
        <f>D$53</f>
        <v>Expenditures</v>
      </c>
      <c r="E87" s="389" t="str">
        <f>E$53</f>
        <v>Overheads</v>
      </c>
      <c r="F87" s="389" t="str">
        <f>F$53</f>
        <v>CWIP Exp</v>
      </c>
      <c r="G87" s="95" t="str">
        <f>G53</f>
        <v>Plant Adds</v>
      </c>
      <c r="H87" s="389" t="str">
        <f>H$53</f>
        <v>CWIP Closed</v>
      </c>
      <c r="I87" s="389" t="str">
        <f>I$53</f>
        <v>Closed to PIS</v>
      </c>
      <c r="J87" s="389" t="str">
        <f>J$53</f>
        <v>Period CWIP</v>
      </c>
      <c r="K87" s="389" t="str">
        <f>K$53</f>
        <v>Incremental CWIP</v>
      </c>
    </row>
    <row r="88" spans="1:11" s="401" customFormat="1" x14ac:dyDescent="0.2">
      <c r="A88" s="111">
        <f>A79+1</f>
        <v>55</v>
      </c>
      <c r="B88" s="58" t="s">
        <v>6</v>
      </c>
      <c r="C88" s="371">
        <v>2012</v>
      </c>
      <c r="D88" s="394" t="s">
        <v>400</v>
      </c>
      <c r="E88" s="394" t="s">
        <v>400</v>
      </c>
      <c r="F88" s="394" t="s">
        <v>400</v>
      </c>
      <c r="G88" s="394" t="s">
        <v>400</v>
      </c>
      <c r="H88" s="394" t="s">
        <v>400</v>
      </c>
      <c r="I88" s="394" t="s">
        <v>400</v>
      </c>
      <c r="J88" s="97">
        <f>E25</f>
        <v>786298777.73778844</v>
      </c>
      <c r="K88" s="394" t="s">
        <v>400</v>
      </c>
    </row>
    <row r="89" spans="1:11" s="401" customFormat="1" x14ac:dyDescent="0.2">
      <c r="A89" s="111">
        <f t="shared" ref="A89:A113" si="7">A88+1</f>
        <v>56</v>
      </c>
      <c r="B89" s="58" t="s">
        <v>7</v>
      </c>
      <c r="C89" s="371">
        <v>2013</v>
      </c>
      <c r="D89" s="114">
        <v>9701433.4199999962</v>
      </c>
      <c r="E89" s="97">
        <v>727607.50649999967</v>
      </c>
      <c r="F89" s="134">
        <f t="shared" ref="F89:F112" si="8">E89+D89</f>
        <v>10429040.926499996</v>
      </c>
      <c r="G89" s="373">
        <v>145265213.62000015</v>
      </c>
      <c r="H89" s="373">
        <v>295158532.56000024</v>
      </c>
      <c r="I89" s="97">
        <v>-11241998.920500007</v>
      </c>
      <c r="J89" s="97">
        <f t="shared" ref="J89:J112" si="9">J88+F89-G89-I89</f>
        <v>662704603.96478832</v>
      </c>
      <c r="K89" s="97">
        <f t="shared" ref="K89:K112" si="10">J89-$J$88</f>
        <v>-123594173.77300012</v>
      </c>
    </row>
    <row r="90" spans="1:11" s="401" customFormat="1" x14ac:dyDescent="0.2">
      <c r="A90" s="111">
        <f t="shared" si="7"/>
        <v>57</v>
      </c>
      <c r="B90" s="53" t="s">
        <v>8</v>
      </c>
      <c r="C90" s="371">
        <v>2013</v>
      </c>
      <c r="D90" s="114">
        <v>21194439.509999998</v>
      </c>
      <c r="E90" s="97">
        <v>1589582.9632499998</v>
      </c>
      <c r="F90" s="97">
        <f t="shared" si="8"/>
        <v>22784022.473249998</v>
      </c>
      <c r="G90" s="373">
        <v>8901321.8600000013</v>
      </c>
      <c r="H90" s="373">
        <v>8901321.8600000013</v>
      </c>
      <c r="I90" s="97">
        <v>0</v>
      </c>
      <c r="J90" s="97">
        <f t="shared" si="9"/>
        <v>676587304.57803833</v>
      </c>
      <c r="K90" s="97">
        <f t="shared" si="10"/>
        <v>-109711473.1597501</v>
      </c>
    </row>
    <row r="91" spans="1:11" s="401" customFormat="1" x14ac:dyDescent="0.2">
      <c r="A91" s="111">
        <f t="shared" si="7"/>
        <v>58</v>
      </c>
      <c r="B91" s="53" t="s">
        <v>18</v>
      </c>
      <c r="C91" s="371">
        <v>2013</v>
      </c>
      <c r="D91" s="114">
        <v>24702735.060779326</v>
      </c>
      <c r="E91" s="97">
        <v>1852705.1295584494</v>
      </c>
      <c r="F91" s="97">
        <f t="shared" si="8"/>
        <v>26555440.190337773</v>
      </c>
      <c r="G91" s="373">
        <v>1810508.7900000007</v>
      </c>
      <c r="H91" s="373">
        <v>1810508.7900000007</v>
      </c>
      <c r="I91" s="134">
        <v>0</v>
      </c>
      <c r="J91" s="97">
        <f t="shared" si="9"/>
        <v>701332235.97837615</v>
      </c>
      <c r="K91" s="97">
        <f t="shared" si="10"/>
        <v>-84966541.759412289</v>
      </c>
    </row>
    <row r="92" spans="1:11" s="401" customFormat="1" x14ac:dyDescent="0.2">
      <c r="A92" s="111">
        <f t="shared" si="7"/>
        <v>59</v>
      </c>
      <c r="B92" s="58" t="s">
        <v>9</v>
      </c>
      <c r="C92" s="371">
        <v>2013</v>
      </c>
      <c r="D92" s="114">
        <v>29500491.529659335</v>
      </c>
      <c r="E92" s="97">
        <v>2212536.8647244498</v>
      </c>
      <c r="F92" s="97">
        <f t="shared" si="8"/>
        <v>31713028.394383784</v>
      </c>
      <c r="G92" s="373">
        <v>8804478.7328800019</v>
      </c>
      <c r="H92" s="373">
        <v>8804478.7328800019</v>
      </c>
      <c r="I92" s="134">
        <v>0</v>
      </c>
      <c r="J92" s="97">
        <f t="shared" si="9"/>
        <v>724240785.63987994</v>
      </c>
      <c r="K92" s="97">
        <f t="shared" si="10"/>
        <v>-62057992.097908497</v>
      </c>
    </row>
    <row r="93" spans="1:11" s="401" customFormat="1" x14ac:dyDescent="0.2">
      <c r="A93" s="111">
        <f t="shared" si="7"/>
        <v>60</v>
      </c>
      <c r="B93" s="53" t="s">
        <v>10</v>
      </c>
      <c r="C93" s="371">
        <v>2013</v>
      </c>
      <c r="D93" s="114">
        <v>22419669.438779328</v>
      </c>
      <c r="E93" s="97">
        <v>1681475.2079084495</v>
      </c>
      <c r="F93" s="97">
        <f t="shared" si="8"/>
        <v>24101144.646687776</v>
      </c>
      <c r="G93" s="373">
        <v>2663544.2279999997</v>
      </c>
      <c r="H93" s="373">
        <v>2445729.108</v>
      </c>
      <c r="I93" s="134">
        <v>16336.133999999973</v>
      </c>
      <c r="J93" s="97">
        <f t="shared" si="9"/>
        <v>745662049.9245677</v>
      </c>
      <c r="K93" s="97">
        <f t="shared" si="10"/>
        <v>-40636727.813220739</v>
      </c>
    </row>
    <row r="94" spans="1:11" s="401" customFormat="1" x14ac:dyDescent="0.2">
      <c r="A94" s="111">
        <f t="shared" si="7"/>
        <v>61</v>
      </c>
      <c r="B94" s="53" t="s">
        <v>25</v>
      </c>
      <c r="C94" s="371">
        <v>2013</v>
      </c>
      <c r="D94" s="114">
        <v>12557096.83877933</v>
      </c>
      <c r="E94" s="97">
        <v>941782.26290844975</v>
      </c>
      <c r="F94" s="97">
        <f t="shared" si="8"/>
        <v>13498879.10168778</v>
      </c>
      <c r="G94" s="373">
        <v>28024666.607999995</v>
      </c>
      <c r="H94" s="373">
        <v>26868820.717999995</v>
      </c>
      <c r="I94" s="134">
        <v>86688.441750000042</v>
      </c>
      <c r="J94" s="97">
        <f t="shared" si="9"/>
        <v>731049573.9765054</v>
      </c>
      <c r="K94" s="97">
        <f t="shared" si="10"/>
        <v>-55249203.76128304</v>
      </c>
    </row>
    <row r="95" spans="1:11" s="401" customFormat="1" x14ac:dyDescent="0.2">
      <c r="A95" s="111">
        <f t="shared" si="7"/>
        <v>62</v>
      </c>
      <c r="B95" s="58" t="s">
        <v>11</v>
      </c>
      <c r="C95" s="371">
        <v>2013</v>
      </c>
      <c r="D95" s="114">
        <v>17914539.280779328</v>
      </c>
      <c r="E95" s="97">
        <v>1343590.4460584496</v>
      </c>
      <c r="F95" s="97">
        <f t="shared" si="8"/>
        <v>19258129.726837777</v>
      </c>
      <c r="G95" s="373">
        <v>1493955.0000000002</v>
      </c>
      <c r="H95" s="373">
        <v>1243695.0000000002</v>
      </c>
      <c r="I95" s="134">
        <v>18769.5</v>
      </c>
      <c r="J95" s="97">
        <f t="shared" si="9"/>
        <v>748794979.20334315</v>
      </c>
      <c r="K95" s="97">
        <f t="shared" si="10"/>
        <v>-37503798.534445286</v>
      </c>
    </row>
    <row r="96" spans="1:11" s="401" customFormat="1" x14ac:dyDescent="0.2">
      <c r="A96" s="111">
        <f t="shared" si="7"/>
        <v>63</v>
      </c>
      <c r="B96" s="53" t="s">
        <v>12</v>
      </c>
      <c r="C96" s="371">
        <v>2013</v>
      </c>
      <c r="D96" s="114">
        <v>23603880.320779331</v>
      </c>
      <c r="E96" s="97">
        <v>1770291.0240584498</v>
      </c>
      <c r="F96" s="97">
        <f t="shared" si="8"/>
        <v>25374171.344837781</v>
      </c>
      <c r="G96" s="373">
        <v>1721976.7200000002</v>
      </c>
      <c r="H96" s="373">
        <v>1491336.72</v>
      </c>
      <c r="I96" s="134">
        <v>17298.000000000018</v>
      </c>
      <c r="J96" s="97">
        <f t="shared" si="9"/>
        <v>772429875.82818091</v>
      </c>
      <c r="K96" s="97">
        <f t="shared" si="10"/>
        <v>-13868901.90960753</v>
      </c>
    </row>
    <row r="97" spans="1:11" s="401" customFormat="1" x14ac:dyDescent="0.2">
      <c r="A97" s="111">
        <f t="shared" si="7"/>
        <v>64</v>
      </c>
      <c r="B97" s="53" t="s">
        <v>13</v>
      </c>
      <c r="C97" s="371">
        <v>2013</v>
      </c>
      <c r="D97" s="114">
        <v>15876401.24877933</v>
      </c>
      <c r="E97" s="97">
        <v>1190730.0936584498</v>
      </c>
      <c r="F97" s="97">
        <f t="shared" si="8"/>
        <v>17067131.342437781</v>
      </c>
      <c r="G97" s="373">
        <v>2239719.4079999998</v>
      </c>
      <c r="H97" s="373">
        <v>2047299.4080000001</v>
      </c>
      <c r="I97" s="134">
        <v>14431.499999999982</v>
      </c>
      <c r="J97" s="97">
        <f t="shared" si="9"/>
        <v>787242856.26261866</v>
      </c>
      <c r="K97" s="97">
        <f t="shared" si="10"/>
        <v>944078.52483022213</v>
      </c>
    </row>
    <row r="98" spans="1:11" s="401" customFormat="1" x14ac:dyDescent="0.2">
      <c r="A98" s="111">
        <f t="shared" si="7"/>
        <v>65</v>
      </c>
      <c r="B98" s="58" t="s">
        <v>15</v>
      </c>
      <c r="C98" s="371">
        <v>2013</v>
      </c>
      <c r="D98" s="114">
        <v>47249610.188779317</v>
      </c>
      <c r="E98" s="97">
        <v>3543720.7641584487</v>
      </c>
      <c r="F98" s="97">
        <f t="shared" si="8"/>
        <v>50793330.952937767</v>
      </c>
      <c r="G98" s="373">
        <v>2373099.4079999998</v>
      </c>
      <c r="H98" s="373">
        <v>2179499.4080000003</v>
      </c>
      <c r="I98" s="97">
        <v>14519.999999999965</v>
      </c>
      <c r="J98" s="97">
        <f t="shared" si="9"/>
        <v>835648567.80755639</v>
      </c>
      <c r="K98" s="97">
        <f t="shared" si="10"/>
        <v>49349790.069767952</v>
      </c>
    </row>
    <row r="99" spans="1:11" s="401" customFormat="1" x14ac:dyDescent="0.2">
      <c r="A99" s="111">
        <f t="shared" si="7"/>
        <v>66</v>
      </c>
      <c r="B99" s="58" t="s">
        <v>14</v>
      </c>
      <c r="C99" s="371">
        <v>2013</v>
      </c>
      <c r="D99" s="114">
        <v>17858992.377779327</v>
      </c>
      <c r="E99" s="97">
        <v>1339424.4283334494</v>
      </c>
      <c r="F99" s="97">
        <f t="shared" si="8"/>
        <v>19198416.806112777</v>
      </c>
      <c r="G99" s="373">
        <v>211254694.74450725</v>
      </c>
      <c r="H99" s="373">
        <v>111091694.4000003</v>
      </c>
      <c r="I99" s="97">
        <v>7512225.0258380212</v>
      </c>
      <c r="J99" s="97">
        <f t="shared" si="9"/>
        <v>636080064.84332383</v>
      </c>
      <c r="K99" s="97">
        <f t="shared" si="10"/>
        <v>-150218712.89446461</v>
      </c>
    </row>
    <row r="100" spans="1:11" s="401" customFormat="1" x14ac:dyDescent="0.2">
      <c r="A100" s="111">
        <f t="shared" si="7"/>
        <v>67</v>
      </c>
      <c r="B100" s="58" t="s">
        <v>6</v>
      </c>
      <c r="C100" s="371">
        <v>2013</v>
      </c>
      <c r="D100" s="114">
        <v>-2465279.3676325437</v>
      </c>
      <c r="E100" s="97">
        <v>-184895.95257244076</v>
      </c>
      <c r="F100" s="97">
        <f t="shared" si="8"/>
        <v>-2650175.3202049844</v>
      </c>
      <c r="G100" s="373">
        <v>76443490.521450773</v>
      </c>
      <c r="H100" s="373">
        <v>71757044.600700766</v>
      </c>
      <c r="I100" s="134">
        <v>351483.4440562505</v>
      </c>
      <c r="J100" s="97">
        <f t="shared" si="9"/>
        <v>556634915.55761182</v>
      </c>
      <c r="K100" s="97">
        <f t="shared" si="10"/>
        <v>-229663862.18017662</v>
      </c>
    </row>
    <row r="101" spans="1:11" s="401" customFormat="1" x14ac:dyDescent="0.2">
      <c r="A101" s="111">
        <f t="shared" si="7"/>
        <v>68</v>
      </c>
      <c r="B101" s="58" t="s">
        <v>7</v>
      </c>
      <c r="C101" s="371">
        <v>2014</v>
      </c>
      <c r="D101" s="114">
        <v>28100958.044000003</v>
      </c>
      <c r="E101" s="97">
        <v>2107571.8533000001</v>
      </c>
      <c r="F101" s="97">
        <f t="shared" si="8"/>
        <v>30208529.897300005</v>
      </c>
      <c r="G101" s="373">
        <v>6949482.9140000008</v>
      </c>
      <c r="H101" s="373">
        <v>311404.80000000005</v>
      </c>
      <c r="I101" s="134">
        <v>497855.85855000006</v>
      </c>
      <c r="J101" s="97">
        <f t="shared" si="9"/>
        <v>579396106.68236184</v>
      </c>
      <c r="K101" s="97">
        <f t="shared" si="10"/>
        <v>-206902671.0554266</v>
      </c>
    </row>
    <row r="102" spans="1:11" s="401" customFormat="1" x14ac:dyDescent="0.2">
      <c r="A102" s="111">
        <f t="shared" si="7"/>
        <v>69</v>
      </c>
      <c r="B102" s="53" t="s">
        <v>8</v>
      </c>
      <c r="C102" s="371">
        <v>2014</v>
      </c>
      <c r="D102" s="114">
        <v>30861163.364000004</v>
      </c>
      <c r="E102" s="97">
        <v>2314587.2523000003</v>
      </c>
      <c r="F102" s="97">
        <f t="shared" si="8"/>
        <v>33175750.616300005</v>
      </c>
      <c r="G102" s="373">
        <v>7966495.8740000008</v>
      </c>
      <c r="H102" s="373">
        <v>370817.76</v>
      </c>
      <c r="I102" s="134">
        <v>569675.85855</v>
      </c>
      <c r="J102" s="97">
        <f t="shared" si="9"/>
        <v>604035685.56611192</v>
      </c>
      <c r="K102" s="97">
        <f t="shared" si="10"/>
        <v>-182263092.17167652</v>
      </c>
    </row>
    <row r="103" spans="1:11" s="401" customFormat="1" x14ac:dyDescent="0.2">
      <c r="A103" s="111">
        <f t="shared" si="7"/>
        <v>70</v>
      </c>
      <c r="B103" s="53" t="s">
        <v>18</v>
      </c>
      <c r="C103" s="371">
        <v>2014</v>
      </c>
      <c r="D103" s="114">
        <v>32147195.084000003</v>
      </c>
      <c r="E103" s="97">
        <v>2411039.6313</v>
      </c>
      <c r="F103" s="97">
        <f t="shared" si="8"/>
        <v>34558234.715300001</v>
      </c>
      <c r="G103" s="373">
        <v>7646067.5540000014</v>
      </c>
      <c r="H103" s="373">
        <v>437989.44</v>
      </c>
      <c r="I103" s="134">
        <v>540605.85855</v>
      </c>
      <c r="J103" s="97">
        <f t="shared" si="9"/>
        <v>630407246.86886191</v>
      </c>
      <c r="K103" s="97">
        <f t="shared" si="10"/>
        <v>-155891530.86892653</v>
      </c>
    </row>
    <row r="104" spans="1:11" s="401" customFormat="1" x14ac:dyDescent="0.2">
      <c r="A104" s="111">
        <f t="shared" si="7"/>
        <v>71</v>
      </c>
      <c r="B104" s="58" t="s">
        <v>9</v>
      </c>
      <c r="C104" s="371">
        <v>2014</v>
      </c>
      <c r="D104" s="114">
        <v>14289165.646666666</v>
      </c>
      <c r="E104" s="97">
        <v>1071687.4235</v>
      </c>
      <c r="F104" s="97">
        <f t="shared" si="8"/>
        <v>15360853.070166666</v>
      </c>
      <c r="G104" s="373">
        <v>2257141.9166666665</v>
      </c>
      <c r="H104" s="373">
        <v>300000</v>
      </c>
      <c r="I104" s="134">
        <v>146785.64374999999</v>
      </c>
      <c r="J104" s="97">
        <f t="shared" si="9"/>
        <v>643364172.37861204</v>
      </c>
      <c r="K104" s="97">
        <f t="shared" si="10"/>
        <v>-142934605.3591764</v>
      </c>
    </row>
    <row r="105" spans="1:11" s="401" customFormat="1" x14ac:dyDescent="0.2">
      <c r="A105" s="111">
        <f t="shared" si="7"/>
        <v>72</v>
      </c>
      <c r="B105" s="53" t="s">
        <v>10</v>
      </c>
      <c r="C105" s="371">
        <v>2014</v>
      </c>
      <c r="D105" s="114">
        <v>17162740.24666667</v>
      </c>
      <c r="E105" s="97">
        <v>1287205.5185000002</v>
      </c>
      <c r="F105" s="97">
        <f t="shared" si="8"/>
        <v>18449945.76516667</v>
      </c>
      <c r="G105" s="373">
        <v>1687141.9166666667</v>
      </c>
      <c r="H105" s="373">
        <v>300000</v>
      </c>
      <c r="I105" s="134">
        <v>104035.64375</v>
      </c>
      <c r="J105" s="97">
        <f t="shared" si="9"/>
        <v>660022940.5833621</v>
      </c>
      <c r="K105" s="97">
        <f t="shared" si="10"/>
        <v>-126275837.15442634</v>
      </c>
    </row>
    <row r="106" spans="1:11" s="401" customFormat="1" x14ac:dyDescent="0.2">
      <c r="A106" s="111">
        <f t="shared" si="7"/>
        <v>73</v>
      </c>
      <c r="B106" s="53" t="s">
        <v>25</v>
      </c>
      <c r="C106" s="371">
        <v>2014</v>
      </c>
      <c r="D106" s="114">
        <v>13558517.046666665</v>
      </c>
      <c r="E106" s="97">
        <v>1016888.7784999998</v>
      </c>
      <c r="F106" s="97">
        <f t="shared" si="8"/>
        <v>14575405.825166665</v>
      </c>
      <c r="G106" s="373">
        <v>1579974.9166666665</v>
      </c>
      <c r="H106" s="373">
        <v>185633</v>
      </c>
      <c r="I106" s="97">
        <v>104575.64374999999</v>
      </c>
      <c r="J106" s="97">
        <f t="shared" si="9"/>
        <v>672913795.84811223</v>
      </c>
      <c r="K106" s="97">
        <f t="shared" si="10"/>
        <v>-113384981.88967621</v>
      </c>
    </row>
    <row r="107" spans="1:11" s="401" customFormat="1" x14ac:dyDescent="0.2">
      <c r="A107" s="111">
        <f t="shared" si="7"/>
        <v>74</v>
      </c>
      <c r="B107" s="58" t="s">
        <v>11</v>
      </c>
      <c r="C107" s="371">
        <v>2014</v>
      </c>
      <c r="D107" s="114">
        <v>11670587.046666667</v>
      </c>
      <c r="E107" s="97">
        <v>875294.02850000001</v>
      </c>
      <c r="F107" s="97">
        <f t="shared" si="8"/>
        <v>12545881.075166667</v>
      </c>
      <c r="G107" s="373">
        <v>900429.91666666663</v>
      </c>
      <c r="H107" s="373">
        <v>0</v>
      </c>
      <c r="I107" s="97">
        <v>67532.243749999994</v>
      </c>
      <c r="J107" s="97">
        <f t="shared" si="9"/>
        <v>684491714.76286232</v>
      </c>
      <c r="K107" s="97">
        <f t="shared" si="10"/>
        <v>-101807062.97492611</v>
      </c>
    </row>
    <row r="108" spans="1:11" s="401" customFormat="1" x14ac:dyDescent="0.2">
      <c r="A108" s="111">
        <f t="shared" si="7"/>
        <v>75</v>
      </c>
      <c r="B108" s="53" t="s">
        <v>12</v>
      </c>
      <c r="C108" s="371">
        <v>2014</v>
      </c>
      <c r="D108" s="114">
        <v>12143877.126666667</v>
      </c>
      <c r="E108" s="97">
        <v>910790.78449999995</v>
      </c>
      <c r="F108" s="97">
        <f t="shared" si="8"/>
        <v>13054667.911166666</v>
      </c>
      <c r="G108" s="373">
        <v>860529.91666666663</v>
      </c>
      <c r="H108" s="373">
        <v>0</v>
      </c>
      <c r="I108" s="97">
        <v>64539.743749999994</v>
      </c>
      <c r="J108" s="97">
        <f t="shared" si="9"/>
        <v>696621313.01361239</v>
      </c>
      <c r="K108" s="97">
        <f t="shared" si="10"/>
        <v>-89677464.724176049</v>
      </c>
    </row>
    <row r="109" spans="1:11" s="401" customFormat="1" x14ac:dyDescent="0.2">
      <c r="A109" s="111">
        <f t="shared" si="7"/>
        <v>76</v>
      </c>
      <c r="B109" s="53" t="s">
        <v>13</v>
      </c>
      <c r="C109" s="371">
        <v>2014</v>
      </c>
      <c r="D109" s="114">
        <v>14613879.246666666</v>
      </c>
      <c r="E109" s="97">
        <v>1096040.9434999998</v>
      </c>
      <c r="F109" s="97">
        <f t="shared" si="8"/>
        <v>15709920.190166665</v>
      </c>
      <c r="G109" s="373">
        <v>1018479.9166666666</v>
      </c>
      <c r="H109" s="373">
        <v>157950</v>
      </c>
      <c r="I109" s="134">
        <v>64539.743749999994</v>
      </c>
      <c r="J109" s="97">
        <f t="shared" si="9"/>
        <v>711248213.5433625</v>
      </c>
      <c r="K109" s="97">
        <f t="shared" si="10"/>
        <v>-75050564.194425941</v>
      </c>
    </row>
    <row r="110" spans="1:11" s="401" customFormat="1" x14ac:dyDescent="0.2">
      <c r="A110" s="111">
        <f t="shared" si="7"/>
        <v>77</v>
      </c>
      <c r="B110" s="53" t="s">
        <v>15</v>
      </c>
      <c r="C110" s="371">
        <v>2014</v>
      </c>
      <c r="D110" s="114">
        <v>12436262.286666665</v>
      </c>
      <c r="E110" s="97">
        <v>932719.67149999982</v>
      </c>
      <c r="F110" s="97">
        <f t="shared" si="8"/>
        <v>13368981.958166664</v>
      </c>
      <c r="G110" s="373">
        <v>860529.91666666663</v>
      </c>
      <c r="H110" s="373">
        <v>0</v>
      </c>
      <c r="I110" s="97">
        <v>64539.743749999994</v>
      </c>
      <c r="J110" s="97">
        <f t="shared" si="9"/>
        <v>723692125.84111261</v>
      </c>
      <c r="K110" s="97">
        <f t="shared" si="10"/>
        <v>-62606651.896675825</v>
      </c>
    </row>
    <row r="111" spans="1:11" s="401" customFormat="1" x14ac:dyDescent="0.2">
      <c r="A111" s="111">
        <f t="shared" si="7"/>
        <v>78</v>
      </c>
      <c r="B111" s="53" t="s">
        <v>14</v>
      </c>
      <c r="C111" s="371">
        <v>2014</v>
      </c>
      <c r="D111" s="114">
        <v>9424638.0066666678</v>
      </c>
      <c r="E111" s="97">
        <v>706847.85050000006</v>
      </c>
      <c r="F111" s="97">
        <f t="shared" si="8"/>
        <v>10131485.857166668</v>
      </c>
      <c r="G111" s="373">
        <v>860529.91666666663</v>
      </c>
      <c r="H111" s="373">
        <v>0</v>
      </c>
      <c r="I111" s="97">
        <v>64539.743749999994</v>
      </c>
      <c r="J111" s="97">
        <f t="shared" si="9"/>
        <v>732898542.03786266</v>
      </c>
      <c r="K111" s="97">
        <f t="shared" si="10"/>
        <v>-53400235.69992578</v>
      </c>
    </row>
    <row r="112" spans="1:11" s="401" customFormat="1" x14ac:dyDescent="0.2">
      <c r="A112" s="111">
        <f t="shared" si="7"/>
        <v>79</v>
      </c>
      <c r="B112" s="53" t="s">
        <v>6</v>
      </c>
      <c r="C112" s="371">
        <v>2014</v>
      </c>
      <c r="D112" s="114">
        <v>9244234.2866666652</v>
      </c>
      <c r="E112" s="97">
        <v>693317.57149999985</v>
      </c>
      <c r="F112" s="97">
        <f t="shared" si="8"/>
        <v>9937551.8581666648</v>
      </c>
      <c r="G112" s="373">
        <v>15874280.736666666</v>
      </c>
      <c r="H112" s="373">
        <v>13603555.82</v>
      </c>
      <c r="I112" s="134">
        <v>170304.36874999994</v>
      </c>
      <c r="J112" s="97">
        <f t="shared" si="9"/>
        <v>726791508.7906127</v>
      </c>
      <c r="K112" s="107">
        <f t="shared" si="10"/>
        <v>-59507268.947175741</v>
      </c>
    </row>
    <row r="113" spans="1:11" s="401" customFormat="1" x14ac:dyDescent="0.2">
      <c r="A113" s="111">
        <f t="shared" si="7"/>
        <v>80</v>
      </c>
      <c r="B113" s="64"/>
      <c r="C113" s="398" t="s">
        <v>418</v>
      </c>
      <c r="D113" s="64"/>
      <c r="E113" s="64"/>
      <c r="F113" s="64"/>
      <c r="G113" s="64"/>
      <c r="H113" s="124"/>
      <c r="I113" s="106"/>
      <c r="J113" s="106"/>
      <c r="K113" s="399">
        <f>AVERAGE(K100:K112)</f>
        <v>-123028140.70129158</v>
      </c>
    </row>
    <row r="114" spans="1:11" s="401" customFormat="1" x14ac:dyDescent="0.2">
      <c r="A114" s="111"/>
      <c r="B114" s="64"/>
      <c r="C114" s="398"/>
      <c r="D114" s="64"/>
      <c r="E114" s="64"/>
      <c r="F114" s="64"/>
      <c r="G114" s="64"/>
      <c r="H114" s="64"/>
      <c r="I114" s="64"/>
      <c r="J114" s="64"/>
      <c r="K114" s="407"/>
    </row>
    <row r="115" spans="1:11" s="401" customFormat="1" x14ac:dyDescent="0.2">
      <c r="B115" s="402" t="s">
        <v>426</v>
      </c>
      <c r="D115" s="737" t="s">
        <v>427</v>
      </c>
      <c r="E115" s="737"/>
    </row>
    <row r="116" spans="1:11" s="401" customFormat="1" x14ac:dyDescent="0.2">
      <c r="A116" s="389"/>
      <c r="B116" s="389"/>
      <c r="C116" s="389"/>
      <c r="D116" s="389" t="s">
        <v>152</v>
      </c>
      <c r="E116" s="389" t="s">
        <v>153</v>
      </c>
      <c r="F116" s="389" t="s">
        <v>154</v>
      </c>
      <c r="G116" s="389" t="s">
        <v>155</v>
      </c>
      <c r="H116" s="389" t="s">
        <v>371</v>
      </c>
      <c r="I116" s="389" t="s">
        <v>372</v>
      </c>
      <c r="J116" s="389" t="s">
        <v>386</v>
      </c>
      <c r="K116" s="389" t="s">
        <v>387</v>
      </c>
    </row>
    <row r="117" spans="1:11" s="401" customFormat="1" ht="38.25" x14ac:dyDescent="0.2">
      <c r="D117" s="403"/>
      <c r="E117" s="404" t="s">
        <v>421</v>
      </c>
      <c r="F117" s="394" t="s">
        <v>422</v>
      </c>
      <c r="G117" s="405"/>
      <c r="H117" s="403"/>
      <c r="I117" s="404" t="s">
        <v>423</v>
      </c>
      <c r="J117" s="404" t="s">
        <v>424</v>
      </c>
      <c r="K117" s="404" t="s">
        <v>425</v>
      </c>
    </row>
    <row r="118" spans="1:11" s="401" customFormat="1" x14ac:dyDescent="0.2">
      <c r="D118" s="403"/>
      <c r="E118" s="403"/>
      <c r="F118" s="403"/>
      <c r="G118" s="93" t="str">
        <f>G51</f>
        <v>Unloaded</v>
      </c>
      <c r="H118" s="403"/>
      <c r="I118" s="403"/>
    </row>
    <row r="119" spans="1:11" s="401" customFormat="1" x14ac:dyDescent="0.2">
      <c r="A119" s="392"/>
      <c r="B119" s="392"/>
      <c r="C119" s="392"/>
      <c r="D119" s="392" t="str">
        <f>D$52</f>
        <v>Forecast</v>
      </c>
      <c r="E119" s="392" t="str">
        <f>E$52</f>
        <v>Corporate</v>
      </c>
      <c r="F119" s="392" t="str">
        <f>F$52</f>
        <v xml:space="preserve">Total </v>
      </c>
      <c r="G119" s="93" t="str">
        <f>G52</f>
        <v>Total</v>
      </c>
      <c r="H119" s="392" t="str">
        <f>H$52</f>
        <v>Prior Period</v>
      </c>
      <c r="I119" s="392" t="str">
        <f>I$52</f>
        <v>Over Heads</v>
      </c>
      <c r="J119" s="392" t="str">
        <f>J$52</f>
        <v>Forecast</v>
      </c>
      <c r="K119" s="93" t="str">
        <f>K$52</f>
        <v>Forecast Period</v>
      </c>
    </row>
    <row r="120" spans="1:11" s="401" customFormat="1" x14ac:dyDescent="0.2">
      <c r="A120" s="136" t="s">
        <v>296</v>
      </c>
      <c r="B120" s="57" t="s">
        <v>16</v>
      </c>
      <c r="C120" s="57" t="s">
        <v>17</v>
      </c>
      <c r="D120" s="389" t="str">
        <f>D$53</f>
        <v>Expenditures</v>
      </c>
      <c r="E120" s="389" t="str">
        <f>E$53</f>
        <v>Overheads</v>
      </c>
      <c r="F120" s="389" t="str">
        <f>F$53</f>
        <v>CWIP Exp</v>
      </c>
      <c r="G120" s="95" t="str">
        <f>G53</f>
        <v>Plant Adds</v>
      </c>
      <c r="H120" s="389" t="str">
        <f>H$53</f>
        <v>CWIP Closed</v>
      </c>
      <c r="I120" s="389" t="str">
        <f>I$53</f>
        <v>Closed to PIS</v>
      </c>
      <c r="J120" s="389" t="str">
        <f>J$53</f>
        <v>Period CWIP</v>
      </c>
      <c r="K120" s="389" t="str">
        <f>K$53</f>
        <v>Incremental CWIP</v>
      </c>
    </row>
    <row r="121" spans="1:11" s="401" customFormat="1" x14ac:dyDescent="0.2">
      <c r="A121" s="111">
        <f>A113+1</f>
        <v>81</v>
      </c>
      <c r="B121" s="58" t="s">
        <v>6</v>
      </c>
      <c r="C121" s="371">
        <v>2012</v>
      </c>
      <c r="D121" s="408" t="s">
        <v>400</v>
      </c>
      <c r="E121" s="394" t="s">
        <v>400</v>
      </c>
      <c r="F121" s="394" t="s">
        <v>400</v>
      </c>
      <c r="G121" s="394" t="s">
        <v>400</v>
      </c>
      <c r="H121" s="394" t="s">
        <v>400</v>
      </c>
      <c r="I121" s="394" t="s">
        <v>400</v>
      </c>
      <c r="J121" s="286">
        <f>F25</f>
        <v>536220864.63999993</v>
      </c>
      <c r="K121" s="394" t="s">
        <v>400</v>
      </c>
    </row>
    <row r="122" spans="1:11" s="401" customFormat="1" x14ac:dyDescent="0.2">
      <c r="A122" s="111">
        <f t="shared" ref="A122:A146" si="11">A121+1</f>
        <v>82</v>
      </c>
      <c r="B122" s="58" t="s">
        <v>7</v>
      </c>
      <c r="C122" s="371">
        <v>2013</v>
      </c>
      <c r="D122" s="373">
        <v>14331199.449999999</v>
      </c>
      <c r="E122" s="134">
        <v>1074839.95875</v>
      </c>
      <c r="F122" s="97">
        <f t="shared" ref="F122:F145" si="12">E122+D122</f>
        <v>15406039.408749999</v>
      </c>
      <c r="G122" s="373">
        <v>0</v>
      </c>
      <c r="H122" s="114">
        <v>0</v>
      </c>
      <c r="I122" s="97">
        <v>0</v>
      </c>
      <c r="J122" s="286">
        <f t="shared" ref="J122:J145" si="13">J121+F122-G122-I122</f>
        <v>551626904.04874992</v>
      </c>
      <c r="K122" s="396">
        <f t="shared" ref="K122:K145" si="14">J122-$J$121</f>
        <v>15406039.408749998</v>
      </c>
    </row>
    <row r="123" spans="1:11" s="401" customFormat="1" x14ac:dyDescent="0.2">
      <c r="A123" s="111">
        <f t="shared" si="11"/>
        <v>83</v>
      </c>
      <c r="B123" s="53" t="s">
        <v>8</v>
      </c>
      <c r="C123" s="371">
        <v>2013</v>
      </c>
      <c r="D123" s="373">
        <v>21229995.270000003</v>
      </c>
      <c r="E123" s="97">
        <v>1592249.6452500003</v>
      </c>
      <c r="F123" s="97">
        <f t="shared" si="12"/>
        <v>22822244.915250003</v>
      </c>
      <c r="G123" s="373">
        <v>0</v>
      </c>
      <c r="H123" s="373">
        <v>0</v>
      </c>
      <c r="I123" s="97">
        <v>0</v>
      </c>
      <c r="J123" s="286">
        <f t="shared" si="13"/>
        <v>574449148.96399999</v>
      </c>
      <c r="K123" s="396">
        <f t="shared" si="14"/>
        <v>38228284.324000061</v>
      </c>
    </row>
    <row r="124" spans="1:11" s="401" customFormat="1" x14ac:dyDescent="0.2">
      <c r="A124" s="111">
        <f t="shared" si="11"/>
        <v>84</v>
      </c>
      <c r="B124" s="53" t="s">
        <v>18</v>
      </c>
      <c r="C124" s="371">
        <v>2013</v>
      </c>
      <c r="D124" s="373">
        <v>42754481.129999995</v>
      </c>
      <c r="E124" s="134">
        <v>3206586.0847499995</v>
      </c>
      <c r="F124" s="97">
        <f t="shared" si="12"/>
        <v>45961067.214749992</v>
      </c>
      <c r="G124" s="373">
        <v>0</v>
      </c>
      <c r="H124" s="373">
        <v>0</v>
      </c>
      <c r="I124" s="97">
        <v>0</v>
      </c>
      <c r="J124" s="286">
        <f t="shared" si="13"/>
        <v>620410216.17875004</v>
      </c>
      <c r="K124" s="396">
        <f t="shared" si="14"/>
        <v>84189351.538750112</v>
      </c>
    </row>
    <row r="125" spans="1:11" s="401" customFormat="1" x14ac:dyDescent="0.2">
      <c r="A125" s="111">
        <f t="shared" si="11"/>
        <v>85</v>
      </c>
      <c r="B125" s="58" t="s">
        <v>9</v>
      </c>
      <c r="C125" s="371">
        <v>2013</v>
      </c>
      <c r="D125" s="373">
        <v>34586027.866805755</v>
      </c>
      <c r="E125" s="97">
        <v>2593952.0900104316</v>
      </c>
      <c r="F125" s="97">
        <f t="shared" si="12"/>
        <v>37179979.956816189</v>
      </c>
      <c r="G125" s="373">
        <v>0</v>
      </c>
      <c r="H125" s="373">
        <v>0</v>
      </c>
      <c r="I125" s="97">
        <v>0</v>
      </c>
      <c r="J125" s="286">
        <f t="shared" si="13"/>
        <v>657590196.13556623</v>
      </c>
      <c r="K125" s="396">
        <f t="shared" si="14"/>
        <v>121369331.49556631</v>
      </c>
    </row>
    <row r="126" spans="1:11" s="401" customFormat="1" x14ac:dyDescent="0.2">
      <c r="A126" s="111">
        <f t="shared" si="11"/>
        <v>86</v>
      </c>
      <c r="B126" s="53" t="s">
        <v>10</v>
      </c>
      <c r="C126" s="371">
        <v>2013</v>
      </c>
      <c r="D126" s="373">
        <v>27079581.555671453</v>
      </c>
      <c r="E126" s="134">
        <v>2030968.616675359</v>
      </c>
      <c r="F126" s="97">
        <f t="shared" si="12"/>
        <v>29110550.172346812</v>
      </c>
      <c r="G126" s="373">
        <v>325733559.97960216</v>
      </c>
      <c r="H126" s="373">
        <v>269228626.37000048</v>
      </c>
      <c r="I126" s="97">
        <v>4237870.0207201252</v>
      </c>
      <c r="J126" s="286">
        <f t="shared" si="13"/>
        <v>356729316.30759078</v>
      </c>
      <c r="K126" s="396">
        <f t="shared" si="14"/>
        <v>-179491548.33240914</v>
      </c>
    </row>
    <row r="127" spans="1:11" s="401" customFormat="1" x14ac:dyDescent="0.2">
      <c r="A127" s="111">
        <f t="shared" si="11"/>
        <v>87</v>
      </c>
      <c r="B127" s="53" t="s">
        <v>25</v>
      </c>
      <c r="C127" s="371">
        <v>2013</v>
      </c>
      <c r="D127" s="373">
        <v>19039735.244537175</v>
      </c>
      <c r="E127" s="134">
        <v>1427980.143340288</v>
      </c>
      <c r="F127" s="97">
        <f t="shared" si="12"/>
        <v>20467715.387877464</v>
      </c>
      <c r="G127" s="373">
        <v>28005491.003491517</v>
      </c>
      <c r="H127" s="373">
        <v>2923585.120000001</v>
      </c>
      <c r="I127" s="97">
        <v>1881142.9412618636</v>
      </c>
      <c r="J127" s="286">
        <f t="shared" si="13"/>
        <v>347310397.75071484</v>
      </c>
      <c r="K127" s="396">
        <f t="shared" si="14"/>
        <v>-188910466.88928509</v>
      </c>
    </row>
    <row r="128" spans="1:11" s="401" customFormat="1" x14ac:dyDescent="0.2">
      <c r="A128" s="111">
        <f t="shared" si="11"/>
        <v>88</v>
      </c>
      <c r="B128" s="58" t="s">
        <v>11</v>
      </c>
      <c r="C128" s="371">
        <v>2013</v>
      </c>
      <c r="D128" s="373">
        <v>14132083.360041723</v>
      </c>
      <c r="E128" s="134">
        <v>1059906.2520031291</v>
      </c>
      <c r="F128" s="97">
        <f t="shared" si="12"/>
        <v>15191989.612044852</v>
      </c>
      <c r="G128" s="373">
        <v>100761031.31720944</v>
      </c>
      <c r="H128" s="373">
        <v>70959856.350000083</v>
      </c>
      <c r="I128" s="97">
        <v>2235088.1225407016</v>
      </c>
      <c r="J128" s="286">
        <f t="shared" si="13"/>
        <v>259506267.92300957</v>
      </c>
      <c r="K128" s="396">
        <f t="shared" si="14"/>
        <v>-276714596.71699035</v>
      </c>
    </row>
    <row r="129" spans="1:11" s="401" customFormat="1" x14ac:dyDescent="0.2">
      <c r="A129" s="111">
        <f t="shared" si="11"/>
        <v>89</v>
      </c>
      <c r="B129" s="53" t="s">
        <v>12</v>
      </c>
      <c r="C129" s="371">
        <v>2013</v>
      </c>
      <c r="D129" s="373">
        <v>10188206.31113429</v>
      </c>
      <c r="E129" s="134">
        <v>764115.4733350717</v>
      </c>
      <c r="F129" s="97">
        <f t="shared" si="12"/>
        <v>10952321.784469362</v>
      </c>
      <c r="G129" s="373">
        <v>22006624.1504835</v>
      </c>
      <c r="H129" s="373">
        <v>14747271.009999998</v>
      </c>
      <c r="I129" s="134">
        <v>544451.48553626263</v>
      </c>
      <c r="J129" s="286">
        <f t="shared" si="13"/>
        <v>247907514.07145917</v>
      </c>
      <c r="K129" s="396">
        <f t="shared" si="14"/>
        <v>-288313350.56854075</v>
      </c>
    </row>
    <row r="130" spans="1:11" s="401" customFormat="1" x14ac:dyDescent="0.2">
      <c r="A130" s="111">
        <f t="shared" si="11"/>
        <v>90</v>
      </c>
      <c r="B130" s="53" t="s">
        <v>13</v>
      </c>
      <c r="C130" s="371">
        <v>2013</v>
      </c>
      <c r="D130" s="373">
        <v>9239039.8116050828</v>
      </c>
      <c r="E130" s="134">
        <v>692927.98587038124</v>
      </c>
      <c r="F130" s="97">
        <f t="shared" si="12"/>
        <v>9931967.7974754646</v>
      </c>
      <c r="G130" s="373">
        <v>223675297.66832137</v>
      </c>
      <c r="H130" s="373">
        <v>166140840.16000038</v>
      </c>
      <c r="I130" s="97">
        <v>4315084.3131240737</v>
      </c>
      <c r="J130" s="286">
        <f t="shared" si="13"/>
        <v>29849099.887489185</v>
      </c>
      <c r="K130" s="396">
        <f t="shared" si="14"/>
        <v>-506371764.75251073</v>
      </c>
    </row>
    <row r="131" spans="1:11" s="401" customFormat="1" x14ac:dyDescent="0.2">
      <c r="A131" s="111">
        <f t="shared" si="11"/>
        <v>91</v>
      </c>
      <c r="B131" s="58" t="s">
        <v>15</v>
      </c>
      <c r="C131" s="371">
        <v>2013</v>
      </c>
      <c r="D131" s="373">
        <v>6327344.8587038144</v>
      </c>
      <c r="E131" s="97">
        <v>474550.86440278607</v>
      </c>
      <c r="F131" s="97">
        <f t="shared" si="12"/>
        <v>6801895.7231066003</v>
      </c>
      <c r="G131" s="373">
        <v>5209157.1067510527</v>
      </c>
      <c r="H131" s="373">
        <v>0</v>
      </c>
      <c r="I131" s="97">
        <v>390686.78300632891</v>
      </c>
      <c r="J131" s="286">
        <f t="shared" si="13"/>
        <v>31051151.720838401</v>
      </c>
      <c r="K131" s="396">
        <f t="shared" si="14"/>
        <v>-505169712.9191615</v>
      </c>
    </row>
    <row r="132" spans="1:11" s="401" customFormat="1" x14ac:dyDescent="0.2">
      <c r="A132" s="111">
        <f t="shared" si="11"/>
        <v>92</v>
      </c>
      <c r="B132" s="58" t="s">
        <v>14</v>
      </c>
      <c r="C132" s="371">
        <v>2013</v>
      </c>
      <c r="D132" s="373">
        <v>5429949.9058025433</v>
      </c>
      <c r="E132" s="97">
        <v>407246.24293519073</v>
      </c>
      <c r="F132" s="97">
        <f t="shared" si="12"/>
        <v>5837196.1487377342</v>
      </c>
      <c r="G132" s="373">
        <v>4853691.4045007005</v>
      </c>
      <c r="H132" s="373">
        <v>0</v>
      </c>
      <c r="I132" s="97">
        <v>364026.85533755255</v>
      </c>
      <c r="J132" s="286">
        <f t="shared" si="13"/>
        <v>31670629.609737881</v>
      </c>
      <c r="K132" s="396">
        <f t="shared" si="14"/>
        <v>-504550235.03026205</v>
      </c>
    </row>
    <row r="133" spans="1:11" s="401" customFormat="1" x14ac:dyDescent="0.2">
      <c r="A133" s="111">
        <f t="shared" si="11"/>
        <v>93</v>
      </c>
      <c r="B133" s="58" t="s">
        <v>6</v>
      </c>
      <c r="C133" s="371">
        <v>2013</v>
      </c>
      <c r="D133" s="373">
        <v>34128000</v>
      </c>
      <c r="E133" s="97">
        <v>2559600</v>
      </c>
      <c r="F133" s="134">
        <f t="shared" si="12"/>
        <v>36687600</v>
      </c>
      <c r="G133" s="373">
        <v>64766583.703943022</v>
      </c>
      <c r="H133" s="373">
        <v>12545612.559999991</v>
      </c>
      <c r="I133" s="97">
        <v>3916572.8357957266</v>
      </c>
      <c r="J133" s="286">
        <f t="shared" si="13"/>
        <v>-324926.93000087515</v>
      </c>
      <c r="K133" s="396">
        <f t="shared" si="14"/>
        <v>-536545791.57000083</v>
      </c>
    </row>
    <row r="134" spans="1:11" s="401" customFormat="1" x14ac:dyDescent="0.2">
      <c r="A134" s="111">
        <f t="shared" si="11"/>
        <v>94</v>
      </c>
      <c r="B134" s="58" t="s">
        <v>7</v>
      </c>
      <c r="C134" s="371">
        <v>2014</v>
      </c>
      <c r="D134" s="114">
        <v>7228199.9999999991</v>
      </c>
      <c r="E134" s="97">
        <v>542114.99999999988</v>
      </c>
      <c r="F134" s="97">
        <f t="shared" si="12"/>
        <v>7770314.9999999991</v>
      </c>
      <c r="G134" s="114">
        <v>7228199.9999999991</v>
      </c>
      <c r="H134" s="114">
        <v>0</v>
      </c>
      <c r="I134" s="97">
        <v>542114.99999999988</v>
      </c>
      <c r="J134" s="286">
        <f t="shared" si="13"/>
        <v>-324926.93000087503</v>
      </c>
      <c r="K134" s="396">
        <f t="shared" si="14"/>
        <v>-536545791.57000083</v>
      </c>
    </row>
    <row r="135" spans="1:11" s="401" customFormat="1" x14ac:dyDescent="0.2">
      <c r="A135" s="111">
        <f t="shared" si="11"/>
        <v>95</v>
      </c>
      <c r="B135" s="53" t="s">
        <v>8</v>
      </c>
      <c r="C135" s="371">
        <v>2014</v>
      </c>
      <c r="D135" s="114">
        <v>3068200</v>
      </c>
      <c r="E135" s="97">
        <v>230115</v>
      </c>
      <c r="F135" s="97">
        <f t="shared" si="12"/>
        <v>3298315</v>
      </c>
      <c r="G135" s="114">
        <v>3068200</v>
      </c>
      <c r="H135" s="114">
        <v>0</v>
      </c>
      <c r="I135" s="97">
        <v>230115</v>
      </c>
      <c r="J135" s="286">
        <f t="shared" si="13"/>
        <v>-324926.93000087515</v>
      </c>
      <c r="K135" s="396">
        <f t="shared" si="14"/>
        <v>-536545791.57000083</v>
      </c>
    </row>
    <row r="136" spans="1:11" s="401" customFormat="1" x14ac:dyDescent="0.2">
      <c r="A136" s="111">
        <f t="shared" si="11"/>
        <v>96</v>
      </c>
      <c r="B136" s="53" t="s">
        <v>18</v>
      </c>
      <c r="C136" s="371">
        <v>2014</v>
      </c>
      <c r="D136" s="114">
        <v>3068200</v>
      </c>
      <c r="E136" s="97">
        <v>230115</v>
      </c>
      <c r="F136" s="97">
        <f t="shared" si="12"/>
        <v>3298315</v>
      </c>
      <c r="G136" s="114">
        <v>3068200</v>
      </c>
      <c r="H136" s="114">
        <v>0</v>
      </c>
      <c r="I136" s="97">
        <v>230115</v>
      </c>
      <c r="J136" s="286">
        <f t="shared" si="13"/>
        <v>-324926.93000087515</v>
      </c>
      <c r="K136" s="396">
        <f t="shared" si="14"/>
        <v>-536545791.57000083</v>
      </c>
    </row>
    <row r="137" spans="1:11" s="401" customFormat="1" x14ac:dyDescent="0.2">
      <c r="A137" s="111">
        <f t="shared" si="11"/>
        <v>97</v>
      </c>
      <c r="B137" s="58" t="s">
        <v>9</v>
      </c>
      <c r="C137" s="371">
        <v>2014</v>
      </c>
      <c r="D137" s="114">
        <v>3062800</v>
      </c>
      <c r="E137" s="97">
        <v>229710</v>
      </c>
      <c r="F137" s="97">
        <f t="shared" si="12"/>
        <v>3292510</v>
      </c>
      <c r="G137" s="114">
        <v>3062800</v>
      </c>
      <c r="H137" s="114">
        <v>0</v>
      </c>
      <c r="I137" s="97">
        <v>229710</v>
      </c>
      <c r="J137" s="286">
        <f t="shared" si="13"/>
        <v>-324926.93000087515</v>
      </c>
      <c r="K137" s="396">
        <f t="shared" si="14"/>
        <v>-536545791.57000083</v>
      </c>
    </row>
    <row r="138" spans="1:11" s="401" customFormat="1" x14ac:dyDescent="0.2">
      <c r="A138" s="111">
        <f t="shared" si="11"/>
        <v>98</v>
      </c>
      <c r="B138" s="53" t="s">
        <v>10</v>
      </c>
      <c r="C138" s="371">
        <v>2014</v>
      </c>
      <c r="D138" s="114">
        <v>2007800</v>
      </c>
      <c r="E138" s="97">
        <v>150585</v>
      </c>
      <c r="F138" s="97">
        <f t="shared" si="12"/>
        <v>2158385</v>
      </c>
      <c r="G138" s="114">
        <v>2007800</v>
      </c>
      <c r="H138" s="114">
        <v>0</v>
      </c>
      <c r="I138" s="97">
        <v>150585</v>
      </c>
      <c r="J138" s="286">
        <f t="shared" si="13"/>
        <v>-324926.93000087515</v>
      </c>
      <c r="K138" s="396">
        <f t="shared" si="14"/>
        <v>-536545791.57000083</v>
      </c>
    </row>
    <row r="139" spans="1:11" s="401" customFormat="1" x14ac:dyDescent="0.2">
      <c r="A139" s="111">
        <f t="shared" si="11"/>
        <v>99</v>
      </c>
      <c r="B139" s="53" t="s">
        <v>25</v>
      </c>
      <c r="C139" s="371">
        <v>2014</v>
      </c>
      <c r="D139" s="114">
        <v>2005800</v>
      </c>
      <c r="E139" s="97">
        <v>150435</v>
      </c>
      <c r="F139" s="97">
        <f t="shared" si="12"/>
        <v>2156235</v>
      </c>
      <c r="G139" s="114">
        <v>2005800</v>
      </c>
      <c r="H139" s="114">
        <v>0</v>
      </c>
      <c r="I139" s="97">
        <v>150435</v>
      </c>
      <c r="J139" s="286">
        <f t="shared" si="13"/>
        <v>-324926.93000087515</v>
      </c>
      <c r="K139" s="396">
        <f t="shared" si="14"/>
        <v>-536545791.57000083</v>
      </c>
    </row>
    <row r="140" spans="1:11" s="401" customFormat="1" x14ac:dyDescent="0.2">
      <c r="A140" s="111">
        <f t="shared" si="11"/>
        <v>100</v>
      </c>
      <c r="B140" s="58" t="s">
        <v>11</v>
      </c>
      <c r="C140" s="371">
        <v>2014</v>
      </c>
      <c r="D140" s="114">
        <v>412000</v>
      </c>
      <c r="E140" s="97">
        <v>30900</v>
      </c>
      <c r="F140" s="97">
        <f t="shared" si="12"/>
        <v>442900</v>
      </c>
      <c r="G140" s="114">
        <v>412000</v>
      </c>
      <c r="H140" s="114">
        <v>0</v>
      </c>
      <c r="I140" s="97">
        <v>30900</v>
      </c>
      <c r="J140" s="286">
        <f t="shared" si="13"/>
        <v>-324926.93000087515</v>
      </c>
      <c r="K140" s="396">
        <f t="shared" si="14"/>
        <v>-536545791.57000083</v>
      </c>
    </row>
    <row r="141" spans="1:11" s="401" customFormat="1" x14ac:dyDescent="0.2">
      <c r="A141" s="111">
        <f t="shared" si="11"/>
        <v>101</v>
      </c>
      <c r="B141" s="53" t="s">
        <v>12</v>
      </c>
      <c r="C141" s="371">
        <v>2014</v>
      </c>
      <c r="D141" s="114">
        <v>412000</v>
      </c>
      <c r="E141" s="97">
        <v>30900</v>
      </c>
      <c r="F141" s="97">
        <f t="shared" si="12"/>
        <v>442900</v>
      </c>
      <c r="G141" s="114">
        <v>412000</v>
      </c>
      <c r="H141" s="114">
        <v>0</v>
      </c>
      <c r="I141" s="97">
        <v>30900</v>
      </c>
      <c r="J141" s="286">
        <f t="shared" si="13"/>
        <v>-324926.93000087515</v>
      </c>
      <c r="K141" s="396">
        <f t="shared" si="14"/>
        <v>-536545791.57000083</v>
      </c>
    </row>
    <row r="142" spans="1:11" s="401" customFormat="1" x14ac:dyDescent="0.2">
      <c r="A142" s="111">
        <f t="shared" si="11"/>
        <v>102</v>
      </c>
      <c r="B142" s="53" t="s">
        <v>13</v>
      </c>
      <c r="C142" s="371">
        <v>2014</v>
      </c>
      <c r="D142" s="114">
        <v>412000</v>
      </c>
      <c r="E142" s="97">
        <v>30900</v>
      </c>
      <c r="F142" s="97">
        <f t="shared" si="12"/>
        <v>442900</v>
      </c>
      <c r="G142" s="114">
        <v>412000</v>
      </c>
      <c r="H142" s="114">
        <v>0</v>
      </c>
      <c r="I142" s="97">
        <v>30900</v>
      </c>
      <c r="J142" s="286">
        <f t="shared" si="13"/>
        <v>-324926.93000087515</v>
      </c>
      <c r="K142" s="396">
        <f t="shared" si="14"/>
        <v>-536545791.57000083</v>
      </c>
    </row>
    <row r="143" spans="1:11" s="401" customFormat="1" x14ac:dyDescent="0.2">
      <c r="A143" s="111">
        <f t="shared" si="11"/>
        <v>103</v>
      </c>
      <c r="B143" s="53" t="s">
        <v>15</v>
      </c>
      <c r="C143" s="371">
        <v>2014</v>
      </c>
      <c r="D143" s="114">
        <v>412000</v>
      </c>
      <c r="E143" s="97">
        <v>30900</v>
      </c>
      <c r="F143" s="97">
        <f t="shared" si="12"/>
        <v>442900</v>
      </c>
      <c r="G143" s="114">
        <v>412000</v>
      </c>
      <c r="H143" s="114">
        <v>0</v>
      </c>
      <c r="I143" s="97">
        <v>30900</v>
      </c>
      <c r="J143" s="286">
        <f t="shared" si="13"/>
        <v>-324926.93000087515</v>
      </c>
      <c r="K143" s="396">
        <f t="shared" si="14"/>
        <v>-536545791.57000083</v>
      </c>
    </row>
    <row r="144" spans="1:11" s="401" customFormat="1" x14ac:dyDescent="0.2">
      <c r="A144" s="111">
        <f t="shared" si="11"/>
        <v>104</v>
      </c>
      <c r="B144" s="53" t="s">
        <v>14</v>
      </c>
      <c r="C144" s="371">
        <v>2014</v>
      </c>
      <c r="D144" s="114">
        <v>412000</v>
      </c>
      <c r="E144" s="97">
        <v>30900</v>
      </c>
      <c r="F144" s="97">
        <f t="shared" si="12"/>
        <v>442900</v>
      </c>
      <c r="G144" s="114">
        <v>412000</v>
      </c>
      <c r="H144" s="114">
        <v>0</v>
      </c>
      <c r="I144" s="97">
        <v>30900</v>
      </c>
      <c r="J144" s="286">
        <f t="shared" si="13"/>
        <v>-324926.93000087515</v>
      </c>
      <c r="K144" s="396">
        <f t="shared" si="14"/>
        <v>-536545791.57000083</v>
      </c>
    </row>
    <row r="145" spans="1:11" s="401" customFormat="1" x14ac:dyDescent="0.2">
      <c r="A145" s="111">
        <f t="shared" si="11"/>
        <v>105</v>
      </c>
      <c r="B145" s="53" t="s">
        <v>6</v>
      </c>
      <c r="C145" s="371">
        <v>2014</v>
      </c>
      <c r="D145" s="114">
        <v>412000</v>
      </c>
      <c r="E145" s="97">
        <v>30900</v>
      </c>
      <c r="F145" s="97">
        <f t="shared" si="12"/>
        <v>442900</v>
      </c>
      <c r="G145" s="114">
        <v>412000</v>
      </c>
      <c r="H145" s="114">
        <v>0</v>
      </c>
      <c r="I145" s="97">
        <v>30900</v>
      </c>
      <c r="J145" s="286">
        <f t="shared" si="13"/>
        <v>-324926.93000087515</v>
      </c>
      <c r="K145" s="107">
        <f t="shared" si="14"/>
        <v>-536545791.57000083</v>
      </c>
    </row>
    <row r="146" spans="1:11" s="401" customFormat="1" x14ac:dyDescent="0.2">
      <c r="A146" s="111">
        <f t="shared" si="11"/>
        <v>106</v>
      </c>
      <c r="B146" s="64"/>
      <c r="C146" s="398" t="s">
        <v>418</v>
      </c>
      <c r="D146" s="64"/>
      <c r="E146" s="64"/>
      <c r="F146" s="64"/>
      <c r="G146" s="64"/>
      <c r="H146" s="64"/>
      <c r="I146" s="64"/>
      <c r="J146" s="106"/>
      <c r="K146" s="399">
        <f>AVERAGE(K133:K145)</f>
        <v>-536545791.57000071</v>
      </c>
    </row>
    <row r="147" spans="1:11" s="401" customFormat="1" x14ac:dyDescent="0.2">
      <c r="A147" s="111"/>
      <c r="B147" s="64"/>
      <c r="C147" s="398"/>
      <c r="D147" s="64"/>
      <c r="E147" s="64"/>
      <c r="F147" s="64"/>
      <c r="G147" s="64"/>
      <c r="H147" s="64"/>
      <c r="I147" s="64"/>
      <c r="J147" s="64"/>
      <c r="K147" s="407"/>
    </row>
    <row r="148" spans="1:11" s="401" customFormat="1" x14ac:dyDescent="0.2">
      <c r="B148" s="402" t="s">
        <v>428</v>
      </c>
      <c r="D148" s="737" t="s">
        <v>429</v>
      </c>
      <c r="E148" s="737"/>
    </row>
    <row r="149" spans="1:11" s="401" customFormat="1" x14ac:dyDescent="0.2">
      <c r="D149" s="403"/>
      <c r="E149" s="403"/>
      <c r="F149" s="403"/>
      <c r="G149" s="93" t="str">
        <f>G51</f>
        <v>Unloaded</v>
      </c>
      <c r="H149" s="403"/>
      <c r="I149" s="403"/>
    </row>
    <row r="150" spans="1:11" s="401" customFormat="1" x14ac:dyDescent="0.2">
      <c r="A150" s="392"/>
      <c r="B150" s="392"/>
      <c r="C150" s="392"/>
      <c r="D150" s="392" t="str">
        <f>D$52</f>
        <v>Forecast</v>
      </c>
      <c r="E150" s="392" t="str">
        <f>E$52</f>
        <v>Corporate</v>
      </c>
      <c r="F150" s="392" t="str">
        <f>F$52</f>
        <v xml:space="preserve">Total </v>
      </c>
      <c r="G150" s="93" t="str">
        <f>G52</f>
        <v>Total</v>
      </c>
      <c r="H150" s="392" t="str">
        <f>H$52</f>
        <v>Prior Period</v>
      </c>
      <c r="I150" s="392" t="str">
        <f>I$52</f>
        <v>Over Heads</v>
      </c>
      <c r="J150" s="392" t="str">
        <f>J$52</f>
        <v>Forecast</v>
      </c>
      <c r="K150" s="93" t="str">
        <f>K$52</f>
        <v>Forecast Period</v>
      </c>
    </row>
    <row r="151" spans="1:11" s="401" customFormat="1" x14ac:dyDescent="0.2">
      <c r="A151" s="136" t="s">
        <v>296</v>
      </c>
      <c r="B151" s="57" t="s">
        <v>16</v>
      </c>
      <c r="C151" s="57" t="s">
        <v>17</v>
      </c>
      <c r="D151" s="389" t="str">
        <f>D$53</f>
        <v>Expenditures</v>
      </c>
      <c r="E151" s="389" t="str">
        <f>E$53</f>
        <v>Overheads</v>
      </c>
      <c r="F151" s="389" t="str">
        <f>F$53</f>
        <v>CWIP Exp</v>
      </c>
      <c r="G151" s="95" t="str">
        <f>G53</f>
        <v>Plant Adds</v>
      </c>
      <c r="H151" s="389" t="str">
        <f>H$53</f>
        <v>CWIP Closed</v>
      </c>
      <c r="I151" s="389" t="str">
        <f>I$53</f>
        <v>Closed to PIS</v>
      </c>
      <c r="J151" s="389" t="str">
        <f>J$53</f>
        <v>Period CWIP</v>
      </c>
      <c r="K151" s="389" t="str">
        <f>K$53</f>
        <v>Incremental CWIP</v>
      </c>
    </row>
    <row r="152" spans="1:11" s="401" customFormat="1" x14ac:dyDescent="0.2">
      <c r="A152" s="111">
        <f>A146+1</f>
        <v>107</v>
      </c>
      <c r="B152" s="58" t="s">
        <v>6</v>
      </c>
      <c r="C152" s="371">
        <v>2012</v>
      </c>
      <c r="D152" s="394" t="s">
        <v>400</v>
      </c>
      <c r="E152" s="394" t="s">
        <v>400</v>
      </c>
      <c r="F152" s="394" t="s">
        <v>400</v>
      </c>
      <c r="G152" s="394" t="s">
        <v>400</v>
      </c>
      <c r="H152" s="394" t="s">
        <v>400</v>
      </c>
      <c r="I152" s="394" t="s">
        <v>400</v>
      </c>
      <c r="J152" s="97">
        <f>G25</f>
        <v>149796433.14000002</v>
      </c>
      <c r="K152" s="394" t="s">
        <v>400</v>
      </c>
    </row>
    <row r="153" spans="1:11" s="401" customFormat="1" x14ac:dyDescent="0.2">
      <c r="A153" s="111">
        <f t="shared" ref="A153:A177" si="15">A152+1</f>
        <v>108</v>
      </c>
      <c r="B153" s="58" t="s">
        <v>7</v>
      </c>
      <c r="C153" s="371">
        <v>2013</v>
      </c>
      <c r="D153" s="114">
        <v>16215000</v>
      </c>
      <c r="E153" s="97">
        <v>1216125</v>
      </c>
      <c r="F153" s="97">
        <f t="shared" ref="F153:F176" si="16">E153+D153</f>
        <v>17431125</v>
      </c>
      <c r="G153" s="114">
        <v>0</v>
      </c>
      <c r="H153" s="114">
        <v>0</v>
      </c>
      <c r="I153" s="97">
        <v>0</v>
      </c>
      <c r="J153" s="97">
        <f t="shared" ref="J153:J176" si="17">J152+F153-G153-I153</f>
        <v>167227558.14000002</v>
      </c>
      <c r="K153" s="97">
        <f t="shared" ref="K153:K176" si="18">J153-$J$152</f>
        <v>17431125</v>
      </c>
    </row>
    <row r="154" spans="1:11" s="401" customFormat="1" x14ac:dyDescent="0.2">
      <c r="A154" s="111">
        <f t="shared" si="15"/>
        <v>109</v>
      </c>
      <c r="B154" s="53" t="s">
        <v>8</v>
      </c>
      <c r="C154" s="371">
        <v>2013</v>
      </c>
      <c r="D154" s="114">
        <v>36204000</v>
      </c>
      <c r="E154" s="97">
        <v>2715300</v>
      </c>
      <c r="F154" s="97">
        <f t="shared" si="16"/>
        <v>38919300</v>
      </c>
      <c r="G154" s="114">
        <v>0</v>
      </c>
      <c r="H154" s="114">
        <v>0</v>
      </c>
      <c r="I154" s="97">
        <v>0</v>
      </c>
      <c r="J154" s="97">
        <f t="shared" si="17"/>
        <v>206146858.14000002</v>
      </c>
      <c r="K154" s="97">
        <f t="shared" si="18"/>
        <v>56350425</v>
      </c>
    </row>
    <row r="155" spans="1:11" s="401" customFormat="1" x14ac:dyDescent="0.2">
      <c r="A155" s="111">
        <f t="shared" si="15"/>
        <v>110</v>
      </c>
      <c r="B155" s="53" t="s">
        <v>18</v>
      </c>
      <c r="C155" s="371">
        <v>2013</v>
      </c>
      <c r="D155" s="114">
        <v>48427000</v>
      </c>
      <c r="E155" s="97">
        <v>3632025</v>
      </c>
      <c r="F155" s="97">
        <f t="shared" si="16"/>
        <v>52059025</v>
      </c>
      <c r="G155" s="114">
        <v>0</v>
      </c>
      <c r="H155" s="114">
        <v>0</v>
      </c>
      <c r="I155" s="97">
        <v>0</v>
      </c>
      <c r="J155" s="97">
        <f t="shared" si="17"/>
        <v>258205883.14000002</v>
      </c>
      <c r="K155" s="97">
        <f t="shared" si="18"/>
        <v>108409450</v>
      </c>
    </row>
    <row r="156" spans="1:11" s="401" customFormat="1" x14ac:dyDescent="0.2">
      <c r="A156" s="111">
        <f t="shared" si="15"/>
        <v>111</v>
      </c>
      <c r="B156" s="58" t="s">
        <v>9</v>
      </c>
      <c r="C156" s="371">
        <v>2013</v>
      </c>
      <c r="D156" s="114">
        <v>41182700.000000007</v>
      </c>
      <c r="E156" s="97">
        <v>3088702.5000000005</v>
      </c>
      <c r="F156" s="97">
        <f t="shared" si="16"/>
        <v>44271402.500000007</v>
      </c>
      <c r="G156" s="114">
        <v>0</v>
      </c>
      <c r="H156" s="114">
        <v>0</v>
      </c>
      <c r="I156" s="97">
        <v>0</v>
      </c>
      <c r="J156" s="97">
        <f t="shared" si="17"/>
        <v>302477285.64000005</v>
      </c>
      <c r="K156" s="97">
        <f t="shared" si="18"/>
        <v>152680852.50000003</v>
      </c>
    </row>
    <row r="157" spans="1:11" s="401" customFormat="1" x14ac:dyDescent="0.2">
      <c r="A157" s="111">
        <f t="shared" si="15"/>
        <v>112</v>
      </c>
      <c r="B157" s="53" t="s">
        <v>10</v>
      </c>
      <c r="C157" s="371">
        <v>2013</v>
      </c>
      <c r="D157" s="114">
        <v>9973900.0000000019</v>
      </c>
      <c r="E157" s="97">
        <v>748042.50000000012</v>
      </c>
      <c r="F157" s="97">
        <f t="shared" si="16"/>
        <v>10721942.500000002</v>
      </c>
      <c r="G157" s="373">
        <v>250563087.93999997</v>
      </c>
      <c r="H157" s="373">
        <v>115801087.93999998</v>
      </c>
      <c r="I157" s="134">
        <v>10107150</v>
      </c>
      <c r="J157" s="97">
        <f t="shared" si="17"/>
        <v>52528990.200000077</v>
      </c>
      <c r="K157" s="97">
        <f t="shared" si="18"/>
        <v>-97267442.939999938</v>
      </c>
    </row>
    <row r="158" spans="1:11" s="401" customFormat="1" x14ac:dyDescent="0.2">
      <c r="A158" s="111">
        <f t="shared" si="15"/>
        <v>113</v>
      </c>
      <c r="B158" s="53" t="s">
        <v>25</v>
      </c>
      <c r="C158" s="371">
        <v>2013</v>
      </c>
      <c r="D158" s="114">
        <v>6540400.0000000009</v>
      </c>
      <c r="E158" s="97">
        <v>490530.00000000006</v>
      </c>
      <c r="F158" s="97">
        <f t="shared" si="16"/>
        <v>7030930.0000000009</v>
      </c>
      <c r="G158" s="373">
        <v>45167044.490000032</v>
      </c>
      <c r="H158" s="373">
        <v>29167944.490000028</v>
      </c>
      <c r="I158" s="97">
        <v>1199932.5000000002</v>
      </c>
      <c r="J158" s="97">
        <f t="shared" si="17"/>
        <v>13192943.210000046</v>
      </c>
      <c r="K158" s="97">
        <f t="shared" si="18"/>
        <v>-136603489.92999998</v>
      </c>
    </row>
    <row r="159" spans="1:11" s="401" customFormat="1" x14ac:dyDescent="0.2">
      <c r="A159" s="111">
        <f t="shared" si="15"/>
        <v>114</v>
      </c>
      <c r="B159" s="58" t="s">
        <v>11</v>
      </c>
      <c r="C159" s="371">
        <v>2013</v>
      </c>
      <c r="D159" s="114">
        <v>2723899.9999999995</v>
      </c>
      <c r="E159" s="97">
        <v>204292.49999999997</v>
      </c>
      <c r="F159" s="134">
        <f t="shared" si="16"/>
        <v>2928192.4999999995</v>
      </c>
      <c r="G159" s="373">
        <v>15333957.870000001</v>
      </c>
      <c r="H159" s="373">
        <v>4828157.870000001</v>
      </c>
      <c r="I159" s="97">
        <v>787935</v>
      </c>
      <c r="J159" s="97">
        <f t="shared" si="17"/>
        <v>-757.15999995544553</v>
      </c>
      <c r="K159" s="97">
        <f t="shared" si="18"/>
        <v>-149797190.29999998</v>
      </c>
    </row>
    <row r="160" spans="1:11" s="401" customFormat="1" x14ac:dyDescent="0.2">
      <c r="A160" s="111">
        <f t="shared" si="15"/>
        <v>115</v>
      </c>
      <c r="B160" s="53" t="s">
        <v>12</v>
      </c>
      <c r="C160" s="371">
        <v>2013</v>
      </c>
      <c r="D160" s="114">
        <v>1808899.9999999998</v>
      </c>
      <c r="E160" s="97">
        <v>135667.49999999997</v>
      </c>
      <c r="F160" s="97">
        <f t="shared" si="16"/>
        <v>1944567.4999999998</v>
      </c>
      <c r="G160" s="114">
        <v>1808899.9999999998</v>
      </c>
      <c r="H160" s="114">
        <v>0</v>
      </c>
      <c r="I160" s="97">
        <v>135667.49999999997</v>
      </c>
      <c r="J160" s="97">
        <f t="shared" si="17"/>
        <v>-757.15999995541642</v>
      </c>
      <c r="K160" s="97">
        <f t="shared" si="18"/>
        <v>-149797190.29999998</v>
      </c>
    </row>
    <row r="161" spans="1:11" s="401" customFormat="1" x14ac:dyDescent="0.2">
      <c r="A161" s="111">
        <f t="shared" si="15"/>
        <v>116</v>
      </c>
      <c r="B161" s="53" t="s">
        <v>13</v>
      </c>
      <c r="C161" s="371">
        <v>2013</v>
      </c>
      <c r="D161" s="114">
        <v>1245899.9999999998</v>
      </c>
      <c r="E161" s="97">
        <v>93442.499999999985</v>
      </c>
      <c r="F161" s="97">
        <f t="shared" si="16"/>
        <v>1339342.4999999998</v>
      </c>
      <c r="G161" s="114">
        <v>1245899.9999999998</v>
      </c>
      <c r="H161" s="114">
        <v>0</v>
      </c>
      <c r="I161" s="97">
        <v>93442.499999999985</v>
      </c>
      <c r="J161" s="97">
        <f t="shared" si="17"/>
        <v>-757.15999995543098</v>
      </c>
      <c r="K161" s="97">
        <f t="shared" si="18"/>
        <v>-149797190.29999998</v>
      </c>
    </row>
    <row r="162" spans="1:11" s="401" customFormat="1" x14ac:dyDescent="0.2">
      <c r="A162" s="111">
        <f t="shared" si="15"/>
        <v>117</v>
      </c>
      <c r="B162" s="58" t="s">
        <v>15</v>
      </c>
      <c r="C162" s="371">
        <v>2013</v>
      </c>
      <c r="D162" s="114">
        <v>1147900</v>
      </c>
      <c r="E162" s="97">
        <v>86092.5</v>
      </c>
      <c r="F162" s="97">
        <f t="shared" si="16"/>
        <v>1233992.5</v>
      </c>
      <c r="G162" s="114">
        <v>1147900</v>
      </c>
      <c r="H162" s="114">
        <v>0</v>
      </c>
      <c r="I162" s="97">
        <v>86092.5</v>
      </c>
      <c r="J162" s="97">
        <f t="shared" si="17"/>
        <v>-757.15999995544553</v>
      </c>
      <c r="K162" s="97">
        <f t="shared" si="18"/>
        <v>-149797190.29999998</v>
      </c>
    </row>
    <row r="163" spans="1:11" s="401" customFormat="1" x14ac:dyDescent="0.2">
      <c r="A163" s="111">
        <f t="shared" si="15"/>
        <v>118</v>
      </c>
      <c r="B163" s="58" t="s">
        <v>14</v>
      </c>
      <c r="C163" s="371">
        <v>2013</v>
      </c>
      <c r="D163" s="114">
        <v>1097900</v>
      </c>
      <c r="E163" s="97">
        <v>82342.5</v>
      </c>
      <c r="F163" s="97">
        <f t="shared" si="16"/>
        <v>1180242.5</v>
      </c>
      <c r="G163" s="114">
        <v>1097900</v>
      </c>
      <c r="H163" s="114">
        <v>0</v>
      </c>
      <c r="I163" s="97">
        <v>82342.5</v>
      </c>
      <c r="J163" s="97">
        <f t="shared" si="17"/>
        <v>-757.15999995544553</v>
      </c>
      <c r="K163" s="97">
        <f t="shared" si="18"/>
        <v>-149797190.29999998</v>
      </c>
    </row>
    <row r="164" spans="1:11" s="401" customFormat="1" x14ac:dyDescent="0.2">
      <c r="A164" s="111">
        <f t="shared" si="15"/>
        <v>119</v>
      </c>
      <c r="B164" s="58" t="s">
        <v>6</v>
      </c>
      <c r="C164" s="371">
        <v>2013</v>
      </c>
      <c r="D164" s="114">
        <v>858900.00000000012</v>
      </c>
      <c r="E164" s="97">
        <v>64417.500000000007</v>
      </c>
      <c r="F164" s="97">
        <f t="shared" si="16"/>
        <v>923317.50000000012</v>
      </c>
      <c r="G164" s="114">
        <v>858900.00000000012</v>
      </c>
      <c r="H164" s="114">
        <v>0</v>
      </c>
      <c r="I164" s="97">
        <v>64417.500000000007</v>
      </c>
      <c r="J164" s="97">
        <f t="shared" si="17"/>
        <v>-757.1599999554528</v>
      </c>
      <c r="K164" s="97">
        <f t="shared" si="18"/>
        <v>-149797190.29999998</v>
      </c>
    </row>
    <row r="165" spans="1:11" s="401" customFormat="1" x14ac:dyDescent="0.2">
      <c r="A165" s="111">
        <f t="shared" si="15"/>
        <v>120</v>
      </c>
      <c r="B165" s="58" t="s">
        <v>7</v>
      </c>
      <c r="C165" s="371">
        <v>2014</v>
      </c>
      <c r="D165" s="114">
        <v>173000</v>
      </c>
      <c r="E165" s="97">
        <v>12975</v>
      </c>
      <c r="F165" s="97">
        <f t="shared" si="16"/>
        <v>185975</v>
      </c>
      <c r="G165" s="114">
        <v>173000</v>
      </c>
      <c r="H165" s="114">
        <v>0</v>
      </c>
      <c r="I165" s="97">
        <v>12975</v>
      </c>
      <c r="J165" s="97">
        <f t="shared" si="17"/>
        <v>-757.15999995544553</v>
      </c>
      <c r="K165" s="97">
        <f t="shared" si="18"/>
        <v>-149797190.29999998</v>
      </c>
    </row>
    <row r="166" spans="1:11" s="401" customFormat="1" x14ac:dyDescent="0.2">
      <c r="A166" s="111">
        <f t="shared" si="15"/>
        <v>121</v>
      </c>
      <c r="B166" s="53" t="s">
        <v>8</v>
      </c>
      <c r="C166" s="371">
        <v>2014</v>
      </c>
      <c r="D166" s="114">
        <v>163000</v>
      </c>
      <c r="E166" s="97">
        <v>12225</v>
      </c>
      <c r="F166" s="97">
        <f t="shared" si="16"/>
        <v>175225</v>
      </c>
      <c r="G166" s="114">
        <v>163000</v>
      </c>
      <c r="H166" s="114">
        <v>0</v>
      </c>
      <c r="I166" s="97">
        <v>12225</v>
      </c>
      <c r="J166" s="97">
        <f t="shared" si="17"/>
        <v>-757.15999995544553</v>
      </c>
      <c r="K166" s="97">
        <f t="shared" si="18"/>
        <v>-149797190.29999998</v>
      </c>
    </row>
    <row r="167" spans="1:11" s="401" customFormat="1" x14ac:dyDescent="0.2">
      <c r="A167" s="111">
        <f t="shared" si="15"/>
        <v>122</v>
      </c>
      <c r="B167" s="53" t="s">
        <v>18</v>
      </c>
      <c r="C167" s="371">
        <v>2014</v>
      </c>
      <c r="D167" s="114">
        <v>163000</v>
      </c>
      <c r="E167" s="97">
        <v>12225</v>
      </c>
      <c r="F167" s="97">
        <f t="shared" si="16"/>
        <v>175225</v>
      </c>
      <c r="G167" s="114">
        <v>163000</v>
      </c>
      <c r="H167" s="114">
        <v>0</v>
      </c>
      <c r="I167" s="97">
        <v>12225</v>
      </c>
      <c r="J167" s="97">
        <f t="shared" si="17"/>
        <v>-757.15999995544553</v>
      </c>
      <c r="K167" s="97">
        <f t="shared" si="18"/>
        <v>-149797190.29999998</v>
      </c>
    </row>
    <row r="168" spans="1:11" s="401" customFormat="1" x14ac:dyDescent="0.2">
      <c r="A168" s="111">
        <f t="shared" si="15"/>
        <v>123</v>
      </c>
      <c r="B168" s="58" t="s">
        <v>9</v>
      </c>
      <c r="C168" s="371">
        <v>2014</v>
      </c>
      <c r="D168" s="114">
        <v>163000</v>
      </c>
      <c r="E168" s="97">
        <v>12225</v>
      </c>
      <c r="F168" s="97">
        <f t="shared" si="16"/>
        <v>175225</v>
      </c>
      <c r="G168" s="114">
        <v>163000</v>
      </c>
      <c r="H168" s="114">
        <v>0</v>
      </c>
      <c r="I168" s="97">
        <v>12225</v>
      </c>
      <c r="J168" s="97">
        <f t="shared" si="17"/>
        <v>-757.15999995544553</v>
      </c>
      <c r="K168" s="97">
        <f t="shared" si="18"/>
        <v>-149797190.29999998</v>
      </c>
    </row>
    <row r="169" spans="1:11" s="401" customFormat="1" x14ac:dyDescent="0.2">
      <c r="A169" s="111">
        <f t="shared" si="15"/>
        <v>124</v>
      </c>
      <c r="B169" s="53" t="s">
        <v>10</v>
      </c>
      <c r="C169" s="371">
        <v>2014</v>
      </c>
      <c r="D169" s="114">
        <v>163000</v>
      </c>
      <c r="E169" s="97">
        <v>12225</v>
      </c>
      <c r="F169" s="97">
        <f t="shared" si="16"/>
        <v>175225</v>
      </c>
      <c r="G169" s="114">
        <v>163000</v>
      </c>
      <c r="H169" s="114">
        <v>0</v>
      </c>
      <c r="I169" s="97">
        <v>12225</v>
      </c>
      <c r="J169" s="97">
        <f t="shared" si="17"/>
        <v>-757.15999995544553</v>
      </c>
      <c r="K169" s="97">
        <f t="shared" si="18"/>
        <v>-149797190.29999998</v>
      </c>
    </row>
    <row r="170" spans="1:11" s="401" customFormat="1" x14ac:dyDescent="0.2">
      <c r="A170" s="111">
        <f t="shared" si="15"/>
        <v>125</v>
      </c>
      <c r="B170" s="53" t="s">
        <v>25</v>
      </c>
      <c r="C170" s="371">
        <v>2014</v>
      </c>
      <c r="D170" s="114">
        <v>163000</v>
      </c>
      <c r="E170" s="97">
        <v>12225</v>
      </c>
      <c r="F170" s="97">
        <f t="shared" si="16"/>
        <v>175225</v>
      </c>
      <c r="G170" s="114">
        <v>163000</v>
      </c>
      <c r="H170" s="114">
        <v>0</v>
      </c>
      <c r="I170" s="97">
        <v>12225</v>
      </c>
      <c r="J170" s="97">
        <f t="shared" si="17"/>
        <v>-757.15999995544553</v>
      </c>
      <c r="K170" s="97">
        <f t="shared" si="18"/>
        <v>-149797190.29999998</v>
      </c>
    </row>
    <row r="171" spans="1:11" s="401" customFormat="1" x14ac:dyDescent="0.2">
      <c r="A171" s="111">
        <f t="shared" si="15"/>
        <v>126</v>
      </c>
      <c r="B171" s="58" t="s">
        <v>11</v>
      </c>
      <c r="C171" s="371">
        <v>2014</v>
      </c>
      <c r="D171" s="114">
        <v>162000</v>
      </c>
      <c r="E171" s="97">
        <v>12150</v>
      </c>
      <c r="F171" s="97">
        <f t="shared" si="16"/>
        <v>174150</v>
      </c>
      <c r="G171" s="114">
        <v>162000</v>
      </c>
      <c r="H171" s="114">
        <v>0</v>
      </c>
      <c r="I171" s="97">
        <v>12150</v>
      </c>
      <c r="J171" s="97">
        <f t="shared" si="17"/>
        <v>-757.15999995544553</v>
      </c>
      <c r="K171" s="97">
        <f t="shared" si="18"/>
        <v>-149797190.29999998</v>
      </c>
    </row>
    <row r="172" spans="1:11" s="401" customFormat="1" x14ac:dyDescent="0.2">
      <c r="A172" s="111">
        <f t="shared" si="15"/>
        <v>127</v>
      </c>
      <c r="B172" s="53" t="s">
        <v>12</v>
      </c>
      <c r="C172" s="371">
        <v>2014</v>
      </c>
      <c r="D172" s="114">
        <v>162000</v>
      </c>
      <c r="E172" s="97">
        <v>12150</v>
      </c>
      <c r="F172" s="97">
        <f t="shared" si="16"/>
        <v>174150</v>
      </c>
      <c r="G172" s="114">
        <v>162000</v>
      </c>
      <c r="H172" s="114">
        <v>0</v>
      </c>
      <c r="I172" s="97">
        <v>12150</v>
      </c>
      <c r="J172" s="97">
        <f t="shared" si="17"/>
        <v>-757.15999995544553</v>
      </c>
      <c r="K172" s="97">
        <f t="shared" si="18"/>
        <v>-149797190.29999998</v>
      </c>
    </row>
    <row r="173" spans="1:11" s="401" customFormat="1" x14ac:dyDescent="0.2">
      <c r="A173" s="111">
        <f t="shared" si="15"/>
        <v>128</v>
      </c>
      <c r="B173" s="53" t="s">
        <v>13</v>
      </c>
      <c r="C173" s="371">
        <v>2014</v>
      </c>
      <c r="D173" s="114">
        <v>162000</v>
      </c>
      <c r="E173" s="97">
        <v>12150</v>
      </c>
      <c r="F173" s="97">
        <f t="shared" si="16"/>
        <v>174150</v>
      </c>
      <c r="G173" s="114">
        <v>162000</v>
      </c>
      <c r="H173" s="114">
        <v>0</v>
      </c>
      <c r="I173" s="97">
        <v>12150</v>
      </c>
      <c r="J173" s="97">
        <f t="shared" si="17"/>
        <v>-757.15999995544553</v>
      </c>
      <c r="K173" s="97">
        <f t="shared" si="18"/>
        <v>-149797190.29999998</v>
      </c>
    </row>
    <row r="174" spans="1:11" s="401" customFormat="1" x14ac:dyDescent="0.2">
      <c r="A174" s="111">
        <f t="shared" si="15"/>
        <v>129</v>
      </c>
      <c r="B174" s="53" t="s">
        <v>15</v>
      </c>
      <c r="C174" s="371">
        <v>2014</v>
      </c>
      <c r="D174" s="114">
        <v>159000</v>
      </c>
      <c r="E174" s="97">
        <v>11925</v>
      </c>
      <c r="F174" s="97">
        <f t="shared" si="16"/>
        <v>170925</v>
      </c>
      <c r="G174" s="114">
        <v>159000</v>
      </c>
      <c r="H174" s="114">
        <v>0</v>
      </c>
      <c r="I174" s="97">
        <v>11925</v>
      </c>
      <c r="J174" s="97">
        <f t="shared" si="17"/>
        <v>-757.15999995544553</v>
      </c>
      <c r="K174" s="97">
        <f t="shared" si="18"/>
        <v>-149797190.29999998</v>
      </c>
    </row>
    <row r="175" spans="1:11" s="401" customFormat="1" x14ac:dyDescent="0.2">
      <c r="A175" s="111">
        <f t="shared" si="15"/>
        <v>130</v>
      </c>
      <c r="B175" s="53" t="s">
        <v>14</v>
      </c>
      <c r="C175" s="371">
        <v>2014</v>
      </c>
      <c r="D175" s="114">
        <v>317000</v>
      </c>
      <c r="E175" s="97">
        <v>23775</v>
      </c>
      <c r="F175" s="97">
        <f t="shared" si="16"/>
        <v>340775</v>
      </c>
      <c r="G175" s="114">
        <v>317000</v>
      </c>
      <c r="H175" s="114">
        <v>0</v>
      </c>
      <c r="I175" s="97">
        <v>23775</v>
      </c>
      <c r="J175" s="97">
        <f t="shared" si="17"/>
        <v>-757.15999995544553</v>
      </c>
      <c r="K175" s="97">
        <f t="shared" si="18"/>
        <v>-149797190.29999998</v>
      </c>
    </row>
    <row r="176" spans="1:11" s="401" customFormat="1" x14ac:dyDescent="0.2">
      <c r="A176" s="111">
        <f t="shared" si="15"/>
        <v>131</v>
      </c>
      <c r="B176" s="53" t="s">
        <v>6</v>
      </c>
      <c r="C176" s="371">
        <v>2014</v>
      </c>
      <c r="D176" s="114">
        <v>317000</v>
      </c>
      <c r="E176" s="97">
        <v>23775</v>
      </c>
      <c r="F176" s="97">
        <f t="shared" si="16"/>
        <v>340775</v>
      </c>
      <c r="G176" s="114">
        <v>317000</v>
      </c>
      <c r="H176" s="114">
        <v>0</v>
      </c>
      <c r="I176" s="97">
        <v>23775</v>
      </c>
      <c r="J176" s="97">
        <f t="shared" si="17"/>
        <v>-757.15999995544553</v>
      </c>
      <c r="K176" s="107">
        <f t="shared" si="18"/>
        <v>-149797190.29999998</v>
      </c>
    </row>
    <row r="177" spans="1:11" s="401" customFormat="1" x14ac:dyDescent="0.2">
      <c r="A177" s="111">
        <f t="shared" si="15"/>
        <v>132</v>
      </c>
      <c r="B177" s="64"/>
      <c r="C177" s="398" t="s">
        <v>418</v>
      </c>
      <c r="D177" s="64"/>
      <c r="E177" s="64"/>
      <c r="F177" s="64"/>
      <c r="G177" s="64"/>
      <c r="H177" s="64"/>
      <c r="I177" s="64"/>
      <c r="J177" s="106"/>
      <c r="K177" s="399">
        <f>AVERAGE(K164:K176)</f>
        <v>-149797190.29999998</v>
      </c>
    </row>
    <row r="178" spans="1:11" s="401" customFormat="1" x14ac:dyDescent="0.2">
      <c r="A178" s="111"/>
      <c r="B178" s="64"/>
      <c r="C178" s="398"/>
      <c r="D178" s="64"/>
      <c r="E178" s="64"/>
      <c r="F178" s="64"/>
      <c r="G178" s="64"/>
      <c r="H178" s="64"/>
      <c r="I178" s="64"/>
      <c r="J178" s="64"/>
      <c r="K178" s="407"/>
    </row>
    <row r="179" spans="1:11" s="401" customFormat="1" x14ac:dyDescent="0.2">
      <c r="B179" s="402" t="s">
        <v>430</v>
      </c>
      <c r="D179" s="737" t="s">
        <v>431</v>
      </c>
      <c r="E179" s="737"/>
    </row>
    <row r="180" spans="1:11" s="401" customFormat="1" x14ac:dyDescent="0.2">
      <c r="A180" s="389"/>
      <c r="B180" s="389"/>
      <c r="C180" s="389"/>
      <c r="D180" s="389" t="s">
        <v>152</v>
      </c>
      <c r="E180" s="389" t="s">
        <v>153</v>
      </c>
      <c r="F180" s="389" t="s">
        <v>154</v>
      </c>
      <c r="G180" s="389" t="s">
        <v>155</v>
      </c>
      <c r="H180" s="389" t="s">
        <v>371</v>
      </c>
      <c r="I180" s="389" t="s">
        <v>372</v>
      </c>
      <c r="J180" s="389" t="s">
        <v>386</v>
      </c>
      <c r="K180" s="389" t="s">
        <v>387</v>
      </c>
    </row>
    <row r="181" spans="1:11" s="401" customFormat="1" ht="38.25" x14ac:dyDescent="0.2">
      <c r="D181" s="403"/>
      <c r="E181" s="404" t="s">
        <v>421</v>
      </c>
      <c r="F181" s="394" t="s">
        <v>422</v>
      </c>
      <c r="G181" s="405"/>
      <c r="H181" s="403"/>
      <c r="I181" s="404" t="s">
        <v>423</v>
      </c>
      <c r="J181" s="404" t="s">
        <v>424</v>
      </c>
      <c r="K181" s="404" t="s">
        <v>425</v>
      </c>
    </row>
    <row r="182" spans="1:11" s="401" customFormat="1" x14ac:dyDescent="0.2">
      <c r="D182" s="403"/>
      <c r="E182" s="404"/>
      <c r="F182" s="394"/>
      <c r="G182" s="139" t="str">
        <f>G51</f>
        <v>Unloaded</v>
      </c>
      <c r="H182" s="403"/>
      <c r="I182" s="404"/>
      <c r="J182" s="404"/>
      <c r="K182" s="404"/>
    </row>
    <row r="183" spans="1:11" s="401" customFormat="1" x14ac:dyDescent="0.2">
      <c r="A183" s="392"/>
      <c r="B183" s="392"/>
      <c r="C183" s="392"/>
      <c r="D183" s="392" t="str">
        <f>D$52</f>
        <v>Forecast</v>
      </c>
      <c r="E183" s="392" t="str">
        <f>E$52</f>
        <v>Corporate</v>
      </c>
      <c r="F183" s="392" t="str">
        <f>F$52</f>
        <v xml:space="preserve">Total </v>
      </c>
      <c r="G183" s="139" t="str">
        <f>G52</f>
        <v>Total</v>
      </c>
      <c r="H183" s="392" t="str">
        <f>H$52</f>
        <v>Prior Period</v>
      </c>
      <c r="I183" s="392" t="str">
        <f>I$52</f>
        <v>Over Heads</v>
      </c>
      <c r="J183" s="392" t="str">
        <f>J$52</f>
        <v>Forecast</v>
      </c>
      <c r="K183" s="93" t="str">
        <f>K$52</f>
        <v>Forecast Period</v>
      </c>
    </row>
    <row r="184" spans="1:11" s="401" customFormat="1" x14ac:dyDescent="0.2">
      <c r="A184" s="136" t="s">
        <v>296</v>
      </c>
      <c r="B184" s="57" t="s">
        <v>16</v>
      </c>
      <c r="C184" s="57" t="s">
        <v>17</v>
      </c>
      <c r="D184" s="389" t="str">
        <f>D$53</f>
        <v>Expenditures</v>
      </c>
      <c r="E184" s="389" t="str">
        <f>E$53</f>
        <v>Overheads</v>
      </c>
      <c r="F184" s="389" t="str">
        <f>F$53</f>
        <v>CWIP Exp</v>
      </c>
      <c r="G184" s="92" t="str">
        <f>G53</f>
        <v>Plant Adds</v>
      </c>
      <c r="H184" s="389" t="str">
        <f>H$53</f>
        <v>CWIP Closed</v>
      </c>
      <c r="I184" s="389" t="str">
        <f>I$53</f>
        <v>Closed to PIS</v>
      </c>
      <c r="J184" s="389" t="str">
        <f>J$53</f>
        <v>Period CWIP</v>
      </c>
      <c r="K184" s="389" t="str">
        <f>K$53</f>
        <v>Incremental CWIP</v>
      </c>
    </row>
    <row r="185" spans="1:11" s="401" customFormat="1" x14ac:dyDescent="0.2">
      <c r="A185" s="111">
        <f>A177+1</f>
        <v>133</v>
      </c>
      <c r="B185" s="58" t="s">
        <v>6</v>
      </c>
      <c r="C185" s="371">
        <v>2012</v>
      </c>
      <c r="D185" s="394" t="s">
        <v>400</v>
      </c>
      <c r="E185" s="394" t="s">
        <v>400</v>
      </c>
      <c r="F185" s="394" t="s">
        <v>400</v>
      </c>
      <c r="G185" s="394" t="s">
        <v>400</v>
      </c>
      <c r="H185" s="394" t="s">
        <v>400</v>
      </c>
      <c r="I185" s="394" t="s">
        <v>400</v>
      </c>
      <c r="J185" s="97">
        <f>H25</f>
        <v>-69617.340000000084</v>
      </c>
      <c r="K185" s="394" t="s">
        <v>400</v>
      </c>
    </row>
    <row r="186" spans="1:11" s="401" customFormat="1" x14ac:dyDescent="0.2">
      <c r="A186" s="111">
        <f t="shared" ref="A186:A210" si="19">A185+1</f>
        <v>134</v>
      </c>
      <c r="B186" s="58" t="s">
        <v>7</v>
      </c>
      <c r="C186" s="371">
        <v>2013</v>
      </c>
      <c r="D186" s="114">
        <v>0</v>
      </c>
      <c r="E186" s="97">
        <v>0</v>
      </c>
      <c r="F186" s="97">
        <f t="shared" ref="F186:F209" si="20">E186+D186</f>
        <v>0</v>
      </c>
      <c r="G186" s="114">
        <v>0</v>
      </c>
      <c r="H186" s="114">
        <v>0</v>
      </c>
      <c r="I186" s="97">
        <v>0</v>
      </c>
      <c r="J186" s="97">
        <f t="shared" ref="J186:J209" si="21">J185+F186-G186-I186</f>
        <v>-69617.340000000084</v>
      </c>
      <c r="K186" s="97">
        <f t="shared" ref="K186:K209" si="22">J186-$J$185</f>
        <v>0</v>
      </c>
    </row>
    <row r="187" spans="1:11" s="401" customFormat="1" x14ac:dyDescent="0.2">
      <c r="A187" s="111">
        <f t="shared" si="19"/>
        <v>135</v>
      </c>
      <c r="B187" s="53" t="s">
        <v>8</v>
      </c>
      <c r="C187" s="371">
        <v>2013</v>
      </c>
      <c r="D187" s="114">
        <v>0</v>
      </c>
      <c r="E187" s="97">
        <v>0</v>
      </c>
      <c r="F187" s="97">
        <f t="shared" si="20"/>
        <v>0</v>
      </c>
      <c r="G187" s="114">
        <v>0</v>
      </c>
      <c r="H187" s="114">
        <v>0</v>
      </c>
      <c r="I187" s="97">
        <v>0</v>
      </c>
      <c r="J187" s="97">
        <f t="shared" si="21"/>
        <v>-69617.340000000084</v>
      </c>
      <c r="K187" s="97">
        <f t="shared" si="22"/>
        <v>0</v>
      </c>
    </row>
    <row r="188" spans="1:11" s="401" customFormat="1" x14ac:dyDescent="0.2">
      <c r="A188" s="111">
        <f t="shared" si="19"/>
        <v>136</v>
      </c>
      <c r="B188" s="53" t="s">
        <v>18</v>
      </c>
      <c r="C188" s="371">
        <v>2013</v>
      </c>
      <c r="D188" s="114">
        <v>0</v>
      </c>
      <c r="E188" s="97">
        <v>0</v>
      </c>
      <c r="F188" s="97">
        <f t="shared" si="20"/>
        <v>0</v>
      </c>
      <c r="G188" s="114">
        <v>0</v>
      </c>
      <c r="H188" s="114">
        <v>0</v>
      </c>
      <c r="I188" s="97">
        <v>0</v>
      </c>
      <c r="J188" s="97">
        <f t="shared" si="21"/>
        <v>-69617.340000000084</v>
      </c>
      <c r="K188" s="97">
        <f t="shared" si="22"/>
        <v>0</v>
      </c>
    </row>
    <row r="189" spans="1:11" s="401" customFormat="1" x14ac:dyDescent="0.2">
      <c r="A189" s="111">
        <f t="shared" si="19"/>
        <v>137</v>
      </c>
      <c r="B189" s="58" t="s">
        <v>9</v>
      </c>
      <c r="C189" s="371">
        <v>2013</v>
      </c>
      <c r="D189" s="114">
        <v>0</v>
      </c>
      <c r="E189" s="97">
        <v>0</v>
      </c>
      <c r="F189" s="97">
        <f t="shared" si="20"/>
        <v>0</v>
      </c>
      <c r="G189" s="114">
        <v>0</v>
      </c>
      <c r="H189" s="114">
        <v>0</v>
      </c>
      <c r="I189" s="97">
        <v>0</v>
      </c>
      <c r="J189" s="97">
        <f t="shared" si="21"/>
        <v>-69617.340000000084</v>
      </c>
      <c r="K189" s="97">
        <f t="shared" si="22"/>
        <v>0</v>
      </c>
    </row>
    <row r="190" spans="1:11" s="401" customFormat="1" x14ac:dyDescent="0.2">
      <c r="A190" s="111">
        <f t="shared" si="19"/>
        <v>138</v>
      </c>
      <c r="B190" s="53" t="s">
        <v>10</v>
      </c>
      <c r="C190" s="371">
        <v>2013</v>
      </c>
      <c r="D190" s="114">
        <v>0</v>
      </c>
      <c r="E190" s="97">
        <v>0</v>
      </c>
      <c r="F190" s="97">
        <f t="shared" si="20"/>
        <v>0</v>
      </c>
      <c r="G190" s="114">
        <v>0</v>
      </c>
      <c r="H190" s="114">
        <v>0</v>
      </c>
      <c r="I190" s="97">
        <v>0</v>
      </c>
      <c r="J190" s="97">
        <f t="shared" si="21"/>
        <v>-69617.340000000084</v>
      </c>
      <c r="K190" s="97">
        <f t="shared" si="22"/>
        <v>0</v>
      </c>
    </row>
    <row r="191" spans="1:11" s="401" customFormat="1" x14ac:dyDescent="0.2">
      <c r="A191" s="111">
        <f t="shared" si="19"/>
        <v>139</v>
      </c>
      <c r="B191" s="53" t="s">
        <v>25</v>
      </c>
      <c r="C191" s="371">
        <v>2013</v>
      </c>
      <c r="D191" s="114">
        <v>0</v>
      </c>
      <c r="E191" s="97">
        <v>0</v>
      </c>
      <c r="F191" s="97">
        <f t="shared" si="20"/>
        <v>0</v>
      </c>
      <c r="G191" s="114">
        <v>0</v>
      </c>
      <c r="H191" s="114">
        <v>0</v>
      </c>
      <c r="I191" s="97">
        <v>0</v>
      </c>
      <c r="J191" s="97">
        <f t="shared" si="21"/>
        <v>-69617.340000000084</v>
      </c>
      <c r="K191" s="97">
        <f t="shared" si="22"/>
        <v>0</v>
      </c>
    </row>
    <row r="192" spans="1:11" s="401" customFormat="1" x14ac:dyDescent="0.2">
      <c r="A192" s="111">
        <f t="shared" si="19"/>
        <v>140</v>
      </c>
      <c r="B192" s="58" t="s">
        <v>11</v>
      </c>
      <c r="C192" s="371">
        <v>2013</v>
      </c>
      <c r="D192" s="114">
        <v>0</v>
      </c>
      <c r="E192" s="97">
        <v>0</v>
      </c>
      <c r="F192" s="97">
        <f t="shared" si="20"/>
        <v>0</v>
      </c>
      <c r="G192" s="114">
        <v>0</v>
      </c>
      <c r="H192" s="114">
        <v>0</v>
      </c>
      <c r="I192" s="97">
        <v>0</v>
      </c>
      <c r="J192" s="97">
        <f t="shared" si="21"/>
        <v>-69617.340000000084</v>
      </c>
      <c r="K192" s="97">
        <f t="shared" si="22"/>
        <v>0</v>
      </c>
    </row>
    <row r="193" spans="1:11" s="401" customFormat="1" x14ac:dyDescent="0.2">
      <c r="A193" s="111">
        <f t="shared" si="19"/>
        <v>141</v>
      </c>
      <c r="B193" s="53" t="s">
        <v>12</v>
      </c>
      <c r="C193" s="371">
        <v>2013</v>
      </c>
      <c r="D193" s="114">
        <v>0</v>
      </c>
      <c r="E193" s="97">
        <v>0</v>
      </c>
      <c r="F193" s="97">
        <f t="shared" si="20"/>
        <v>0</v>
      </c>
      <c r="G193" s="114">
        <v>0</v>
      </c>
      <c r="H193" s="114">
        <v>0</v>
      </c>
      <c r="I193" s="97">
        <v>0</v>
      </c>
      <c r="J193" s="97">
        <f t="shared" si="21"/>
        <v>-69617.340000000084</v>
      </c>
      <c r="K193" s="97">
        <f t="shared" si="22"/>
        <v>0</v>
      </c>
    </row>
    <row r="194" spans="1:11" s="401" customFormat="1" x14ac:dyDescent="0.2">
      <c r="A194" s="111">
        <f t="shared" si="19"/>
        <v>142</v>
      </c>
      <c r="B194" s="53" t="s">
        <v>13</v>
      </c>
      <c r="C194" s="371">
        <v>2013</v>
      </c>
      <c r="D194" s="114">
        <v>0</v>
      </c>
      <c r="E194" s="97">
        <v>0</v>
      </c>
      <c r="F194" s="97">
        <f t="shared" si="20"/>
        <v>0</v>
      </c>
      <c r="G194" s="114">
        <v>0</v>
      </c>
      <c r="H194" s="114">
        <v>0</v>
      </c>
      <c r="I194" s="97">
        <v>0</v>
      </c>
      <c r="J194" s="97">
        <f t="shared" si="21"/>
        <v>-69617.340000000084</v>
      </c>
      <c r="K194" s="97">
        <f t="shared" si="22"/>
        <v>0</v>
      </c>
    </row>
    <row r="195" spans="1:11" s="401" customFormat="1" x14ac:dyDescent="0.2">
      <c r="A195" s="111">
        <f t="shared" si="19"/>
        <v>143</v>
      </c>
      <c r="B195" s="58" t="s">
        <v>15</v>
      </c>
      <c r="C195" s="371">
        <v>2013</v>
      </c>
      <c r="D195" s="114">
        <v>0</v>
      </c>
      <c r="E195" s="97">
        <v>0</v>
      </c>
      <c r="F195" s="97">
        <f t="shared" si="20"/>
        <v>0</v>
      </c>
      <c r="G195" s="114">
        <v>0</v>
      </c>
      <c r="H195" s="114">
        <v>0</v>
      </c>
      <c r="I195" s="97">
        <v>0</v>
      </c>
      <c r="J195" s="97">
        <f t="shared" si="21"/>
        <v>-69617.340000000084</v>
      </c>
      <c r="K195" s="97">
        <f t="shared" si="22"/>
        <v>0</v>
      </c>
    </row>
    <row r="196" spans="1:11" s="401" customFormat="1" x14ac:dyDescent="0.2">
      <c r="A196" s="111">
        <f t="shared" si="19"/>
        <v>144</v>
      </c>
      <c r="B196" s="58" t="s">
        <v>14</v>
      </c>
      <c r="C196" s="371">
        <v>2013</v>
      </c>
      <c r="D196" s="114">
        <v>0</v>
      </c>
      <c r="E196" s="97">
        <v>0</v>
      </c>
      <c r="F196" s="97">
        <f t="shared" si="20"/>
        <v>0</v>
      </c>
      <c r="G196" s="114">
        <v>0</v>
      </c>
      <c r="H196" s="114">
        <v>0</v>
      </c>
      <c r="I196" s="97">
        <v>0</v>
      </c>
      <c r="J196" s="97">
        <f t="shared" si="21"/>
        <v>-69617.340000000084</v>
      </c>
      <c r="K196" s="97">
        <f t="shared" si="22"/>
        <v>0</v>
      </c>
    </row>
    <row r="197" spans="1:11" s="401" customFormat="1" x14ac:dyDescent="0.2">
      <c r="A197" s="111">
        <f t="shared" si="19"/>
        <v>145</v>
      </c>
      <c r="B197" s="58" t="s">
        <v>6</v>
      </c>
      <c r="C197" s="371">
        <v>2013</v>
      </c>
      <c r="D197" s="114">
        <v>0</v>
      </c>
      <c r="E197" s="97">
        <v>0</v>
      </c>
      <c r="F197" s="97">
        <f t="shared" si="20"/>
        <v>0</v>
      </c>
      <c r="G197" s="114">
        <v>0</v>
      </c>
      <c r="H197" s="114">
        <v>0</v>
      </c>
      <c r="I197" s="97">
        <v>0</v>
      </c>
      <c r="J197" s="97">
        <f t="shared" si="21"/>
        <v>-69617.340000000084</v>
      </c>
      <c r="K197" s="97">
        <f t="shared" si="22"/>
        <v>0</v>
      </c>
    </row>
    <row r="198" spans="1:11" s="401" customFormat="1" x14ac:dyDescent="0.2">
      <c r="A198" s="111">
        <f t="shared" si="19"/>
        <v>146</v>
      </c>
      <c r="B198" s="58" t="s">
        <v>7</v>
      </c>
      <c r="C198" s="371">
        <v>2014</v>
      </c>
      <c r="D198" s="114">
        <v>0</v>
      </c>
      <c r="E198" s="97">
        <v>0</v>
      </c>
      <c r="F198" s="97">
        <f t="shared" si="20"/>
        <v>0</v>
      </c>
      <c r="G198" s="114">
        <v>0</v>
      </c>
      <c r="H198" s="114">
        <v>0</v>
      </c>
      <c r="I198" s="97">
        <v>0</v>
      </c>
      <c r="J198" s="97">
        <f t="shared" si="21"/>
        <v>-69617.340000000084</v>
      </c>
      <c r="K198" s="97">
        <f t="shared" si="22"/>
        <v>0</v>
      </c>
    </row>
    <row r="199" spans="1:11" s="401" customFormat="1" x14ac:dyDescent="0.2">
      <c r="A199" s="111">
        <f t="shared" si="19"/>
        <v>147</v>
      </c>
      <c r="B199" s="53" t="s">
        <v>8</v>
      </c>
      <c r="C199" s="371">
        <v>2014</v>
      </c>
      <c r="D199" s="114">
        <v>0</v>
      </c>
      <c r="E199" s="97">
        <v>0</v>
      </c>
      <c r="F199" s="97">
        <f t="shared" si="20"/>
        <v>0</v>
      </c>
      <c r="G199" s="114">
        <v>0</v>
      </c>
      <c r="H199" s="114">
        <v>0</v>
      </c>
      <c r="I199" s="97">
        <v>0</v>
      </c>
      <c r="J199" s="97">
        <f t="shared" si="21"/>
        <v>-69617.340000000084</v>
      </c>
      <c r="K199" s="97">
        <f t="shared" si="22"/>
        <v>0</v>
      </c>
    </row>
    <row r="200" spans="1:11" s="401" customFormat="1" x14ac:dyDescent="0.2">
      <c r="A200" s="111">
        <f t="shared" si="19"/>
        <v>148</v>
      </c>
      <c r="B200" s="53" t="s">
        <v>18</v>
      </c>
      <c r="C200" s="371">
        <v>2014</v>
      </c>
      <c r="D200" s="114">
        <v>0</v>
      </c>
      <c r="E200" s="97">
        <v>0</v>
      </c>
      <c r="F200" s="97">
        <f t="shared" si="20"/>
        <v>0</v>
      </c>
      <c r="G200" s="114">
        <v>0</v>
      </c>
      <c r="H200" s="114">
        <v>0</v>
      </c>
      <c r="I200" s="97">
        <v>0</v>
      </c>
      <c r="J200" s="97">
        <f t="shared" si="21"/>
        <v>-69617.340000000084</v>
      </c>
      <c r="K200" s="97">
        <f t="shared" si="22"/>
        <v>0</v>
      </c>
    </row>
    <row r="201" spans="1:11" s="401" customFormat="1" x14ac:dyDescent="0.2">
      <c r="A201" s="111">
        <f t="shared" si="19"/>
        <v>149</v>
      </c>
      <c r="B201" s="58" t="s">
        <v>9</v>
      </c>
      <c r="C201" s="371">
        <v>2014</v>
      </c>
      <c r="D201" s="114">
        <v>0</v>
      </c>
      <c r="E201" s="97">
        <v>0</v>
      </c>
      <c r="F201" s="97">
        <f t="shared" si="20"/>
        <v>0</v>
      </c>
      <c r="G201" s="114">
        <v>0</v>
      </c>
      <c r="H201" s="114">
        <v>0</v>
      </c>
      <c r="I201" s="97">
        <v>0</v>
      </c>
      <c r="J201" s="97">
        <f t="shared" si="21"/>
        <v>-69617.340000000084</v>
      </c>
      <c r="K201" s="97">
        <f t="shared" si="22"/>
        <v>0</v>
      </c>
    </row>
    <row r="202" spans="1:11" s="401" customFormat="1" x14ac:dyDescent="0.2">
      <c r="A202" s="111">
        <f t="shared" si="19"/>
        <v>150</v>
      </c>
      <c r="B202" s="53" t="s">
        <v>10</v>
      </c>
      <c r="C202" s="371">
        <v>2014</v>
      </c>
      <c r="D202" s="114">
        <v>0</v>
      </c>
      <c r="E202" s="97">
        <v>0</v>
      </c>
      <c r="F202" s="97">
        <f t="shared" si="20"/>
        <v>0</v>
      </c>
      <c r="G202" s="114">
        <v>0</v>
      </c>
      <c r="H202" s="114">
        <v>0</v>
      </c>
      <c r="I202" s="97">
        <v>0</v>
      </c>
      <c r="J202" s="97">
        <f t="shared" si="21"/>
        <v>-69617.340000000084</v>
      </c>
      <c r="K202" s="97">
        <f t="shared" si="22"/>
        <v>0</v>
      </c>
    </row>
    <row r="203" spans="1:11" s="401" customFormat="1" x14ac:dyDescent="0.2">
      <c r="A203" s="111">
        <f t="shared" si="19"/>
        <v>151</v>
      </c>
      <c r="B203" s="53" t="s">
        <v>25</v>
      </c>
      <c r="C203" s="371">
        <v>2014</v>
      </c>
      <c r="D203" s="114">
        <v>0</v>
      </c>
      <c r="E203" s="97">
        <v>0</v>
      </c>
      <c r="F203" s="97">
        <f t="shared" si="20"/>
        <v>0</v>
      </c>
      <c r="G203" s="114">
        <v>0</v>
      </c>
      <c r="H203" s="114">
        <v>0</v>
      </c>
      <c r="I203" s="97">
        <v>0</v>
      </c>
      <c r="J203" s="97">
        <f t="shared" si="21"/>
        <v>-69617.340000000084</v>
      </c>
      <c r="K203" s="97">
        <f t="shared" si="22"/>
        <v>0</v>
      </c>
    </row>
    <row r="204" spans="1:11" s="401" customFormat="1" x14ac:dyDescent="0.2">
      <c r="A204" s="111">
        <f t="shared" si="19"/>
        <v>152</v>
      </c>
      <c r="B204" s="58" t="s">
        <v>11</v>
      </c>
      <c r="C204" s="371">
        <v>2014</v>
      </c>
      <c r="D204" s="114">
        <v>0</v>
      </c>
      <c r="E204" s="97">
        <v>0</v>
      </c>
      <c r="F204" s="97">
        <f t="shared" si="20"/>
        <v>0</v>
      </c>
      <c r="G204" s="114">
        <v>0</v>
      </c>
      <c r="H204" s="114">
        <v>0</v>
      </c>
      <c r="I204" s="97">
        <v>0</v>
      </c>
      <c r="J204" s="97">
        <f t="shared" si="21"/>
        <v>-69617.340000000084</v>
      </c>
      <c r="K204" s="97">
        <f t="shared" si="22"/>
        <v>0</v>
      </c>
    </row>
    <row r="205" spans="1:11" s="401" customFormat="1" x14ac:dyDescent="0.2">
      <c r="A205" s="111">
        <f t="shared" si="19"/>
        <v>153</v>
      </c>
      <c r="B205" s="53" t="s">
        <v>12</v>
      </c>
      <c r="C205" s="371">
        <v>2014</v>
      </c>
      <c r="D205" s="114">
        <v>0</v>
      </c>
      <c r="E205" s="97">
        <v>0</v>
      </c>
      <c r="F205" s="97">
        <f t="shared" si="20"/>
        <v>0</v>
      </c>
      <c r="G205" s="114">
        <v>0</v>
      </c>
      <c r="H205" s="114">
        <v>0</v>
      </c>
      <c r="I205" s="97">
        <v>0</v>
      </c>
      <c r="J205" s="97">
        <f t="shared" si="21"/>
        <v>-69617.340000000084</v>
      </c>
      <c r="K205" s="97">
        <f t="shared" si="22"/>
        <v>0</v>
      </c>
    </row>
    <row r="206" spans="1:11" s="401" customFormat="1" x14ac:dyDescent="0.2">
      <c r="A206" s="111">
        <f t="shared" si="19"/>
        <v>154</v>
      </c>
      <c r="B206" s="53" t="s">
        <v>13</v>
      </c>
      <c r="C206" s="371">
        <v>2014</v>
      </c>
      <c r="D206" s="114">
        <v>0</v>
      </c>
      <c r="E206" s="97">
        <v>0</v>
      </c>
      <c r="F206" s="97">
        <f t="shared" si="20"/>
        <v>0</v>
      </c>
      <c r="G206" s="114">
        <v>0</v>
      </c>
      <c r="H206" s="114">
        <v>0</v>
      </c>
      <c r="I206" s="97">
        <v>0</v>
      </c>
      <c r="J206" s="97">
        <f t="shared" si="21"/>
        <v>-69617.340000000084</v>
      </c>
      <c r="K206" s="97">
        <f t="shared" si="22"/>
        <v>0</v>
      </c>
    </row>
    <row r="207" spans="1:11" s="401" customFormat="1" x14ac:dyDescent="0.2">
      <c r="A207" s="111">
        <f t="shared" si="19"/>
        <v>155</v>
      </c>
      <c r="B207" s="53" t="s">
        <v>15</v>
      </c>
      <c r="C207" s="371">
        <v>2014</v>
      </c>
      <c r="D207" s="114">
        <v>0</v>
      </c>
      <c r="E207" s="97">
        <v>0</v>
      </c>
      <c r="F207" s="97">
        <f t="shared" si="20"/>
        <v>0</v>
      </c>
      <c r="G207" s="114">
        <v>0</v>
      </c>
      <c r="H207" s="114">
        <v>0</v>
      </c>
      <c r="I207" s="97">
        <v>0</v>
      </c>
      <c r="J207" s="97">
        <f t="shared" si="21"/>
        <v>-69617.340000000084</v>
      </c>
      <c r="K207" s="97">
        <f t="shared" si="22"/>
        <v>0</v>
      </c>
    </row>
    <row r="208" spans="1:11" s="401" customFormat="1" x14ac:dyDescent="0.2">
      <c r="A208" s="111">
        <f t="shared" si="19"/>
        <v>156</v>
      </c>
      <c r="B208" s="53" t="s">
        <v>14</v>
      </c>
      <c r="C208" s="371">
        <v>2014</v>
      </c>
      <c r="D208" s="114">
        <v>0</v>
      </c>
      <c r="E208" s="97">
        <v>0</v>
      </c>
      <c r="F208" s="97">
        <f t="shared" si="20"/>
        <v>0</v>
      </c>
      <c r="G208" s="114">
        <v>0</v>
      </c>
      <c r="H208" s="114">
        <v>0</v>
      </c>
      <c r="I208" s="97">
        <v>0</v>
      </c>
      <c r="J208" s="97">
        <f t="shared" si="21"/>
        <v>-69617.340000000084</v>
      </c>
      <c r="K208" s="97">
        <f t="shared" si="22"/>
        <v>0</v>
      </c>
    </row>
    <row r="209" spans="1:11" s="401" customFormat="1" x14ac:dyDescent="0.2">
      <c r="A209" s="111">
        <f t="shared" si="19"/>
        <v>157</v>
      </c>
      <c r="B209" s="53" t="s">
        <v>6</v>
      </c>
      <c r="C209" s="371">
        <v>2014</v>
      </c>
      <c r="D209" s="114">
        <v>0</v>
      </c>
      <c r="E209" s="97">
        <v>0</v>
      </c>
      <c r="F209" s="97">
        <f t="shared" si="20"/>
        <v>0</v>
      </c>
      <c r="G209" s="114">
        <v>0</v>
      </c>
      <c r="H209" s="114">
        <v>0</v>
      </c>
      <c r="I209" s="97">
        <v>0</v>
      </c>
      <c r="J209" s="97">
        <f t="shared" si="21"/>
        <v>-69617.340000000084</v>
      </c>
      <c r="K209" s="107">
        <f t="shared" si="22"/>
        <v>0</v>
      </c>
    </row>
    <row r="210" spans="1:11" s="401" customFormat="1" x14ac:dyDescent="0.2">
      <c r="A210" s="111">
        <f t="shared" si="19"/>
        <v>158</v>
      </c>
      <c r="B210" s="64"/>
      <c r="C210" s="398" t="s">
        <v>418</v>
      </c>
      <c r="D210" s="64"/>
      <c r="E210" s="64"/>
      <c r="F210" s="64"/>
      <c r="G210" s="64"/>
      <c r="H210" s="64"/>
      <c r="I210" s="64"/>
      <c r="J210" s="64"/>
      <c r="K210" s="407">
        <f>AVERAGE(K197:K209)</f>
        <v>0</v>
      </c>
    </row>
    <row r="211" spans="1:11" s="401" customFormat="1" x14ac:dyDescent="0.2">
      <c r="A211" s="111"/>
      <c r="B211" s="64"/>
      <c r="C211" s="398"/>
      <c r="D211" s="64"/>
      <c r="E211" s="64"/>
      <c r="F211" s="64"/>
      <c r="G211" s="64"/>
      <c r="H211" s="64"/>
      <c r="I211" s="64"/>
      <c r="J211" s="64"/>
      <c r="K211" s="407"/>
    </row>
    <row r="212" spans="1:11" s="401" customFormat="1" x14ac:dyDescent="0.2">
      <c r="B212" s="402" t="s">
        <v>432</v>
      </c>
      <c r="D212" s="737" t="s">
        <v>382</v>
      </c>
      <c r="E212" s="737"/>
    </row>
    <row r="213" spans="1:11" s="401" customFormat="1" x14ac:dyDescent="0.2">
      <c r="D213" s="403"/>
      <c r="E213" s="403"/>
      <c r="F213" s="403"/>
      <c r="G213" s="93" t="str">
        <f>G51</f>
        <v>Unloaded</v>
      </c>
      <c r="H213" s="403"/>
      <c r="I213" s="403"/>
    </row>
    <row r="214" spans="1:11" s="401" customFormat="1" x14ac:dyDescent="0.2">
      <c r="A214" s="392"/>
      <c r="B214" s="392"/>
      <c r="C214" s="392"/>
      <c r="D214" s="392" t="str">
        <f>D$52</f>
        <v>Forecast</v>
      </c>
      <c r="E214" s="392" t="str">
        <f>E$52</f>
        <v>Corporate</v>
      </c>
      <c r="F214" s="392" t="str">
        <f>F$52</f>
        <v xml:space="preserve">Total </v>
      </c>
      <c r="G214" s="93" t="str">
        <f>G52</f>
        <v>Total</v>
      </c>
      <c r="H214" s="392" t="str">
        <f>H$52</f>
        <v>Prior Period</v>
      </c>
      <c r="I214" s="392" t="str">
        <f>I$52</f>
        <v>Over Heads</v>
      </c>
      <c r="J214" s="392" t="str">
        <f>J$52</f>
        <v>Forecast</v>
      </c>
      <c r="K214" s="93" t="str">
        <f>K$52</f>
        <v>Forecast Period</v>
      </c>
    </row>
    <row r="215" spans="1:11" s="401" customFormat="1" x14ac:dyDescent="0.2">
      <c r="A215" s="136" t="s">
        <v>296</v>
      </c>
      <c r="B215" s="57" t="s">
        <v>16</v>
      </c>
      <c r="C215" s="57" t="s">
        <v>17</v>
      </c>
      <c r="D215" s="389" t="str">
        <f>D$53</f>
        <v>Expenditures</v>
      </c>
      <c r="E215" s="389" t="str">
        <f>E$53</f>
        <v>Overheads</v>
      </c>
      <c r="F215" s="389" t="str">
        <f>F$53</f>
        <v>CWIP Exp</v>
      </c>
      <c r="G215" s="95" t="str">
        <f>G53</f>
        <v>Plant Adds</v>
      </c>
      <c r="H215" s="389" t="str">
        <f>H$53</f>
        <v>CWIP Closed</v>
      </c>
      <c r="I215" s="389" t="str">
        <f>I$53</f>
        <v>Closed to PIS</v>
      </c>
      <c r="J215" s="389" t="str">
        <f>J$53</f>
        <v>Period CWIP</v>
      </c>
      <c r="K215" s="389" t="str">
        <f>K$53</f>
        <v>Incremental CWIP</v>
      </c>
    </row>
    <row r="216" spans="1:11" s="401" customFormat="1" x14ac:dyDescent="0.2">
      <c r="A216" s="111">
        <f>A210+1</f>
        <v>159</v>
      </c>
      <c r="B216" s="58" t="s">
        <v>6</v>
      </c>
      <c r="C216" s="371">
        <v>2012</v>
      </c>
      <c r="D216" s="394" t="s">
        <v>400</v>
      </c>
      <c r="E216" s="394" t="s">
        <v>400</v>
      </c>
      <c r="F216" s="394" t="s">
        <v>400</v>
      </c>
      <c r="G216" s="394" t="s">
        <v>400</v>
      </c>
      <c r="H216" s="394" t="s">
        <v>400</v>
      </c>
      <c r="I216" s="394" t="s">
        <v>400</v>
      </c>
      <c r="J216" s="97">
        <f>I25</f>
        <v>150902784.00999999</v>
      </c>
      <c r="K216" s="394" t="s">
        <v>400</v>
      </c>
    </row>
    <row r="217" spans="1:11" s="401" customFormat="1" x14ac:dyDescent="0.2">
      <c r="A217" s="111">
        <f t="shared" ref="A217:A241" si="23">A216+1</f>
        <v>160</v>
      </c>
      <c r="B217" s="58" t="s">
        <v>7</v>
      </c>
      <c r="C217" s="371">
        <v>2013</v>
      </c>
      <c r="D217" s="114">
        <v>5040893</v>
      </c>
      <c r="E217" s="97">
        <v>378066.97499999998</v>
      </c>
      <c r="F217" s="97">
        <f t="shared" ref="F217:F240" si="24">E217+D217</f>
        <v>5418959.9749999996</v>
      </c>
      <c r="G217" s="373">
        <v>0</v>
      </c>
      <c r="H217" s="373">
        <v>0</v>
      </c>
      <c r="I217" s="97">
        <v>0</v>
      </c>
      <c r="J217" s="97">
        <f t="shared" ref="J217:J240" si="25">J216+F217-G217-I217</f>
        <v>156321743.98499998</v>
      </c>
      <c r="K217" s="97">
        <f t="shared" ref="K217:K240" si="26">J217-$J$216</f>
        <v>5418959.974999994</v>
      </c>
    </row>
    <row r="218" spans="1:11" s="401" customFormat="1" x14ac:dyDescent="0.2">
      <c r="A218" s="111">
        <f t="shared" si="23"/>
        <v>161</v>
      </c>
      <c r="B218" s="53" t="s">
        <v>8</v>
      </c>
      <c r="C218" s="371">
        <v>2013</v>
      </c>
      <c r="D218" s="114">
        <v>14276571</v>
      </c>
      <c r="E218" s="97">
        <v>1070742.825</v>
      </c>
      <c r="F218" s="97">
        <f t="shared" si="24"/>
        <v>15347313.824999999</v>
      </c>
      <c r="G218" s="373">
        <v>0</v>
      </c>
      <c r="H218" s="373">
        <v>0</v>
      </c>
      <c r="I218" s="97">
        <v>0</v>
      </c>
      <c r="J218" s="97">
        <f t="shared" si="25"/>
        <v>171669057.80999997</v>
      </c>
      <c r="K218" s="97">
        <f t="shared" si="26"/>
        <v>20766273.799999982</v>
      </c>
    </row>
    <row r="219" spans="1:11" s="401" customFormat="1" x14ac:dyDescent="0.2">
      <c r="A219" s="111">
        <f t="shared" si="23"/>
        <v>162</v>
      </c>
      <c r="B219" s="53" t="s">
        <v>18</v>
      </c>
      <c r="C219" s="371">
        <v>2013</v>
      </c>
      <c r="D219" s="114">
        <v>15192399.000000002</v>
      </c>
      <c r="E219" s="97">
        <v>1139429.925</v>
      </c>
      <c r="F219" s="97">
        <f t="shared" si="24"/>
        <v>16331828.925000003</v>
      </c>
      <c r="G219" s="373">
        <v>0</v>
      </c>
      <c r="H219" s="373">
        <v>0</v>
      </c>
      <c r="I219" s="97">
        <v>0</v>
      </c>
      <c r="J219" s="97">
        <f t="shared" si="25"/>
        <v>188000886.73499998</v>
      </c>
      <c r="K219" s="97">
        <f t="shared" si="26"/>
        <v>37098102.724999994</v>
      </c>
    </row>
    <row r="220" spans="1:11" s="401" customFormat="1" x14ac:dyDescent="0.2">
      <c r="A220" s="111">
        <f t="shared" si="23"/>
        <v>163</v>
      </c>
      <c r="B220" s="58" t="s">
        <v>9</v>
      </c>
      <c r="C220" s="371">
        <v>2013</v>
      </c>
      <c r="D220" s="114">
        <v>9570445.0000000019</v>
      </c>
      <c r="E220" s="97">
        <v>717783.37500000012</v>
      </c>
      <c r="F220" s="97">
        <f t="shared" si="24"/>
        <v>10288228.375000002</v>
      </c>
      <c r="G220" s="373">
        <v>0</v>
      </c>
      <c r="H220" s="373">
        <v>0</v>
      </c>
      <c r="I220" s="97">
        <v>0</v>
      </c>
      <c r="J220" s="97">
        <f t="shared" si="25"/>
        <v>198289115.10999998</v>
      </c>
      <c r="K220" s="97">
        <f t="shared" si="26"/>
        <v>47386331.099999994</v>
      </c>
    </row>
    <row r="221" spans="1:11" s="401" customFormat="1" x14ac:dyDescent="0.2">
      <c r="A221" s="111">
        <f t="shared" si="23"/>
        <v>164</v>
      </c>
      <c r="B221" s="53" t="s">
        <v>10</v>
      </c>
      <c r="C221" s="371">
        <v>2013</v>
      </c>
      <c r="D221" s="114">
        <v>9570446.0000000019</v>
      </c>
      <c r="E221" s="97">
        <v>717783.45000000007</v>
      </c>
      <c r="F221" s="97">
        <f t="shared" si="24"/>
        <v>10288229.450000001</v>
      </c>
      <c r="G221" s="373">
        <v>0</v>
      </c>
      <c r="H221" s="373">
        <v>0</v>
      </c>
      <c r="I221" s="97">
        <v>0</v>
      </c>
      <c r="J221" s="97">
        <f t="shared" si="25"/>
        <v>208577344.55999997</v>
      </c>
      <c r="K221" s="97">
        <f t="shared" si="26"/>
        <v>57674560.549999982</v>
      </c>
    </row>
    <row r="222" spans="1:11" s="401" customFormat="1" x14ac:dyDescent="0.2">
      <c r="A222" s="111">
        <f t="shared" si="23"/>
        <v>165</v>
      </c>
      <c r="B222" s="53" t="s">
        <v>25</v>
      </c>
      <c r="C222" s="371">
        <v>2013</v>
      </c>
      <c r="D222" s="114">
        <v>2953126</v>
      </c>
      <c r="E222" s="97">
        <v>221484.44999999998</v>
      </c>
      <c r="F222" s="134">
        <f t="shared" si="24"/>
        <v>3174610.45</v>
      </c>
      <c r="G222" s="373">
        <v>203054615.08000001</v>
      </c>
      <c r="H222" s="373">
        <v>150642661.07999998</v>
      </c>
      <c r="I222" s="134">
        <v>3930896.5500000021</v>
      </c>
      <c r="J222" s="97">
        <f t="shared" si="25"/>
        <v>4766443.3799999449</v>
      </c>
      <c r="K222" s="97">
        <f t="shared" si="26"/>
        <v>-146136340.63000005</v>
      </c>
    </row>
    <row r="223" spans="1:11" s="401" customFormat="1" x14ac:dyDescent="0.2">
      <c r="A223" s="111">
        <f t="shared" si="23"/>
        <v>166</v>
      </c>
      <c r="B223" s="58" t="s">
        <v>11</v>
      </c>
      <c r="C223" s="371">
        <v>2013</v>
      </c>
      <c r="D223" s="114">
        <v>8144536</v>
      </c>
      <c r="E223" s="97">
        <v>610840.19999999995</v>
      </c>
      <c r="F223" s="97">
        <f t="shared" si="24"/>
        <v>8755376.1999999993</v>
      </c>
      <c r="G223" s="373">
        <v>7163127</v>
      </c>
      <c r="H223" s="373">
        <v>0</v>
      </c>
      <c r="I223" s="97">
        <v>537234.52500000002</v>
      </c>
      <c r="J223" s="97">
        <f t="shared" si="25"/>
        <v>5821458.0549999438</v>
      </c>
      <c r="K223" s="97">
        <f t="shared" si="26"/>
        <v>-145081325.95500004</v>
      </c>
    </row>
    <row r="224" spans="1:11" s="401" customFormat="1" x14ac:dyDescent="0.2">
      <c r="A224" s="111">
        <f t="shared" si="23"/>
        <v>167</v>
      </c>
      <c r="B224" s="53" t="s">
        <v>12</v>
      </c>
      <c r="C224" s="371">
        <v>2013</v>
      </c>
      <c r="D224" s="114">
        <v>2554964</v>
      </c>
      <c r="E224" s="97">
        <v>191622.3</v>
      </c>
      <c r="F224" s="97">
        <f t="shared" si="24"/>
        <v>2746586.3</v>
      </c>
      <c r="G224" s="373">
        <v>1573555</v>
      </c>
      <c r="H224" s="373">
        <v>0</v>
      </c>
      <c r="I224" s="97">
        <v>118016.625</v>
      </c>
      <c r="J224" s="97">
        <f t="shared" si="25"/>
        <v>6876472.7299999446</v>
      </c>
      <c r="K224" s="97">
        <f t="shared" si="26"/>
        <v>-144026311.28000003</v>
      </c>
    </row>
    <row r="225" spans="1:11" s="401" customFormat="1" x14ac:dyDescent="0.2">
      <c r="A225" s="111">
        <f t="shared" si="23"/>
        <v>168</v>
      </c>
      <c r="B225" s="53" t="s">
        <v>13</v>
      </c>
      <c r="C225" s="371">
        <v>2013</v>
      </c>
      <c r="D225" s="114">
        <v>3231786</v>
      </c>
      <c r="E225" s="97">
        <v>242383.94999999998</v>
      </c>
      <c r="F225" s="97">
        <f t="shared" si="24"/>
        <v>3474169.95</v>
      </c>
      <c r="G225" s="373">
        <v>2339596</v>
      </c>
      <c r="H225" s="373">
        <v>0</v>
      </c>
      <c r="I225" s="97">
        <v>175469.69999999998</v>
      </c>
      <c r="J225" s="97">
        <f t="shared" si="25"/>
        <v>7835576.9799999436</v>
      </c>
      <c r="K225" s="97">
        <f t="shared" si="26"/>
        <v>-143067207.03000006</v>
      </c>
    </row>
    <row r="226" spans="1:11" s="401" customFormat="1" x14ac:dyDescent="0.2">
      <c r="A226" s="111">
        <f t="shared" si="23"/>
        <v>169</v>
      </c>
      <c r="B226" s="58" t="s">
        <v>15</v>
      </c>
      <c r="C226" s="371">
        <v>2013</v>
      </c>
      <c r="D226" s="114">
        <v>4107260</v>
      </c>
      <c r="E226" s="97">
        <v>308044.5</v>
      </c>
      <c r="F226" s="97">
        <f t="shared" si="24"/>
        <v>4415304.5</v>
      </c>
      <c r="G226" s="373">
        <v>2573555</v>
      </c>
      <c r="H226" s="373">
        <v>0</v>
      </c>
      <c r="I226" s="97">
        <v>193016.625</v>
      </c>
      <c r="J226" s="97">
        <f t="shared" si="25"/>
        <v>9484309.8549999446</v>
      </c>
      <c r="K226" s="97">
        <f t="shared" si="26"/>
        <v>-141418474.15500003</v>
      </c>
    </row>
    <row r="227" spans="1:11" s="401" customFormat="1" x14ac:dyDescent="0.2">
      <c r="A227" s="111">
        <f t="shared" si="23"/>
        <v>170</v>
      </c>
      <c r="B227" s="58" t="s">
        <v>14</v>
      </c>
      <c r="C227" s="371">
        <v>2013</v>
      </c>
      <c r="D227" s="114">
        <v>4043500</v>
      </c>
      <c r="E227" s="97">
        <v>303262.5</v>
      </c>
      <c r="F227" s="97">
        <f t="shared" si="24"/>
        <v>4346762.5</v>
      </c>
      <c r="G227" s="373">
        <v>2688233</v>
      </c>
      <c r="H227" s="373">
        <v>0</v>
      </c>
      <c r="I227" s="97">
        <v>201617.47500000001</v>
      </c>
      <c r="J227" s="97">
        <f t="shared" si="25"/>
        <v>10941221.879999945</v>
      </c>
      <c r="K227" s="97">
        <f t="shared" si="26"/>
        <v>-139961562.13000005</v>
      </c>
    </row>
    <row r="228" spans="1:11" s="401" customFormat="1" x14ac:dyDescent="0.2">
      <c r="A228" s="111">
        <f t="shared" si="23"/>
        <v>171</v>
      </c>
      <c r="B228" s="58" t="s">
        <v>6</v>
      </c>
      <c r="C228" s="371">
        <v>2013</v>
      </c>
      <c r="D228" s="114">
        <v>2945671.0000000005</v>
      </c>
      <c r="E228" s="97">
        <v>220925.32500000004</v>
      </c>
      <c r="F228" s="97">
        <f t="shared" si="24"/>
        <v>3166596.3250000007</v>
      </c>
      <c r="G228" s="373">
        <v>13633297.469999997</v>
      </c>
      <c r="H228" s="373">
        <v>751720.47</v>
      </c>
      <c r="I228" s="97">
        <v>966118.27499999967</v>
      </c>
      <c r="J228" s="97">
        <f t="shared" si="25"/>
        <v>-491597.54000005056</v>
      </c>
      <c r="K228" s="97">
        <f t="shared" si="26"/>
        <v>-151394381.55000004</v>
      </c>
    </row>
    <row r="229" spans="1:11" s="401" customFormat="1" x14ac:dyDescent="0.2">
      <c r="A229" s="111">
        <f t="shared" si="23"/>
        <v>172</v>
      </c>
      <c r="B229" s="58" t="s">
        <v>7</v>
      </c>
      <c r="C229" s="371">
        <v>2014</v>
      </c>
      <c r="D229" s="114">
        <v>511659.66666666669</v>
      </c>
      <c r="E229" s="97">
        <v>38374.474999999999</v>
      </c>
      <c r="F229" s="97">
        <f t="shared" si="24"/>
        <v>550034.14166666672</v>
      </c>
      <c r="G229" s="373">
        <v>511659.66666666669</v>
      </c>
      <c r="H229" s="373">
        <v>0</v>
      </c>
      <c r="I229" s="97">
        <v>38374.474999999999</v>
      </c>
      <c r="J229" s="97">
        <f t="shared" si="25"/>
        <v>-491597.5400000505</v>
      </c>
      <c r="K229" s="97">
        <f t="shared" si="26"/>
        <v>-151394381.55000004</v>
      </c>
    </row>
    <row r="230" spans="1:11" s="401" customFormat="1" x14ac:dyDescent="0.2">
      <c r="A230" s="111">
        <f t="shared" si="23"/>
        <v>173</v>
      </c>
      <c r="B230" s="53" t="s">
        <v>8</v>
      </c>
      <c r="C230" s="371">
        <v>2014</v>
      </c>
      <c r="D230" s="114">
        <v>510349.66666666663</v>
      </c>
      <c r="E230" s="97">
        <v>38276.224999999999</v>
      </c>
      <c r="F230" s="97">
        <f t="shared" si="24"/>
        <v>548625.8916666666</v>
      </c>
      <c r="G230" s="373">
        <v>510349.66666666663</v>
      </c>
      <c r="H230" s="373">
        <v>0</v>
      </c>
      <c r="I230" s="97">
        <v>38276.224999999999</v>
      </c>
      <c r="J230" s="97">
        <f t="shared" si="25"/>
        <v>-491597.5400000505</v>
      </c>
      <c r="K230" s="97">
        <f t="shared" si="26"/>
        <v>-151394381.55000004</v>
      </c>
    </row>
    <row r="231" spans="1:11" s="401" customFormat="1" x14ac:dyDescent="0.2">
      <c r="A231" s="111">
        <f t="shared" si="23"/>
        <v>174</v>
      </c>
      <c r="B231" s="53" t="s">
        <v>18</v>
      </c>
      <c r="C231" s="371">
        <v>2014</v>
      </c>
      <c r="D231" s="114">
        <v>161659.66666666666</v>
      </c>
      <c r="E231" s="97">
        <v>12124.474999999999</v>
      </c>
      <c r="F231" s="97">
        <f t="shared" si="24"/>
        <v>173784.14166666666</v>
      </c>
      <c r="G231" s="373">
        <v>161659.66666666666</v>
      </c>
      <c r="H231" s="373">
        <v>0</v>
      </c>
      <c r="I231" s="97">
        <v>12124.474999999999</v>
      </c>
      <c r="J231" s="97">
        <f t="shared" si="25"/>
        <v>-491597.54000005045</v>
      </c>
      <c r="K231" s="97">
        <f t="shared" si="26"/>
        <v>-151394381.55000004</v>
      </c>
    </row>
    <row r="232" spans="1:11" s="401" customFormat="1" x14ac:dyDescent="0.2">
      <c r="A232" s="111">
        <f t="shared" si="23"/>
        <v>175</v>
      </c>
      <c r="B232" s="58" t="s">
        <v>9</v>
      </c>
      <c r="C232" s="371">
        <v>2014</v>
      </c>
      <c r="D232" s="114">
        <v>161659.66666666666</v>
      </c>
      <c r="E232" s="97">
        <v>12124.474999999999</v>
      </c>
      <c r="F232" s="97">
        <f t="shared" si="24"/>
        <v>173784.14166666666</v>
      </c>
      <c r="G232" s="373">
        <v>161659.66666666666</v>
      </c>
      <c r="H232" s="373">
        <v>0</v>
      </c>
      <c r="I232" s="97">
        <v>12124.474999999999</v>
      </c>
      <c r="J232" s="97">
        <f t="shared" si="25"/>
        <v>-491597.54000005045</v>
      </c>
      <c r="K232" s="97">
        <f t="shared" si="26"/>
        <v>-151394381.55000004</v>
      </c>
    </row>
    <row r="233" spans="1:11" s="401" customFormat="1" x14ac:dyDescent="0.2">
      <c r="A233" s="111">
        <f t="shared" si="23"/>
        <v>176</v>
      </c>
      <c r="B233" s="53" t="s">
        <v>10</v>
      </c>
      <c r="C233" s="371">
        <v>2014</v>
      </c>
      <c r="D233" s="114">
        <v>161659.66666666666</v>
      </c>
      <c r="E233" s="97">
        <v>12124.474999999999</v>
      </c>
      <c r="F233" s="97">
        <f t="shared" si="24"/>
        <v>173784.14166666666</v>
      </c>
      <c r="G233" s="373">
        <v>161659.66666666666</v>
      </c>
      <c r="H233" s="373">
        <v>0</v>
      </c>
      <c r="I233" s="97">
        <v>12124.474999999999</v>
      </c>
      <c r="J233" s="97">
        <f t="shared" si="25"/>
        <v>-491597.54000005045</v>
      </c>
      <c r="K233" s="97">
        <f t="shared" si="26"/>
        <v>-151394381.55000004</v>
      </c>
    </row>
    <row r="234" spans="1:11" s="401" customFormat="1" x14ac:dyDescent="0.2">
      <c r="A234" s="111">
        <f t="shared" si="23"/>
        <v>177</v>
      </c>
      <c r="B234" s="53" t="s">
        <v>25</v>
      </c>
      <c r="C234" s="371">
        <v>2014</v>
      </c>
      <c r="D234" s="114">
        <v>161659.66666666666</v>
      </c>
      <c r="E234" s="97">
        <v>12124.474999999999</v>
      </c>
      <c r="F234" s="97">
        <f t="shared" si="24"/>
        <v>173784.14166666666</v>
      </c>
      <c r="G234" s="373">
        <v>161659.66666666666</v>
      </c>
      <c r="H234" s="373">
        <v>0</v>
      </c>
      <c r="I234" s="97">
        <v>12124.474999999999</v>
      </c>
      <c r="J234" s="97">
        <f t="shared" si="25"/>
        <v>-491597.54000005045</v>
      </c>
      <c r="K234" s="97">
        <f t="shared" si="26"/>
        <v>-151394381.55000004</v>
      </c>
    </row>
    <row r="235" spans="1:11" s="401" customFormat="1" x14ac:dyDescent="0.2">
      <c r="A235" s="111">
        <f t="shared" si="23"/>
        <v>178</v>
      </c>
      <c r="B235" s="58" t="s">
        <v>11</v>
      </c>
      <c r="C235" s="371">
        <v>2014</v>
      </c>
      <c r="D235" s="114">
        <v>0</v>
      </c>
      <c r="E235" s="97">
        <v>0</v>
      </c>
      <c r="F235" s="97">
        <f t="shared" si="24"/>
        <v>0</v>
      </c>
      <c r="G235" s="373">
        <v>0</v>
      </c>
      <c r="H235" s="373">
        <v>0</v>
      </c>
      <c r="I235" s="97">
        <v>0</v>
      </c>
      <c r="J235" s="97">
        <f t="shared" si="25"/>
        <v>-491597.54000005045</v>
      </c>
      <c r="K235" s="97">
        <f t="shared" si="26"/>
        <v>-151394381.55000004</v>
      </c>
    </row>
    <row r="236" spans="1:11" s="401" customFormat="1" x14ac:dyDescent="0.2">
      <c r="A236" s="111">
        <f t="shared" si="23"/>
        <v>179</v>
      </c>
      <c r="B236" s="53" t="s">
        <v>12</v>
      </c>
      <c r="C236" s="371">
        <v>2014</v>
      </c>
      <c r="D236" s="114">
        <v>0</v>
      </c>
      <c r="E236" s="97">
        <v>0</v>
      </c>
      <c r="F236" s="97">
        <f t="shared" si="24"/>
        <v>0</v>
      </c>
      <c r="G236" s="373">
        <v>0</v>
      </c>
      <c r="H236" s="373">
        <v>0</v>
      </c>
      <c r="I236" s="97">
        <v>0</v>
      </c>
      <c r="J236" s="97">
        <f t="shared" si="25"/>
        <v>-491597.54000005045</v>
      </c>
      <c r="K236" s="97">
        <f t="shared" si="26"/>
        <v>-151394381.55000004</v>
      </c>
    </row>
    <row r="237" spans="1:11" s="401" customFormat="1" x14ac:dyDescent="0.2">
      <c r="A237" s="111">
        <f t="shared" si="23"/>
        <v>180</v>
      </c>
      <c r="B237" s="53" t="s">
        <v>13</v>
      </c>
      <c r="C237" s="371">
        <v>2014</v>
      </c>
      <c r="D237" s="114">
        <v>0</v>
      </c>
      <c r="E237" s="97">
        <v>0</v>
      </c>
      <c r="F237" s="97">
        <f t="shared" si="24"/>
        <v>0</v>
      </c>
      <c r="G237" s="373">
        <v>0</v>
      </c>
      <c r="H237" s="373">
        <v>0</v>
      </c>
      <c r="I237" s="97">
        <v>0</v>
      </c>
      <c r="J237" s="97">
        <f t="shared" si="25"/>
        <v>-491597.54000005045</v>
      </c>
      <c r="K237" s="97">
        <f t="shared" si="26"/>
        <v>-151394381.55000004</v>
      </c>
    </row>
    <row r="238" spans="1:11" s="401" customFormat="1" x14ac:dyDescent="0.2">
      <c r="A238" s="111">
        <f t="shared" si="23"/>
        <v>181</v>
      </c>
      <c r="B238" s="53" t="s">
        <v>15</v>
      </c>
      <c r="C238" s="371">
        <v>2014</v>
      </c>
      <c r="D238" s="114">
        <v>0</v>
      </c>
      <c r="E238" s="97">
        <v>0</v>
      </c>
      <c r="F238" s="97">
        <f t="shared" si="24"/>
        <v>0</v>
      </c>
      <c r="G238" s="373">
        <v>0</v>
      </c>
      <c r="H238" s="373">
        <v>0</v>
      </c>
      <c r="I238" s="97">
        <v>0</v>
      </c>
      <c r="J238" s="97">
        <f t="shared" si="25"/>
        <v>-491597.54000005045</v>
      </c>
      <c r="K238" s="97">
        <f t="shared" si="26"/>
        <v>-151394381.55000004</v>
      </c>
    </row>
    <row r="239" spans="1:11" s="401" customFormat="1" x14ac:dyDescent="0.2">
      <c r="A239" s="111">
        <f t="shared" si="23"/>
        <v>182</v>
      </c>
      <c r="B239" s="53" t="s">
        <v>14</v>
      </c>
      <c r="C239" s="371">
        <v>2014</v>
      </c>
      <c r="D239" s="114">
        <v>0</v>
      </c>
      <c r="E239" s="97">
        <v>0</v>
      </c>
      <c r="F239" s="97">
        <f t="shared" si="24"/>
        <v>0</v>
      </c>
      <c r="G239" s="373">
        <v>0</v>
      </c>
      <c r="H239" s="373">
        <v>0</v>
      </c>
      <c r="I239" s="97">
        <v>0</v>
      </c>
      <c r="J239" s="97">
        <f t="shared" si="25"/>
        <v>-491597.54000005045</v>
      </c>
      <c r="K239" s="97">
        <f t="shared" si="26"/>
        <v>-151394381.55000004</v>
      </c>
    </row>
    <row r="240" spans="1:11" s="401" customFormat="1" x14ac:dyDescent="0.2">
      <c r="A240" s="111">
        <f t="shared" si="23"/>
        <v>183</v>
      </c>
      <c r="B240" s="53" t="s">
        <v>6</v>
      </c>
      <c r="C240" s="371">
        <v>2014</v>
      </c>
      <c r="D240" s="114">
        <v>0</v>
      </c>
      <c r="E240" s="97">
        <v>0</v>
      </c>
      <c r="F240" s="97">
        <f t="shared" si="24"/>
        <v>0</v>
      </c>
      <c r="G240" s="373">
        <v>0</v>
      </c>
      <c r="H240" s="373">
        <v>0</v>
      </c>
      <c r="I240" s="97">
        <v>0</v>
      </c>
      <c r="J240" s="97">
        <f t="shared" si="25"/>
        <v>-491597.54000005045</v>
      </c>
      <c r="K240" s="107">
        <f t="shared" si="26"/>
        <v>-151394381.55000004</v>
      </c>
    </row>
    <row r="241" spans="1:11" s="401" customFormat="1" x14ac:dyDescent="0.2">
      <c r="A241" s="111">
        <f t="shared" si="23"/>
        <v>184</v>
      </c>
      <c r="B241" s="64"/>
      <c r="C241" s="398" t="s">
        <v>418</v>
      </c>
      <c r="D241" s="64"/>
      <c r="E241" s="64"/>
      <c r="F241" s="64"/>
      <c r="G241" s="64"/>
      <c r="H241" s="64"/>
      <c r="I241" s="64"/>
      <c r="J241" s="106"/>
      <c r="K241" s="399">
        <f>AVERAGE(K228:K240)</f>
        <v>-151394381.55000001</v>
      </c>
    </row>
    <row r="242" spans="1:11" s="401" customFormat="1" x14ac:dyDescent="0.2">
      <c r="A242" s="111"/>
      <c r="B242" s="64"/>
      <c r="C242" s="398"/>
      <c r="D242" s="64"/>
      <c r="E242" s="64"/>
      <c r="F242" s="64"/>
      <c r="G242" s="64"/>
      <c r="H242" s="64"/>
      <c r="I242" s="64"/>
      <c r="J242" s="64"/>
      <c r="K242" s="407"/>
    </row>
    <row r="243" spans="1:11" s="401" customFormat="1" x14ac:dyDescent="0.2">
      <c r="B243" s="402" t="s">
        <v>433</v>
      </c>
      <c r="D243" s="737" t="s">
        <v>434</v>
      </c>
      <c r="E243" s="737"/>
    </row>
    <row r="244" spans="1:11" s="401" customFormat="1" x14ac:dyDescent="0.2">
      <c r="A244" s="389"/>
      <c r="B244" s="389"/>
      <c r="C244" s="389"/>
      <c r="D244" s="389" t="s">
        <v>152</v>
      </c>
      <c r="E244" s="389" t="s">
        <v>153</v>
      </c>
      <c r="F244" s="389" t="s">
        <v>154</v>
      </c>
      <c r="G244" s="389" t="s">
        <v>155</v>
      </c>
      <c r="H244" s="389" t="s">
        <v>371</v>
      </c>
      <c r="I244" s="389" t="s">
        <v>372</v>
      </c>
      <c r="J244" s="389" t="s">
        <v>386</v>
      </c>
      <c r="K244" s="389" t="s">
        <v>387</v>
      </c>
    </row>
    <row r="245" spans="1:11" s="401" customFormat="1" ht="38.25" x14ac:dyDescent="0.2">
      <c r="D245" s="403"/>
      <c r="E245" s="404" t="s">
        <v>421</v>
      </c>
      <c r="F245" s="394" t="s">
        <v>422</v>
      </c>
      <c r="G245" s="405"/>
      <c r="H245" s="403"/>
      <c r="I245" s="404" t="s">
        <v>423</v>
      </c>
      <c r="J245" s="404" t="s">
        <v>424</v>
      </c>
      <c r="K245" s="404" t="s">
        <v>425</v>
      </c>
    </row>
    <row r="246" spans="1:11" s="401" customFormat="1" x14ac:dyDescent="0.2">
      <c r="D246" s="403"/>
      <c r="E246" s="403"/>
      <c r="F246" s="403"/>
      <c r="G246" s="93" t="s">
        <v>435</v>
      </c>
      <c r="H246" s="403"/>
      <c r="I246" s="403"/>
    </row>
    <row r="247" spans="1:11" s="401" customFormat="1" x14ac:dyDescent="0.2">
      <c r="A247" s="392"/>
      <c r="B247" s="392"/>
      <c r="C247" s="392"/>
      <c r="D247" s="392" t="str">
        <f>D$52</f>
        <v>Forecast</v>
      </c>
      <c r="E247" s="392" t="str">
        <f>E$52</f>
        <v>Corporate</v>
      </c>
      <c r="F247" s="392" t="str">
        <f>F$52</f>
        <v xml:space="preserve">Total </v>
      </c>
      <c r="G247" s="392" t="s">
        <v>325</v>
      </c>
      <c r="H247" s="392" t="str">
        <f>H$52</f>
        <v>Prior Period</v>
      </c>
      <c r="I247" s="392" t="str">
        <f>I$52</f>
        <v>Over Heads</v>
      </c>
      <c r="J247" s="392" t="str">
        <f>J$52</f>
        <v>Forecast</v>
      </c>
      <c r="K247" s="93" t="str">
        <f>K$52</f>
        <v>Forecast Period</v>
      </c>
    </row>
    <row r="248" spans="1:11" s="401" customFormat="1" x14ac:dyDescent="0.2">
      <c r="A248" s="136" t="s">
        <v>296</v>
      </c>
      <c r="B248" s="57" t="s">
        <v>16</v>
      </c>
      <c r="C248" s="57" t="s">
        <v>17</v>
      </c>
      <c r="D248" s="389" t="str">
        <f>D$53</f>
        <v>Expenditures</v>
      </c>
      <c r="E248" s="389" t="str">
        <f>E$53</f>
        <v>Overheads</v>
      </c>
      <c r="F248" s="389" t="str">
        <f>F$53</f>
        <v>CWIP Exp</v>
      </c>
      <c r="G248" s="389" t="s">
        <v>413</v>
      </c>
      <c r="H248" s="389" t="str">
        <f>H$53</f>
        <v>CWIP Closed</v>
      </c>
      <c r="I248" s="389" t="str">
        <f>I$53</f>
        <v>Closed to PIS</v>
      </c>
      <c r="J248" s="389" t="str">
        <f>J$53</f>
        <v>Period CWIP</v>
      </c>
      <c r="K248" s="389" t="str">
        <f>K$53</f>
        <v>Incremental CWIP</v>
      </c>
    </row>
    <row r="249" spans="1:11" s="401" customFormat="1" x14ac:dyDescent="0.2">
      <c r="A249" s="111">
        <f>A241+1</f>
        <v>185</v>
      </c>
      <c r="B249" s="58" t="s">
        <v>6</v>
      </c>
      <c r="C249" s="371">
        <v>2012</v>
      </c>
      <c r="D249" s="394" t="s">
        <v>400</v>
      </c>
      <c r="E249" s="394" t="s">
        <v>400</v>
      </c>
      <c r="F249" s="394" t="s">
        <v>400</v>
      </c>
      <c r="G249" s="394" t="s">
        <v>400</v>
      </c>
      <c r="H249" s="394" t="s">
        <v>400</v>
      </c>
      <c r="I249" s="394" t="s">
        <v>400</v>
      </c>
      <c r="J249" s="97">
        <f>D45</f>
        <v>3256743.08</v>
      </c>
      <c r="K249" s="394" t="s">
        <v>400</v>
      </c>
    </row>
    <row r="250" spans="1:11" s="401" customFormat="1" x14ac:dyDescent="0.2">
      <c r="A250" s="111">
        <f t="shared" ref="A250:A274" si="27">A249+1</f>
        <v>186</v>
      </c>
      <c r="B250" s="58" t="s">
        <v>7</v>
      </c>
      <c r="C250" s="371">
        <v>2013</v>
      </c>
      <c r="D250" s="114">
        <v>8000</v>
      </c>
      <c r="E250" s="97">
        <v>600</v>
      </c>
      <c r="F250" s="97">
        <f t="shared" ref="F250:F273" si="28">E250+D250</f>
        <v>8600</v>
      </c>
      <c r="G250" s="373">
        <v>-136000</v>
      </c>
      <c r="H250" s="373">
        <v>-136000</v>
      </c>
      <c r="I250" s="134">
        <v>0</v>
      </c>
      <c r="J250" s="97">
        <f t="shared" ref="J250:J273" si="29">J249+F250-G250-I250</f>
        <v>3401343.08</v>
      </c>
      <c r="K250" s="97">
        <f t="shared" ref="K250:K273" si="30">J250-$J$249</f>
        <v>144600</v>
      </c>
    </row>
    <row r="251" spans="1:11" s="401" customFormat="1" x14ac:dyDescent="0.2">
      <c r="A251" s="111">
        <f t="shared" si="27"/>
        <v>187</v>
      </c>
      <c r="B251" s="53" t="s">
        <v>8</v>
      </c>
      <c r="C251" s="371">
        <v>2013</v>
      </c>
      <c r="D251" s="114">
        <v>252000</v>
      </c>
      <c r="E251" s="97">
        <v>18900</v>
      </c>
      <c r="F251" s="97">
        <f t="shared" si="28"/>
        <v>270900</v>
      </c>
      <c r="G251" s="373">
        <v>90000</v>
      </c>
      <c r="H251" s="373">
        <v>90000</v>
      </c>
      <c r="I251" s="134">
        <v>0</v>
      </c>
      <c r="J251" s="97">
        <f t="shared" si="29"/>
        <v>3582243.08</v>
      </c>
      <c r="K251" s="97">
        <f t="shared" si="30"/>
        <v>325500</v>
      </c>
    </row>
    <row r="252" spans="1:11" s="401" customFormat="1" x14ac:dyDescent="0.2">
      <c r="A252" s="111">
        <f t="shared" si="27"/>
        <v>188</v>
      </c>
      <c r="B252" s="53" t="s">
        <v>18</v>
      </c>
      <c r="C252" s="371">
        <v>2013</v>
      </c>
      <c r="D252" s="114">
        <v>90000</v>
      </c>
      <c r="E252" s="97">
        <v>6750</v>
      </c>
      <c r="F252" s="97">
        <f t="shared" si="28"/>
        <v>96750</v>
      </c>
      <c r="G252" s="373">
        <v>12000</v>
      </c>
      <c r="H252" s="373">
        <v>12000</v>
      </c>
      <c r="I252" s="134">
        <v>0</v>
      </c>
      <c r="J252" s="97">
        <f t="shared" si="29"/>
        <v>3666993.08</v>
      </c>
      <c r="K252" s="97">
        <f t="shared" si="30"/>
        <v>410250</v>
      </c>
    </row>
    <row r="253" spans="1:11" s="401" customFormat="1" x14ac:dyDescent="0.2">
      <c r="A253" s="111">
        <f t="shared" si="27"/>
        <v>189</v>
      </c>
      <c r="B253" s="58" t="s">
        <v>9</v>
      </c>
      <c r="C253" s="371">
        <v>2013</v>
      </c>
      <c r="D253" s="114">
        <v>565000</v>
      </c>
      <c r="E253" s="97">
        <v>42375</v>
      </c>
      <c r="F253" s="97">
        <f t="shared" si="28"/>
        <v>607375</v>
      </c>
      <c r="G253" s="373">
        <v>380000</v>
      </c>
      <c r="H253" s="373">
        <v>380000</v>
      </c>
      <c r="I253" s="134">
        <v>0</v>
      </c>
      <c r="J253" s="97">
        <f t="shared" si="29"/>
        <v>3894368.08</v>
      </c>
      <c r="K253" s="97">
        <f t="shared" si="30"/>
        <v>637625</v>
      </c>
    </row>
    <row r="254" spans="1:11" s="401" customFormat="1" x14ac:dyDescent="0.2">
      <c r="A254" s="111">
        <f t="shared" si="27"/>
        <v>190</v>
      </c>
      <c r="B254" s="53" t="s">
        <v>10</v>
      </c>
      <c r="C254" s="371">
        <v>2013</v>
      </c>
      <c r="D254" s="114">
        <v>4020000</v>
      </c>
      <c r="E254" s="97">
        <v>301500</v>
      </c>
      <c r="F254" s="97">
        <f t="shared" si="28"/>
        <v>4321500</v>
      </c>
      <c r="G254" s="373">
        <v>0</v>
      </c>
      <c r="H254" s="373">
        <v>0</v>
      </c>
      <c r="I254" s="97">
        <v>0</v>
      </c>
      <c r="J254" s="97">
        <f t="shared" si="29"/>
        <v>8215868.0800000001</v>
      </c>
      <c r="K254" s="97">
        <f t="shared" si="30"/>
        <v>4959125</v>
      </c>
    </row>
    <row r="255" spans="1:11" s="401" customFormat="1" x14ac:dyDescent="0.2">
      <c r="A255" s="111">
        <f t="shared" si="27"/>
        <v>191</v>
      </c>
      <c r="B255" s="53" t="s">
        <v>25</v>
      </c>
      <c r="C255" s="371">
        <v>2013</v>
      </c>
      <c r="D255" s="114">
        <v>1505000</v>
      </c>
      <c r="E255" s="97">
        <v>112875</v>
      </c>
      <c r="F255" s="97">
        <f t="shared" si="28"/>
        <v>1617875</v>
      </c>
      <c r="G255" s="373">
        <v>0</v>
      </c>
      <c r="H255" s="373">
        <v>0</v>
      </c>
      <c r="I255" s="97">
        <v>0</v>
      </c>
      <c r="J255" s="97">
        <f t="shared" si="29"/>
        <v>9833743.0800000001</v>
      </c>
      <c r="K255" s="97">
        <f t="shared" si="30"/>
        <v>6577000</v>
      </c>
    </row>
    <row r="256" spans="1:11" s="401" customFormat="1" x14ac:dyDescent="0.2">
      <c r="A256" s="111">
        <f t="shared" si="27"/>
        <v>192</v>
      </c>
      <c r="B256" s="58" t="s">
        <v>11</v>
      </c>
      <c r="C256" s="371">
        <v>2013</v>
      </c>
      <c r="D256" s="114">
        <v>2585000</v>
      </c>
      <c r="E256" s="97">
        <v>193875</v>
      </c>
      <c r="F256" s="97">
        <f t="shared" si="28"/>
        <v>2778875</v>
      </c>
      <c r="G256" s="373">
        <v>0</v>
      </c>
      <c r="H256" s="373">
        <v>0</v>
      </c>
      <c r="I256" s="97">
        <v>0</v>
      </c>
      <c r="J256" s="97">
        <f t="shared" si="29"/>
        <v>12612618.08</v>
      </c>
      <c r="K256" s="97">
        <f t="shared" si="30"/>
        <v>9355875</v>
      </c>
    </row>
    <row r="257" spans="1:11" s="401" customFormat="1" x14ac:dyDescent="0.2">
      <c r="A257" s="111">
        <f t="shared" si="27"/>
        <v>193</v>
      </c>
      <c r="B257" s="53" t="s">
        <v>12</v>
      </c>
      <c r="C257" s="371">
        <v>2013</v>
      </c>
      <c r="D257" s="114">
        <v>6570000</v>
      </c>
      <c r="E257" s="97">
        <v>492750</v>
      </c>
      <c r="F257" s="97">
        <f t="shared" si="28"/>
        <v>7062750</v>
      </c>
      <c r="G257" s="373">
        <v>0</v>
      </c>
      <c r="H257" s="373">
        <v>0</v>
      </c>
      <c r="I257" s="97">
        <v>0</v>
      </c>
      <c r="J257" s="97">
        <f t="shared" si="29"/>
        <v>19675368.079999998</v>
      </c>
      <c r="K257" s="97">
        <f t="shared" si="30"/>
        <v>16418624.999999998</v>
      </c>
    </row>
    <row r="258" spans="1:11" s="401" customFormat="1" x14ac:dyDescent="0.2">
      <c r="A258" s="111">
        <f t="shared" si="27"/>
        <v>194</v>
      </c>
      <c r="B258" s="53" t="s">
        <v>13</v>
      </c>
      <c r="C258" s="371">
        <v>2013</v>
      </c>
      <c r="D258" s="114">
        <v>1780000</v>
      </c>
      <c r="E258" s="97">
        <v>133500</v>
      </c>
      <c r="F258" s="97">
        <f t="shared" si="28"/>
        <v>1913500</v>
      </c>
      <c r="G258" s="373">
        <v>4069059.9499999997</v>
      </c>
      <c r="H258" s="373">
        <v>1643059.9500000002</v>
      </c>
      <c r="I258" s="97">
        <v>181949.99999999997</v>
      </c>
      <c r="J258" s="97">
        <f t="shared" si="29"/>
        <v>17337858.129999999</v>
      </c>
      <c r="K258" s="97">
        <f t="shared" si="30"/>
        <v>14081115.049999999</v>
      </c>
    </row>
    <row r="259" spans="1:11" s="401" customFormat="1" x14ac:dyDescent="0.2">
      <c r="A259" s="111">
        <f t="shared" si="27"/>
        <v>195</v>
      </c>
      <c r="B259" s="58" t="s">
        <v>15</v>
      </c>
      <c r="C259" s="371">
        <v>2013</v>
      </c>
      <c r="D259" s="114">
        <v>1666000</v>
      </c>
      <c r="E259" s="97">
        <v>124950</v>
      </c>
      <c r="F259" s="97">
        <f t="shared" si="28"/>
        <v>1790950</v>
      </c>
      <c r="G259" s="373">
        <v>476000</v>
      </c>
      <c r="H259" s="373">
        <v>0</v>
      </c>
      <c r="I259" s="97">
        <v>35700</v>
      </c>
      <c r="J259" s="97">
        <f t="shared" si="29"/>
        <v>18617108.129999999</v>
      </c>
      <c r="K259" s="97">
        <f t="shared" si="30"/>
        <v>15360365.049999999</v>
      </c>
    </row>
    <row r="260" spans="1:11" s="401" customFormat="1" x14ac:dyDescent="0.2">
      <c r="A260" s="111">
        <f t="shared" si="27"/>
        <v>196</v>
      </c>
      <c r="B260" s="58" t="s">
        <v>14</v>
      </c>
      <c r="C260" s="371">
        <v>2013</v>
      </c>
      <c r="D260" s="114">
        <v>1000000</v>
      </c>
      <c r="E260" s="97">
        <v>75000</v>
      </c>
      <c r="F260" s="97">
        <f t="shared" si="28"/>
        <v>1075000</v>
      </c>
      <c r="G260" s="373">
        <v>0</v>
      </c>
      <c r="H260" s="373">
        <v>0</v>
      </c>
      <c r="I260" s="97">
        <v>0</v>
      </c>
      <c r="J260" s="97">
        <f t="shared" si="29"/>
        <v>19692108.129999999</v>
      </c>
      <c r="K260" s="97">
        <f t="shared" si="30"/>
        <v>16435365.049999999</v>
      </c>
    </row>
    <row r="261" spans="1:11" s="401" customFormat="1" x14ac:dyDescent="0.2">
      <c r="A261" s="111">
        <f t="shared" si="27"/>
        <v>197</v>
      </c>
      <c r="B261" s="58" t="s">
        <v>6</v>
      </c>
      <c r="C261" s="371">
        <v>2013</v>
      </c>
      <c r="D261" s="114">
        <v>2830000</v>
      </c>
      <c r="E261" s="97">
        <v>212250</v>
      </c>
      <c r="F261" s="97">
        <f t="shared" si="28"/>
        <v>3042250</v>
      </c>
      <c r="G261" s="373">
        <v>0</v>
      </c>
      <c r="H261" s="373">
        <v>0</v>
      </c>
      <c r="I261" s="97">
        <v>0</v>
      </c>
      <c r="J261" s="97">
        <f t="shared" si="29"/>
        <v>22734358.129999999</v>
      </c>
      <c r="K261" s="97">
        <f t="shared" si="30"/>
        <v>19477615.049999997</v>
      </c>
    </row>
    <row r="262" spans="1:11" s="401" customFormat="1" x14ac:dyDescent="0.2">
      <c r="A262" s="111">
        <f t="shared" si="27"/>
        <v>198</v>
      </c>
      <c r="B262" s="58" t="s">
        <v>7</v>
      </c>
      <c r="C262" s="371">
        <v>2014</v>
      </c>
      <c r="D262" s="114">
        <v>8500000</v>
      </c>
      <c r="E262" s="97">
        <v>637500</v>
      </c>
      <c r="F262" s="97">
        <f t="shared" si="28"/>
        <v>9137500</v>
      </c>
      <c r="G262" s="373">
        <v>0</v>
      </c>
      <c r="H262" s="373">
        <v>0</v>
      </c>
      <c r="I262" s="97">
        <v>0</v>
      </c>
      <c r="J262" s="97">
        <f t="shared" si="29"/>
        <v>31871858.129999999</v>
      </c>
      <c r="K262" s="97">
        <f t="shared" si="30"/>
        <v>28615115.049999997</v>
      </c>
    </row>
    <row r="263" spans="1:11" s="401" customFormat="1" x14ac:dyDescent="0.2">
      <c r="A263" s="111">
        <f t="shared" si="27"/>
        <v>199</v>
      </c>
      <c r="B263" s="53" t="s">
        <v>8</v>
      </c>
      <c r="C263" s="371">
        <v>2014</v>
      </c>
      <c r="D263" s="114">
        <v>300000</v>
      </c>
      <c r="E263" s="97">
        <v>22500</v>
      </c>
      <c r="F263" s="97">
        <f t="shared" si="28"/>
        <v>322500</v>
      </c>
      <c r="G263" s="373">
        <v>0</v>
      </c>
      <c r="H263" s="373">
        <v>0</v>
      </c>
      <c r="I263" s="97">
        <v>0</v>
      </c>
      <c r="J263" s="97">
        <f t="shared" si="29"/>
        <v>32194358.129999999</v>
      </c>
      <c r="K263" s="97">
        <f t="shared" si="30"/>
        <v>28937615.049999997</v>
      </c>
    </row>
    <row r="264" spans="1:11" s="401" customFormat="1" x14ac:dyDescent="0.2">
      <c r="A264" s="111">
        <f t="shared" si="27"/>
        <v>200</v>
      </c>
      <c r="B264" s="53" t="s">
        <v>18</v>
      </c>
      <c r="C264" s="371">
        <v>2014</v>
      </c>
      <c r="D264" s="114">
        <v>2100000</v>
      </c>
      <c r="E264" s="97">
        <v>157500</v>
      </c>
      <c r="F264" s="97">
        <f t="shared" si="28"/>
        <v>2257500</v>
      </c>
      <c r="G264" s="373">
        <v>0</v>
      </c>
      <c r="H264" s="373">
        <v>0</v>
      </c>
      <c r="I264" s="97">
        <v>0</v>
      </c>
      <c r="J264" s="97">
        <f t="shared" si="29"/>
        <v>34451858.129999995</v>
      </c>
      <c r="K264" s="97">
        <f t="shared" si="30"/>
        <v>31195115.049999997</v>
      </c>
    </row>
    <row r="265" spans="1:11" s="401" customFormat="1" x14ac:dyDescent="0.2">
      <c r="A265" s="111">
        <f t="shared" si="27"/>
        <v>201</v>
      </c>
      <c r="B265" s="58" t="s">
        <v>9</v>
      </c>
      <c r="C265" s="371">
        <v>2014</v>
      </c>
      <c r="D265" s="114">
        <v>600000</v>
      </c>
      <c r="E265" s="97">
        <v>45000</v>
      </c>
      <c r="F265" s="97">
        <f t="shared" si="28"/>
        <v>645000</v>
      </c>
      <c r="G265" s="373">
        <v>0</v>
      </c>
      <c r="H265" s="373">
        <v>0</v>
      </c>
      <c r="I265" s="97">
        <v>0</v>
      </c>
      <c r="J265" s="97">
        <f t="shared" si="29"/>
        <v>35096858.129999995</v>
      </c>
      <c r="K265" s="97">
        <f t="shared" si="30"/>
        <v>31840115.049999997</v>
      </c>
    </row>
    <row r="266" spans="1:11" s="401" customFormat="1" x14ac:dyDescent="0.2">
      <c r="A266" s="111">
        <f t="shared" si="27"/>
        <v>202</v>
      </c>
      <c r="B266" s="53" t="s">
        <v>10</v>
      </c>
      <c r="C266" s="371">
        <v>2014</v>
      </c>
      <c r="D266" s="114">
        <v>600000</v>
      </c>
      <c r="E266" s="97">
        <v>45000</v>
      </c>
      <c r="F266" s="97">
        <f t="shared" si="28"/>
        <v>645000</v>
      </c>
      <c r="G266" s="373">
        <v>0</v>
      </c>
      <c r="H266" s="373">
        <v>0</v>
      </c>
      <c r="I266" s="97">
        <v>0</v>
      </c>
      <c r="J266" s="97">
        <f t="shared" si="29"/>
        <v>35741858.129999995</v>
      </c>
      <c r="K266" s="97">
        <f t="shared" si="30"/>
        <v>32485115.049999997</v>
      </c>
    </row>
    <row r="267" spans="1:11" s="401" customFormat="1" x14ac:dyDescent="0.2">
      <c r="A267" s="111">
        <f t="shared" si="27"/>
        <v>203</v>
      </c>
      <c r="B267" s="53" t="s">
        <v>25</v>
      </c>
      <c r="C267" s="371">
        <v>2014</v>
      </c>
      <c r="D267" s="114">
        <v>600000</v>
      </c>
      <c r="E267" s="97">
        <v>45000</v>
      </c>
      <c r="F267" s="97">
        <f t="shared" si="28"/>
        <v>645000</v>
      </c>
      <c r="G267" s="373">
        <v>0</v>
      </c>
      <c r="H267" s="373">
        <v>0</v>
      </c>
      <c r="I267" s="97">
        <v>0</v>
      </c>
      <c r="J267" s="97">
        <f t="shared" si="29"/>
        <v>36386858.129999995</v>
      </c>
      <c r="K267" s="97">
        <f t="shared" si="30"/>
        <v>33130115.049999997</v>
      </c>
    </row>
    <row r="268" spans="1:11" s="401" customFormat="1" x14ac:dyDescent="0.2">
      <c r="A268" s="111">
        <f t="shared" si="27"/>
        <v>204</v>
      </c>
      <c r="B268" s="58" t="s">
        <v>11</v>
      </c>
      <c r="C268" s="371">
        <v>2014</v>
      </c>
      <c r="D268" s="114">
        <v>900000</v>
      </c>
      <c r="E268" s="97">
        <v>67500</v>
      </c>
      <c r="F268" s="97">
        <f t="shared" si="28"/>
        <v>967500</v>
      </c>
      <c r="G268" s="373">
        <v>0</v>
      </c>
      <c r="H268" s="373">
        <v>0</v>
      </c>
      <c r="I268" s="97">
        <v>0</v>
      </c>
      <c r="J268" s="97">
        <f t="shared" si="29"/>
        <v>37354358.129999995</v>
      </c>
      <c r="K268" s="97">
        <f t="shared" si="30"/>
        <v>34097615.049999997</v>
      </c>
    </row>
    <row r="269" spans="1:11" s="401" customFormat="1" x14ac:dyDescent="0.2">
      <c r="A269" s="111">
        <f t="shared" si="27"/>
        <v>205</v>
      </c>
      <c r="B269" s="53" t="s">
        <v>12</v>
      </c>
      <c r="C269" s="371">
        <v>2014</v>
      </c>
      <c r="D269" s="114">
        <v>1500000</v>
      </c>
      <c r="E269" s="97">
        <v>112500</v>
      </c>
      <c r="F269" s="97">
        <f t="shared" si="28"/>
        <v>1612500</v>
      </c>
      <c r="G269" s="373">
        <v>0</v>
      </c>
      <c r="H269" s="373">
        <v>0</v>
      </c>
      <c r="I269" s="97">
        <v>0</v>
      </c>
      <c r="J269" s="97">
        <f t="shared" si="29"/>
        <v>38966858.129999995</v>
      </c>
      <c r="K269" s="97">
        <f t="shared" si="30"/>
        <v>35710115.049999997</v>
      </c>
    </row>
    <row r="270" spans="1:11" s="401" customFormat="1" x14ac:dyDescent="0.2">
      <c r="A270" s="111">
        <f t="shared" si="27"/>
        <v>206</v>
      </c>
      <c r="B270" s="53" t="s">
        <v>13</v>
      </c>
      <c r="C270" s="371">
        <v>2014</v>
      </c>
      <c r="D270" s="114">
        <v>1000000</v>
      </c>
      <c r="E270" s="97">
        <v>75000</v>
      </c>
      <c r="F270" s="97">
        <f t="shared" si="28"/>
        <v>1075000</v>
      </c>
      <c r="G270" s="373">
        <v>0</v>
      </c>
      <c r="H270" s="373">
        <v>0</v>
      </c>
      <c r="I270" s="97">
        <v>0</v>
      </c>
      <c r="J270" s="97">
        <f t="shared" si="29"/>
        <v>40041858.129999995</v>
      </c>
      <c r="K270" s="97">
        <f t="shared" si="30"/>
        <v>36785115.049999997</v>
      </c>
    </row>
    <row r="271" spans="1:11" s="401" customFormat="1" x14ac:dyDescent="0.2">
      <c r="A271" s="111">
        <f t="shared" si="27"/>
        <v>207</v>
      </c>
      <c r="B271" s="53" t="s">
        <v>15</v>
      </c>
      <c r="C271" s="371">
        <v>2014</v>
      </c>
      <c r="D271" s="114">
        <v>2000000</v>
      </c>
      <c r="E271" s="97">
        <v>150000</v>
      </c>
      <c r="F271" s="97">
        <f t="shared" si="28"/>
        <v>2150000</v>
      </c>
      <c r="G271" s="373">
        <v>0</v>
      </c>
      <c r="H271" s="373">
        <v>0</v>
      </c>
      <c r="I271" s="97">
        <v>0</v>
      </c>
      <c r="J271" s="97">
        <f t="shared" si="29"/>
        <v>42191858.129999995</v>
      </c>
      <c r="K271" s="97">
        <f t="shared" si="30"/>
        <v>38935115.049999997</v>
      </c>
    </row>
    <row r="272" spans="1:11" s="401" customFormat="1" x14ac:dyDescent="0.2">
      <c r="A272" s="111">
        <f t="shared" si="27"/>
        <v>208</v>
      </c>
      <c r="B272" s="53" t="s">
        <v>14</v>
      </c>
      <c r="C272" s="371">
        <v>2014</v>
      </c>
      <c r="D272" s="114">
        <v>2400000</v>
      </c>
      <c r="E272" s="97">
        <v>180000</v>
      </c>
      <c r="F272" s="97">
        <f t="shared" si="28"/>
        <v>2580000</v>
      </c>
      <c r="G272" s="373">
        <v>0</v>
      </c>
      <c r="H272" s="373">
        <v>0</v>
      </c>
      <c r="I272" s="97">
        <v>0</v>
      </c>
      <c r="J272" s="97">
        <f t="shared" si="29"/>
        <v>44771858.129999995</v>
      </c>
      <c r="K272" s="97">
        <f t="shared" si="30"/>
        <v>41515115.049999997</v>
      </c>
    </row>
    <row r="273" spans="1:13" s="401" customFormat="1" x14ac:dyDescent="0.2">
      <c r="A273" s="111">
        <f t="shared" si="27"/>
        <v>209</v>
      </c>
      <c r="B273" s="53" t="s">
        <v>6</v>
      </c>
      <c r="C273" s="371">
        <v>2014</v>
      </c>
      <c r="D273" s="114">
        <v>2500000</v>
      </c>
      <c r="E273" s="97">
        <v>187500</v>
      </c>
      <c r="F273" s="97">
        <f t="shared" si="28"/>
        <v>2687500</v>
      </c>
      <c r="G273" s="373">
        <v>44236683.129999995</v>
      </c>
      <c r="H273" s="373">
        <v>1613683.1300000001</v>
      </c>
      <c r="I273" s="97">
        <v>3196724.9999999995</v>
      </c>
      <c r="J273" s="97">
        <f t="shared" si="29"/>
        <v>25950.000000000466</v>
      </c>
      <c r="K273" s="107">
        <f t="shared" si="30"/>
        <v>-3230793.0799999996</v>
      </c>
    </row>
    <row r="274" spans="1:13" s="401" customFormat="1" x14ac:dyDescent="0.2">
      <c r="A274" s="111">
        <f t="shared" si="27"/>
        <v>210</v>
      </c>
      <c r="B274" s="64"/>
      <c r="C274" s="398" t="s">
        <v>418</v>
      </c>
      <c r="D274" s="64"/>
      <c r="E274" s="64"/>
      <c r="F274" s="64"/>
      <c r="G274" s="64"/>
      <c r="H274" s="64"/>
      <c r="I274" s="106"/>
      <c r="J274" s="106"/>
      <c r="K274" s="399">
        <f>AVERAGE(K261:K273)</f>
        <v>29961006.732307699</v>
      </c>
    </row>
    <row r="275" spans="1:13" s="401" customFormat="1" ht="12.75" customHeight="1" x14ac:dyDescent="0.2">
      <c r="A275" s="111"/>
      <c r="B275" s="64"/>
      <c r="C275" s="398"/>
      <c r="D275" s="64"/>
      <c r="E275" s="64"/>
      <c r="F275" s="64"/>
      <c r="G275" s="64"/>
      <c r="H275" s="64"/>
      <c r="I275" s="64"/>
      <c r="J275" s="64"/>
      <c r="K275" s="407"/>
    </row>
    <row r="276" spans="1:13" s="401" customFormat="1" x14ac:dyDescent="0.2">
      <c r="B276" s="402" t="s">
        <v>436</v>
      </c>
      <c r="D276" s="737" t="s">
        <v>437</v>
      </c>
      <c r="E276" s="737"/>
    </row>
    <row r="277" spans="1:13" s="401" customFormat="1" x14ac:dyDescent="0.2">
      <c r="D277" s="403"/>
      <c r="E277" s="404"/>
      <c r="F277" s="394"/>
      <c r="G277" s="392" t="str">
        <f>G51</f>
        <v>Unloaded</v>
      </c>
      <c r="H277" s="403"/>
      <c r="I277" s="404"/>
      <c r="J277" s="404"/>
      <c r="K277" s="404"/>
    </row>
    <row r="278" spans="1:13" s="401" customFormat="1" x14ac:dyDescent="0.2">
      <c r="A278" s="392"/>
      <c r="B278" s="392"/>
      <c r="C278" s="392"/>
      <c r="D278" s="392" t="str">
        <f>D$52</f>
        <v>Forecast</v>
      </c>
      <c r="E278" s="392" t="str">
        <f>E$52</f>
        <v>Corporate</v>
      </c>
      <c r="F278" s="392" t="str">
        <f>F$52</f>
        <v xml:space="preserve">Total </v>
      </c>
      <c r="G278" s="392" t="str">
        <f>G52</f>
        <v>Total</v>
      </c>
      <c r="H278" s="392" t="str">
        <f>H$52</f>
        <v>Prior Period</v>
      </c>
      <c r="I278" s="392" t="str">
        <f>I$52</f>
        <v>Over Heads</v>
      </c>
      <c r="J278" s="392" t="str">
        <f>J$52</f>
        <v>Forecast</v>
      </c>
      <c r="K278" s="93" t="str">
        <f>K$52</f>
        <v>Forecast Period</v>
      </c>
    </row>
    <row r="279" spans="1:13" s="401" customFormat="1" x14ac:dyDescent="0.2">
      <c r="A279" s="136" t="s">
        <v>296</v>
      </c>
      <c r="B279" s="57" t="s">
        <v>16</v>
      </c>
      <c r="C279" s="57" t="s">
        <v>17</v>
      </c>
      <c r="D279" s="389" t="str">
        <f>D$53</f>
        <v>Expenditures</v>
      </c>
      <c r="E279" s="389" t="str">
        <f>E$53</f>
        <v>Overheads</v>
      </c>
      <c r="F279" s="389" t="str">
        <f>F$53</f>
        <v>CWIP Exp</v>
      </c>
      <c r="G279" s="389" t="str">
        <f>G53</f>
        <v>Plant Adds</v>
      </c>
      <c r="H279" s="389" t="str">
        <f>H$53</f>
        <v>CWIP Closed</v>
      </c>
      <c r="I279" s="389" t="str">
        <f>I$53</f>
        <v>Closed to PIS</v>
      </c>
      <c r="J279" s="389" t="str">
        <f>J$53</f>
        <v>Period CWIP</v>
      </c>
      <c r="K279" s="389" t="str">
        <f>K$53</f>
        <v>Incremental CWIP</v>
      </c>
    </row>
    <row r="280" spans="1:13" s="401" customFormat="1" x14ac:dyDescent="0.2">
      <c r="A280" s="111">
        <f>A274+1</f>
        <v>211</v>
      </c>
      <c r="B280" s="58" t="s">
        <v>6</v>
      </c>
      <c r="C280" s="371">
        <v>2012</v>
      </c>
      <c r="D280" s="394" t="s">
        <v>400</v>
      </c>
      <c r="E280" s="394" t="s">
        <v>400</v>
      </c>
      <c r="F280" s="394" t="s">
        <v>400</v>
      </c>
      <c r="G280" s="394" t="s">
        <v>400</v>
      </c>
      <c r="H280" s="394" t="s">
        <v>400</v>
      </c>
      <c r="I280" s="394" t="s">
        <v>400</v>
      </c>
      <c r="J280" s="286">
        <f>E45</f>
        <v>47651133.539999999</v>
      </c>
      <c r="K280" s="394" t="s">
        <v>400</v>
      </c>
    </row>
    <row r="281" spans="1:13" s="401" customFormat="1" x14ac:dyDescent="0.2">
      <c r="A281" s="111">
        <f t="shared" ref="A281:A305" si="31">A280+1</f>
        <v>212</v>
      </c>
      <c r="B281" s="58" t="s">
        <v>7</v>
      </c>
      <c r="C281" s="371">
        <v>2013</v>
      </c>
      <c r="D281" s="114">
        <v>3162413</v>
      </c>
      <c r="E281" s="97">
        <v>237180.97499999998</v>
      </c>
      <c r="F281" s="97">
        <f t="shared" ref="F281:F304" si="32">E281+D281</f>
        <v>3399593.9750000001</v>
      </c>
      <c r="G281" s="114">
        <v>0</v>
      </c>
      <c r="H281" s="114">
        <v>0</v>
      </c>
      <c r="I281" s="97">
        <v>0</v>
      </c>
      <c r="J281" s="286">
        <f t="shared" ref="J281:J304" si="33">J280+F281-G281-I281</f>
        <v>51050727.515000001</v>
      </c>
      <c r="K281" s="97">
        <f t="shared" ref="K281:K304" si="34">J281-$J$280</f>
        <v>3399593.9750000015</v>
      </c>
    </row>
    <row r="282" spans="1:13" s="401" customFormat="1" x14ac:dyDescent="0.2">
      <c r="A282" s="111">
        <f t="shared" si="31"/>
        <v>213</v>
      </c>
      <c r="B282" s="53" t="s">
        <v>8</v>
      </c>
      <c r="C282" s="371">
        <v>2013</v>
      </c>
      <c r="D282" s="114">
        <v>3299225</v>
      </c>
      <c r="E282" s="97">
        <v>247441.875</v>
      </c>
      <c r="F282" s="97">
        <f t="shared" si="32"/>
        <v>3546666.875</v>
      </c>
      <c r="G282" s="114">
        <v>0</v>
      </c>
      <c r="H282" s="114">
        <v>0</v>
      </c>
      <c r="I282" s="97">
        <v>0</v>
      </c>
      <c r="J282" s="286">
        <f t="shared" si="33"/>
        <v>54597394.390000001</v>
      </c>
      <c r="K282" s="97">
        <f t="shared" si="34"/>
        <v>6946260.8500000015</v>
      </c>
    </row>
    <row r="283" spans="1:13" s="401" customFormat="1" x14ac:dyDescent="0.2">
      <c r="A283" s="111">
        <f t="shared" si="31"/>
        <v>214</v>
      </c>
      <c r="B283" s="53" t="s">
        <v>18</v>
      </c>
      <c r="C283" s="371">
        <v>2013</v>
      </c>
      <c r="D283" s="114">
        <v>4621214</v>
      </c>
      <c r="E283" s="97">
        <v>346591.05</v>
      </c>
      <c r="F283" s="97">
        <f t="shared" si="32"/>
        <v>4967805.05</v>
      </c>
      <c r="G283" s="114">
        <v>0</v>
      </c>
      <c r="H283" s="114">
        <v>0</v>
      </c>
      <c r="I283" s="97">
        <v>0</v>
      </c>
      <c r="J283" s="286">
        <f t="shared" si="33"/>
        <v>59565199.439999998</v>
      </c>
      <c r="K283" s="97">
        <f t="shared" si="34"/>
        <v>11914065.899999999</v>
      </c>
    </row>
    <row r="284" spans="1:13" s="401" customFormat="1" x14ac:dyDescent="0.2">
      <c r="A284" s="111">
        <f t="shared" si="31"/>
        <v>215</v>
      </c>
      <c r="B284" s="58" t="s">
        <v>9</v>
      </c>
      <c r="C284" s="371">
        <v>2013</v>
      </c>
      <c r="D284" s="114">
        <v>2773882</v>
      </c>
      <c r="E284" s="97">
        <v>208041.15</v>
      </c>
      <c r="F284" s="97">
        <f t="shared" si="32"/>
        <v>2981923.15</v>
      </c>
      <c r="G284" s="114">
        <v>0</v>
      </c>
      <c r="H284" s="114">
        <v>0</v>
      </c>
      <c r="I284" s="97">
        <v>0</v>
      </c>
      <c r="J284" s="286">
        <f t="shared" si="33"/>
        <v>62547122.589999996</v>
      </c>
      <c r="K284" s="97">
        <f t="shared" si="34"/>
        <v>14895989.049999997</v>
      </c>
    </row>
    <row r="285" spans="1:13" s="401" customFormat="1" x14ac:dyDescent="0.2">
      <c r="A285" s="111">
        <f t="shared" si="31"/>
        <v>216</v>
      </c>
      <c r="B285" s="53" t="s">
        <v>10</v>
      </c>
      <c r="C285" s="371">
        <v>2013</v>
      </c>
      <c r="D285" s="114">
        <v>3341382</v>
      </c>
      <c r="E285" s="97">
        <v>250603.65</v>
      </c>
      <c r="F285" s="97">
        <f t="shared" si="32"/>
        <v>3591985.65</v>
      </c>
      <c r="G285" s="114">
        <v>0</v>
      </c>
      <c r="H285" s="114">
        <v>0</v>
      </c>
      <c r="I285" s="97">
        <v>0</v>
      </c>
      <c r="J285" s="286">
        <f t="shared" si="33"/>
        <v>66139108.239999995</v>
      </c>
      <c r="K285" s="97">
        <f t="shared" si="34"/>
        <v>18487974.699999996</v>
      </c>
      <c r="L285" s="392"/>
      <c r="M285" s="392"/>
    </row>
    <row r="286" spans="1:13" s="401" customFormat="1" x14ac:dyDescent="0.2">
      <c r="A286" s="111">
        <f t="shared" si="31"/>
        <v>217</v>
      </c>
      <c r="B286" s="53" t="s">
        <v>25</v>
      </c>
      <c r="C286" s="371">
        <v>2013</v>
      </c>
      <c r="D286" s="114">
        <v>3280961</v>
      </c>
      <c r="E286" s="97">
        <v>246072.07499999998</v>
      </c>
      <c r="F286" s="97">
        <f t="shared" si="32"/>
        <v>3527033.0750000002</v>
      </c>
      <c r="G286" s="114">
        <v>0</v>
      </c>
      <c r="H286" s="114">
        <v>0</v>
      </c>
      <c r="I286" s="97">
        <v>0</v>
      </c>
      <c r="J286" s="286">
        <f t="shared" si="33"/>
        <v>69666141.314999998</v>
      </c>
      <c r="K286" s="97">
        <f t="shared" si="34"/>
        <v>22015007.774999999</v>
      </c>
      <c r="L286" s="389"/>
      <c r="M286" s="389"/>
    </row>
    <row r="287" spans="1:13" s="401" customFormat="1" x14ac:dyDescent="0.2">
      <c r="A287" s="111">
        <f t="shared" si="31"/>
        <v>218</v>
      </c>
      <c r="B287" s="58" t="s">
        <v>11</v>
      </c>
      <c r="C287" s="371">
        <v>2013</v>
      </c>
      <c r="D287" s="114">
        <v>1526987</v>
      </c>
      <c r="E287" s="97">
        <v>114524.02499999999</v>
      </c>
      <c r="F287" s="97">
        <f t="shared" si="32"/>
        <v>1641511.0249999999</v>
      </c>
      <c r="G287" s="373">
        <v>70020335.539999992</v>
      </c>
      <c r="H287" s="373">
        <v>48014271.539999992</v>
      </c>
      <c r="I287" s="97">
        <v>1650454.8</v>
      </c>
      <c r="J287" s="286">
        <f t="shared" si="33"/>
        <v>-363137.99999998813</v>
      </c>
      <c r="K287" s="97">
        <f t="shared" si="34"/>
        <v>-48014271.539999984</v>
      </c>
    </row>
    <row r="288" spans="1:13" s="401" customFormat="1" x14ac:dyDescent="0.2">
      <c r="A288" s="111">
        <f t="shared" si="31"/>
        <v>219</v>
      </c>
      <c r="B288" s="53" t="s">
        <v>12</v>
      </c>
      <c r="C288" s="371">
        <v>2013</v>
      </c>
      <c r="D288" s="114">
        <v>1003387</v>
      </c>
      <c r="E288" s="97">
        <v>75254.024999999994</v>
      </c>
      <c r="F288" s="97">
        <f t="shared" si="32"/>
        <v>1078641.0249999999</v>
      </c>
      <c r="G288" s="114">
        <v>1003387</v>
      </c>
      <c r="H288" s="373">
        <v>0</v>
      </c>
      <c r="I288" s="97">
        <v>75254.024999999994</v>
      </c>
      <c r="J288" s="286">
        <f t="shared" si="33"/>
        <v>-363137.99999998824</v>
      </c>
      <c r="K288" s="97">
        <f t="shared" si="34"/>
        <v>-48014271.539999984</v>
      </c>
    </row>
    <row r="289" spans="1:11" s="401" customFormat="1" x14ac:dyDescent="0.2">
      <c r="A289" s="111">
        <f t="shared" si="31"/>
        <v>220</v>
      </c>
      <c r="B289" s="53" t="s">
        <v>13</v>
      </c>
      <c r="C289" s="371">
        <v>2013</v>
      </c>
      <c r="D289" s="114">
        <v>336235</v>
      </c>
      <c r="E289" s="97">
        <v>25217.625</v>
      </c>
      <c r="F289" s="97">
        <f t="shared" si="32"/>
        <v>361452.625</v>
      </c>
      <c r="G289" s="114">
        <v>336235</v>
      </c>
      <c r="H289" s="114">
        <v>0</v>
      </c>
      <c r="I289" s="97">
        <v>25217.625</v>
      </c>
      <c r="J289" s="286">
        <f t="shared" si="33"/>
        <v>-363137.99999998824</v>
      </c>
      <c r="K289" s="97">
        <f t="shared" si="34"/>
        <v>-48014271.539999984</v>
      </c>
    </row>
    <row r="290" spans="1:11" s="401" customFormat="1" x14ac:dyDescent="0.2">
      <c r="A290" s="111">
        <f t="shared" si="31"/>
        <v>221</v>
      </c>
      <c r="B290" s="58" t="s">
        <v>15</v>
      </c>
      <c r="C290" s="371">
        <v>2013</v>
      </c>
      <c r="D290" s="114">
        <v>322674</v>
      </c>
      <c r="E290" s="97">
        <v>24200.55</v>
      </c>
      <c r="F290" s="97">
        <f t="shared" si="32"/>
        <v>346874.55</v>
      </c>
      <c r="G290" s="114">
        <v>322674</v>
      </c>
      <c r="H290" s="114">
        <v>0</v>
      </c>
      <c r="I290" s="97">
        <v>24200.55</v>
      </c>
      <c r="J290" s="286">
        <f t="shared" si="33"/>
        <v>-363137.99999998824</v>
      </c>
      <c r="K290" s="97">
        <f t="shared" si="34"/>
        <v>-48014271.539999984</v>
      </c>
    </row>
    <row r="291" spans="1:11" s="401" customFormat="1" x14ac:dyDescent="0.2">
      <c r="A291" s="111">
        <f t="shared" si="31"/>
        <v>222</v>
      </c>
      <c r="B291" s="58" t="s">
        <v>14</v>
      </c>
      <c r="C291" s="371">
        <v>2013</v>
      </c>
      <c r="D291" s="114">
        <v>300000</v>
      </c>
      <c r="E291" s="97">
        <v>22500</v>
      </c>
      <c r="F291" s="97">
        <f t="shared" si="32"/>
        <v>322500</v>
      </c>
      <c r="G291" s="114">
        <v>300000</v>
      </c>
      <c r="H291" s="114">
        <v>0</v>
      </c>
      <c r="I291" s="97">
        <v>22500</v>
      </c>
      <c r="J291" s="286">
        <f t="shared" si="33"/>
        <v>-363137.99999998824</v>
      </c>
      <c r="K291" s="97">
        <f t="shared" si="34"/>
        <v>-48014271.539999984</v>
      </c>
    </row>
    <row r="292" spans="1:11" s="401" customFormat="1" x14ac:dyDescent="0.2">
      <c r="A292" s="111">
        <f t="shared" si="31"/>
        <v>223</v>
      </c>
      <c r="B292" s="58" t="s">
        <v>6</v>
      </c>
      <c r="C292" s="371">
        <v>2013</v>
      </c>
      <c r="D292" s="114">
        <v>1698420</v>
      </c>
      <c r="E292" s="97">
        <v>127381.5</v>
      </c>
      <c r="F292" s="97">
        <f t="shared" si="32"/>
        <v>1825801.5</v>
      </c>
      <c r="G292" s="114">
        <v>1698420</v>
      </c>
      <c r="H292" s="114">
        <v>0</v>
      </c>
      <c r="I292" s="97">
        <v>127381.5</v>
      </c>
      <c r="J292" s="286">
        <f t="shared" si="33"/>
        <v>-363137.99999998836</v>
      </c>
      <c r="K292" s="97">
        <f t="shared" si="34"/>
        <v>-48014271.539999984</v>
      </c>
    </row>
    <row r="293" spans="1:11" s="401" customFormat="1" x14ac:dyDescent="0.2">
      <c r="A293" s="111">
        <f t="shared" si="31"/>
        <v>224</v>
      </c>
      <c r="B293" s="58" t="s">
        <v>7</v>
      </c>
      <c r="C293" s="371">
        <v>2014</v>
      </c>
      <c r="D293" s="114">
        <v>108211</v>
      </c>
      <c r="E293" s="97">
        <v>8115.8249999999998</v>
      </c>
      <c r="F293" s="97">
        <f t="shared" si="32"/>
        <v>116326.825</v>
      </c>
      <c r="G293" s="114">
        <v>108211</v>
      </c>
      <c r="H293" s="114">
        <v>0</v>
      </c>
      <c r="I293" s="97">
        <v>8115.8249999999998</v>
      </c>
      <c r="J293" s="286">
        <f t="shared" si="33"/>
        <v>-363137.99999998836</v>
      </c>
      <c r="K293" s="97">
        <f t="shared" si="34"/>
        <v>-48014271.539999984</v>
      </c>
    </row>
    <row r="294" spans="1:11" s="401" customFormat="1" x14ac:dyDescent="0.2">
      <c r="A294" s="111">
        <f t="shared" si="31"/>
        <v>225</v>
      </c>
      <c r="B294" s="53" t="s">
        <v>8</v>
      </c>
      <c r="C294" s="371">
        <v>2014</v>
      </c>
      <c r="D294" s="114">
        <v>108211</v>
      </c>
      <c r="E294" s="97">
        <v>8115.8249999999998</v>
      </c>
      <c r="F294" s="97">
        <f t="shared" si="32"/>
        <v>116326.825</v>
      </c>
      <c r="G294" s="114">
        <v>108211</v>
      </c>
      <c r="H294" s="114">
        <v>0</v>
      </c>
      <c r="I294" s="97">
        <v>8115.8249999999998</v>
      </c>
      <c r="J294" s="286">
        <f t="shared" si="33"/>
        <v>-363137.99999998836</v>
      </c>
      <c r="K294" s="97">
        <f t="shared" si="34"/>
        <v>-48014271.539999984</v>
      </c>
    </row>
    <row r="295" spans="1:11" s="401" customFormat="1" x14ac:dyDescent="0.2">
      <c r="A295" s="111">
        <f t="shared" si="31"/>
        <v>226</v>
      </c>
      <c r="B295" s="53" t="s">
        <v>18</v>
      </c>
      <c r="C295" s="371">
        <v>2014</v>
      </c>
      <c r="D295" s="114">
        <v>108211</v>
      </c>
      <c r="E295" s="97">
        <v>8115.8249999999998</v>
      </c>
      <c r="F295" s="97">
        <f t="shared" si="32"/>
        <v>116326.825</v>
      </c>
      <c r="G295" s="114">
        <v>108211</v>
      </c>
      <c r="H295" s="114">
        <v>0</v>
      </c>
      <c r="I295" s="97">
        <v>8115.8249999999998</v>
      </c>
      <c r="J295" s="286">
        <f t="shared" si="33"/>
        <v>-363137.99999998836</v>
      </c>
      <c r="K295" s="97">
        <f t="shared" si="34"/>
        <v>-48014271.539999984</v>
      </c>
    </row>
    <row r="296" spans="1:11" s="401" customFormat="1" x14ac:dyDescent="0.2">
      <c r="A296" s="111">
        <f t="shared" si="31"/>
        <v>227</v>
      </c>
      <c r="B296" s="58" t="s">
        <v>9</v>
      </c>
      <c r="C296" s="371">
        <v>2014</v>
      </c>
      <c r="D296" s="114">
        <v>108211</v>
      </c>
      <c r="E296" s="97">
        <v>8115.8249999999998</v>
      </c>
      <c r="F296" s="97">
        <f t="shared" si="32"/>
        <v>116326.825</v>
      </c>
      <c r="G296" s="114">
        <v>108211</v>
      </c>
      <c r="H296" s="114">
        <v>0</v>
      </c>
      <c r="I296" s="97">
        <v>8115.8249999999998</v>
      </c>
      <c r="J296" s="286">
        <f t="shared" si="33"/>
        <v>-363137.99999998836</v>
      </c>
      <c r="K296" s="97">
        <f t="shared" si="34"/>
        <v>-48014271.539999984</v>
      </c>
    </row>
    <row r="297" spans="1:11" s="401" customFormat="1" x14ac:dyDescent="0.2">
      <c r="A297" s="111">
        <f t="shared" si="31"/>
        <v>228</v>
      </c>
      <c r="B297" s="53" t="s">
        <v>10</v>
      </c>
      <c r="C297" s="371">
        <v>2014</v>
      </c>
      <c r="D297" s="114">
        <v>108211</v>
      </c>
      <c r="E297" s="97">
        <v>8115.8249999999998</v>
      </c>
      <c r="F297" s="97">
        <f t="shared" si="32"/>
        <v>116326.825</v>
      </c>
      <c r="G297" s="114">
        <v>108211</v>
      </c>
      <c r="H297" s="114">
        <v>0</v>
      </c>
      <c r="I297" s="97">
        <v>8115.8249999999998</v>
      </c>
      <c r="J297" s="286">
        <f t="shared" si="33"/>
        <v>-363137.99999998836</v>
      </c>
      <c r="K297" s="97">
        <f t="shared" si="34"/>
        <v>-48014271.539999984</v>
      </c>
    </row>
    <row r="298" spans="1:11" s="401" customFormat="1" x14ac:dyDescent="0.2">
      <c r="A298" s="111">
        <f t="shared" si="31"/>
        <v>229</v>
      </c>
      <c r="B298" s="53" t="s">
        <v>25</v>
      </c>
      <c r="C298" s="371">
        <v>2014</v>
      </c>
      <c r="D298" s="114">
        <v>108211</v>
      </c>
      <c r="E298" s="97">
        <v>8115.8249999999998</v>
      </c>
      <c r="F298" s="97">
        <f t="shared" si="32"/>
        <v>116326.825</v>
      </c>
      <c r="G298" s="114">
        <v>108211</v>
      </c>
      <c r="H298" s="114">
        <v>0</v>
      </c>
      <c r="I298" s="97">
        <v>8115.8249999999998</v>
      </c>
      <c r="J298" s="286">
        <f t="shared" si="33"/>
        <v>-363137.99999998836</v>
      </c>
      <c r="K298" s="97">
        <f t="shared" si="34"/>
        <v>-48014271.539999984</v>
      </c>
    </row>
    <row r="299" spans="1:11" s="401" customFormat="1" x14ac:dyDescent="0.2">
      <c r="A299" s="111">
        <f t="shared" si="31"/>
        <v>230</v>
      </c>
      <c r="B299" s="58" t="s">
        <v>11</v>
      </c>
      <c r="C299" s="371">
        <v>2014</v>
      </c>
      <c r="D299" s="114">
        <v>0</v>
      </c>
      <c r="E299" s="97">
        <v>0</v>
      </c>
      <c r="F299" s="97">
        <f t="shared" si="32"/>
        <v>0</v>
      </c>
      <c r="G299" s="114">
        <v>0</v>
      </c>
      <c r="H299" s="114">
        <v>0</v>
      </c>
      <c r="I299" s="97">
        <v>0</v>
      </c>
      <c r="J299" s="286">
        <f t="shared" si="33"/>
        <v>-363137.99999998836</v>
      </c>
      <c r="K299" s="97">
        <f t="shared" si="34"/>
        <v>-48014271.539999984</v>
      </c>
    </row>
    <row r="300" spans="1:11" s="401" customFormat="1" x14ac:dyDescent="0.2">
      <c r="A300" s="111">
        <f t="shared" si="31"/>
        <v>231</v>
      </c>
      <c r="B300" s="53" t="s">
        <v>12</v>
      </c>
      <c r="C300" s="371">
        <v>2014</v>
      </c>
      <c r="D300" s="114">
        <v>0</v>
      </c>
      <c r="E300" s="97">
        <v>0</v>
      </c>
      <c r="F300" s="97">
        <f t="shared" si="32"/>
        <v>0</v>
      </c>
      <c r="G300" s="114">
        <v>0</v>
      </c>
      <c r="H300" s="114">
        <v>0</v>
      </c>
      <c r="I300" s="97">
        <v>0</v>
      </c>
      <c r="J300" s="286">
        <f t="shared" si="33"/>
        <v>-363137.99999998836</v>
      </c>
      <c r="K300" s="97">
        <f t="shared" si="34"/>
        <v>-48014271.539999984</v>
      </c>
    </row>
    <row r="301" spans="1:11" s="401" customFormat="1" x14ac:dyDescent="0.2">
      <c r="A301" s="111">
        <f t="shared" si="31"/>
        <v>232</v>
      </c>
      <c r="B301" s="53" t="s">
        <v>13</v>
      </c>
      <c r="C301" s="371">
        <v>2014</v>
      </c>
      <c r="D301" s="114">
        <v>0</v>
      </c>
      <c r="E301" s="97">
        <v>0</v>
      </c>
      <c r="F301" s="97">
        <f t="shared" si="32"/>
        <v>0</v>
      </c>
      <c r="G301" s="114">
        <v>0</v>
      </c>
      <c r="H301" s="114">
        <v>0</v>
      </c>
      <c r="I301" s="97">
        <v>0</v>
      </c>
      <c r="J301" s="286">
        <f t="shared" si="33"/>
        <v>-363137.99999998836</v>
      </c>
      <c r="K301" s="97">
        <f t="shared" si="34"/>
        <v>-48014271.539999984</v>
      </c>
    </row>
    <row r="302" spans="1:11" s="401" customFormat="1" x14ac:dyDescent="0.2">
      <c r="A302" s="111">
        <f t="shared" si="31"/>
        <v>233</v>
      </c>
      <c r="B302" s="53" t="s">
        <v>15</v>
      </c>
      <c r="C302" s="371">
        <v>2014</v>
      </c>
      <c r="D302" s="114">
        <v>0</v>
      </c>
      <c r="E302" s="97">
        <v>0</v>
      </c>
      <c r="F302" s="97">
        <f t="shared" si="32"/>
        <v>0</v>
      </c>
      <c r="G302" s="114">
        <v>0</v>
      </c>
      <c r="H302" s="114">
        <v>0</v>
      </c>
      <c r="I302" s="97">
        <v>0</v>
      </c>
      <c r="J302" s="286">
        <f t="shared" si="33"/>
        <v>-363137.99999998836</v>
      </c>
      <c r="K302" s="97">
        <f t="shared" si="34"/>
        <v>-48014271.539999984</v>
      </c>
    </row>
    <row r="303" spans="1:11" s="401" customFormat="1" x14ac:dyDescent="0.2">
      <c r="A303" s="111">
        <f t="shared" si="31"/>
        <v>234</v>
      </c>
      <c r="B303" s="53" t="s">
        <v>14</v>
      </c>
      <c r="C303" s="371">
        <v>2014</v>
      </c>
      <c r="D303" s="114">
        <v>0</v>
      </c>
      <c r="E303" s="97">
        <v>0</v>
      </c>
      <c r="F303" s="97">
        <f t="shared" si="32"/>
        <v>0</v>
      </c>
      <c r="G303" s="114">
        <v>0</v>
      </c>
      <c r="H303" s="114">
        <v>0</v>
      </c>
      <c r="I303" s="97">
        <v>0</v>
      </c>
      <c r="J303" s="286">
        <f t="shared" si="33"/>
        <v>-363137.99999998836</v>
      </c>
      <c r="K303" s="97">
        <f t="shared" si="34"/>
        <v>-48014271.539999984</v>
      </c>
    </row>
    <row r="304" spans="1:11" s="401" customFormat="1" x14ac:dyDescent="0.2">
      <c r="A304" s="111">
        <f t="shared" si="31"/>
        <v>235</v>
      </c>
      <c r="B304" s="53" t="s">
        <v>6</v>
      </c>
      <c r="C304" s="371">
        <v>2014</v>
      </c>
      <c r="D304" s="114">
        <v>0</v>
      </c>
      <c r="E304" s="97">
        <v>0</v>
      </c>
      <c r="F304" s="97">
        <f t="shared" si="32"/>
        <v>0</v>
      </c>
      <c r="G304" s="114">
        <v>0</v>
      </c>
      <c r="H304" s="114">
        <v>0</v>
      </c>
      <c r="I304" s="97">
        <v>0</v>
      </c>
      <c r="J304" s="286">
        <f t="shared" si="33"/>
        <v>-363137.99999998836</v>
      </c>
      <c r="K304" s="107">
        <f t="shared" si="34"/>
        <v>-48014271.539999984</v>
      </c>
    </row>
    <row r="305" spans="1:12" s="401" customFormat="1" x14ac:dyDescent="0.2">
      <c r="A305" s="111">
        <f t="shared" si="31"/>
        <v>236</v>
      </c>
      <c r="B305" s="64"/>
      <c r="C305" s="398" t="s">
        <v>418</v>
      </c>
      <c r="D305" s="64"/>
      <c r="E305" s="64"/>
      <c r="F305" s="64"/>
      <c r="G305" s="64"/>
      <c r="H305" s="64"/>
      <c r="I305" s="64"/>
      <c r="J305" s="106"/>
      <c r="K305" s="399">
        <f>AVERAGE(K292:K304)</f>
        <v>-48014271.539999969</v>
      </c>
    </row>
    <row r="306" spans="1:12" s="401" customFormat="1" x14ac:dyDescent="0.2">
      <c r="A306" s="111"/>
      <c r="B306" s="64"/>
      <c r="C306" s="398"/>
      <c r="D306" s="64"/>
      <c r="E306" s="64"/>
      <c r="F306" s="64"/>
      <c r="G306" s="64"/>
      <c r="H306" s="64"/>
      <c r="I306" s="64"/>
      <c r="J306" s="64"/>
      <c r="K306" s="407"/>
    </row>
    <row r="307" spans="1:12" s="401" customFormat="1" x14ac:dyDescent="0.2">
      <c r="B307" s="402" t="s">
        <v>438</v>
      </c>
      <c r="D307" s="737" t="s">
        <v>439</v>
      </c>
      <c r="E307" s="737"/>
    </row>
    <row r="308" spans="1:12" s="401" customFormat="1" x14ac:dyDescent="0.2">
      <c r="A308" s="389"/>
      <c r="B308" s="389"/>
      <c r="C308" s="389"/>
      <c r="D308" s="389" t="s">
        <v>152</v>
      </c>
      <c r="E308" s="389" t="s">
        <v>153</v>
      </c>
      <c r="F308" s="389" t="s">
        <v>154</v>
      </c>
      <c r="G308" s="389" t="s">
        <v>155</v>
      </c>
      <c r="H308" s="389" t="s">
        <v>371</v>
      </c>
      <c r="I308" s="389" t="s">
        <v>372</v>
      </c>
      <c r="J308" s="389" t="s">
        <v>386</v>
      </c>
      <c r="K308" s="389" t="s">
        <v>387</v>
      </c>
    </row>
    <row r="309" spans="1:12" s="401" customFormat="1" ht="38.25" x14ac:dyDescent="0.2">
      <c r="D309" s="403"/>
      <c r="E309" s="404" t="s">
        <v>421</v>
      </c>
      <c r="F309" s="394" t="s">
        <v>422</v>
      </c>
      <c r="G309" s="405"/>
      <c r="H309" s="403"/>
      <c r="I309" s="404" t="s">
        <v>423</v>
      </c>
      <c r="J309" s="404" t="s">
        <v>424</v>
      </c>
      <c r="K309" s="404" t="s">
        <v>425</v>
      </c>
    </row>
    <row r="310" spans="1:12" s="401" customFormat="1" x14ac:dyDescent="0.2">
      <c r="D310" s="403"/>
      <c r="E310" s="403"/>
      <c r="F310" s="403"/>
      <c r="G310" s="93" t="str">
        <f>G51</f>
        <v>Unloaded</v>
      </c>
      <c r="H310" s="403"/>
      <c r="I310" s="403"/>
    </row>
    <row r="311" spans="1:12" s="401" customFormat="1" x14ac:dyDescent="0.2">
      <c r="A311" s="392"/>
      <c r="B311" s="392"/>
      <c r="C311" s="392"/>
      <c r="D311" s="392" t="str">
        <f>D$52</f>
        <v>Forecast</v>
      </c>
      <c r="E311" s="392" t="str">
        <f>E$52</f>
        <v>Corporate</v>
      </c>
      <c r="F311" s="392" t="str">
        <f>F$52</f>
        <v xml:space="preserve">Total </v>
      </c>
      <c r="G311" s="93" t="str">
        <f>G52</f>
        <v>Total</v>
      </c>
      <c r="H311" s="392" t="str">
        <f>H$52</f>
        <v>Prior Period</v>
      </c>
      <c r="I311" s="392" t="str">
        <f>I$52</f>
        <v>Over Heads</v>
      </c>
      <c r="J311" s="392" t="str">
        <f>J$52</f>
        <v>Forecast</v>
      </c>
      <c r="K311" s="93" t="str">
        <f>K$52</f>
        <v>Forecast Period</v>
      </c>
    </row>
    <row r="312" spans="1:12" s="401" customFormat="1" x14ac:dyDescent="0.2">
      <c r="A312" s="136" t="s">
        <v>296</v>
      </c>
      <c r="B312" s="57" t="s">
        <v>16</v>
      </c>
      <c r="C312" s="57" t="s">
        <v>17</v>
      </c>
      <c r="D312" s="389" t="str">
        <f>D$53</f>
        <v>Expenditures</v>
      </c>
      <c r="E312" s="389" t="str">
        <f>E$53</f>
        <v>Overheads</v>
      </c>
      <c r="F312" s="389" t="str">
        <f>F$53</f>
        <v>CWIP Exp</v>
      </c>
      <c r="G312" s="95" t="str">
        <f>G53</f>
        <v>Plant Adds</v>
      </c>
      <c r="H312" s="389" t="str">
        <f>H$53</f>
        <v>CWIP Closed</v>
      </c>
      <c r="I312" s="389" t="str">
        <f>I$53</f>
        <v>Closed to PIS</v>
      </c>
      <c r="J312" s="389" t="str">
        <f>J$53</f>
        <v>Period CWIP</v>
      </c>
      <c r="K312" s="389" t="str">
        <f>K$53</f>
        <v>Incremental CWIP</v>
      </c>
    </row>
    <row r="313" spans="1:12" s="401" customFormat="1" x14ac:dyDescent="0.2">
      <c r="A313" s="111">
        <f>A305+1</f>
        <v>237</v>
      </c>
      <c r="B313" s="58" t="s">
        <v>6</v>
      </c>
      <c r="C313" s="371">
        <v>2012</v>
      </c>
      <c r="D313" s="394" t="s">
        <v>400</v>
      </c>
      <c r="E313" s="394" t="s">
        <v>400</v>
      </c>
      <c r="F313" s="394" t="s">
        <v>400</v>
      </c>
      <c r="G313" s="394" t="s">
        <v>400</v>
      </c>
      <c r="H313" s="394" t="s">
        <v>400</v>
      </c>
      <c r="I313" s="394" t="s">
        <v>400</v>
      </c>
      <c r="J313" s="97">
        <f>F45</f>
        <v>10360459.710000001</v>
      </c>
      <c r="K313" s="394" t="s">
        <v>400</v>
      </c>
    </row>
    <row r="314" spans="1:12" s="401" customFormat="1" x14ac:dyDescent="0.2">
      <c r="A314" s="111">
        <f t="shared" ref="A314:A338" si="35">A313+1</f>
        <v>238</v>
      </c>
      <c r="B314" s="58" t="s">
        <v>7</v>
      </c>
      <c r="C314" s="371">
        <v>2013</v>
      </c>
      <c r="D314" s="114">
        <v>1276239.78</v>
      </c>
      <c r="E314" s="97">
        <v>95717.983500000002</v>
      </c>
      <c r="F314" s="97">
        <f t="shared" ref="F314:F337" si="36">E314+D314</f>
        <v>1371957.7635000001</v>
      </c>
      <c r="G314" s="114">
        <v>0</v>
      </c>
      <c r="H314" s="114">
        <v>0</v>
      </c>
      <c r="I314" s="97">
        <v>0</v>
      </c>
      <c r="J314" s="97">
        <f t="shared" ref="J314:J337" si="37">J313+F314-G314-I314</f>
        <v>11732417.4735</v>
      </c>
      <c r="K314" s="97">
        <f t="shared" ref="K314:K337" si="38">J314-$J$313</f>
        <v>1371957.7634999994</v>
      </c>
      <c r="L314" s="392"/>
    </row>
    <row r="315" spans="1:12" s="401" customFormat="1" x14ac:dyDescent="0.2">
      <c r="A315" s="111">
        <f t="shared" si="35"/>
        <v>239</v>
      </c>
      <c r="B315" s="53" t="s">
        <v>8</v>
      </c>
      <c r="C315" s="371">
        <v>2013</v>
      </c>
      <c r="D315" s="114">
        <v>745520.67</v>
      </c>
      <c r="E315" s="97">
        <v>55914.05025</v>
      </c>
      <c r="F315" s="97">
        <f t="shared" si="36"/>
        <v>801434.72025000001</v>
      </c>
      <c r="G315" s="114">
        <v>0</v>
      </c>
      <c r="H315" s="114">
        <v>0</v>
      </c>
      <c r="I315" s="97">
        <v>0</v>
      </c>
      <c r="J315" s="97">
        <f t="shared" si="37"/>
        <v>12533852.19375</v>
      </c>
      <c r="K315" s="97">
        <f t="shared" si="38"/>
        <v>2173392.4837499987</v>
      </c>
      <c r="L315" s="392"/>
    </row>
    <row r="316" spans="1:12" s="401" customFormat="1" x14ac:dyDescent="0.2">
      <c r="A316" s="111">
        <f t="shared" si="35"/>
        <v>240</v>
      </c>
      <c r="B316" s="53" t="s">
        <v>18</v>
      </c>
      <c r="C316" s="371">
        <v>2013</v>
      </c>
      <c r="D316" s="114">
        <v>785803.62999999966</v>
      </c>
      <c r="E316" s="97">
        <v>58935.272249999973</v>
      </c>
      <c r="F316" s="97">
        <f t="shared" si="36"/>
        <v>844738.90224999958</v>
      </c>
      <c r="G316" s="114">
        <v>0</v>
      </c>
      <c r="H316" s="114">
        <v>0</v>
      </c>
      <c r="I316" s="97">
        <v>0</v>
      </c>
      <c r="J316" s="97">
        <f t="shared" si="37"/>
        <v>13378591.095999999</v>
      </c>
      <c r="K316" s="97">
        <f t="shared" si="38"/>
        <v>3018131.3859999981</v>
      </c>
      <c r="L316" s="392"/>
    </row>
    <row r="317" spans="1:12" s="401" customFormat="1" x14ac:dyDescent="0.2">
      <c r="A317" s="111">
        <f t="shared" si="35"/>
        <v>241</v>
      </c>
      <c r="B317" s="58" t="s">
        <v>9</v>
      </c>
      <c r="C317" s="371">
        <v>2013</v>
      </c>
      <c r="D317" s="114">
        <v>1284184</v>
      </c>
      <c r="E317" s="97">
        <v>96313.8</v>
      </c>
      <c r="F317" s="97">
        <f t="shared" si="36"/>
        <v>1380497.8</v>
      </c>
      <c r="G317" s="114">
        <v>0</v>
      </c>
      <c r="H317" s="114">
        <v>0</v>
      </c>
      <c r="I317" s="97">
        <v>0</v>
      </c>
      <c r="J317" s="97">
        <f t="shared" si="37"/>
        <v>14759088.896</v>
      </c>
      <c r="K317" s="97">
        <f t="shared" si="38"/>
        <v>4398629.1859999988</v>
      </c>
      <c r="L317" s="389"/>
    </row>
    <row r="318" spans="1:12" s="401" customFormat="1" x14ac:dyDescent="0.2">
      <c r="A318" s="111">
        <f t="shared" si="35"/>
        <v>242</v>
      </c>
      <c r="B318" s="53" t="s">
        <v>10</v>
      </c>
      <c r="C318" s="371">
        <v>2013</v>
      </c>
      <c r="D318" s="114">
        <v>1174175</v>
      </c>
      <c r="E318" s="97">
        <v>88063.125</v>
      </c>
      <c r="F318" s="97">
        <f t="shared" si="36"/>
        <v>1262238.125</v>
      </c>
      <c r="G318" s="114">
        <v>0</v>
      </c>
      <c r="H318" s="114">
        <v>0</v>
      </c>
      <c r="I318" s="97">
        <v>0</v>
      </c>
      <c r="J318" s="97">
        <f t="shared" si="37"/>
        <v>16021327.021</v>
      </c>
      <c r="K318" s="97">
        <f t="shared" si="38"/>
        <v>5660867.3109999988</v>
      </c>
    </row>
    <row r="319" spans="1:12" s="401" customFormat="1" x14ac:dyDescent="0.2">
      <c r="A319" s="111">
        <f t="shared" si="35"/>
        <v>243</v>
      </c>
      <c r="B319" s="53" t="s">
        <v>25</v>
      </c>
      <c r="C319" s="371">
        <v>2013</v>
      </c>
      <c r="D319" s="114">
        <v>1182689.2857142857</v>
      </c>
      <c r="E319" s="97">
        <v>88701.69642857142</v>
      </c>
      <c r="F319" s="97">
        <f t="shared" si="36"/>
        <v>1271390.982142857</v>
      </c>
      <c r="G319" s="114">
        <v>0</v>
      </c>
      <c r="H319" s="114">
        <v>0</v>
      </c>
      <c r="I319" s="97">
        <v>0</v>
      </c>
      <c r="J319" s="97">
        <f t="shared" si="37"/>
        <v>17292718.003142856</v>
      </c>
      <c r="K319" s="97">
        <f t="shared" si="38"/>
        <v>6932258.2931428552</v>
      </c>
    </row>
    <row r="320" spans="1:12" s="401" customFormat="1" x14ac:dyDescent="0.2">
      <c r="A320" s="111">
        <f t="shared" si="35"/>
        <v>244</v>
      </c>
      <c r="B320" s="58" t="s">
        <v>11</v>
      </c>
      <c r="C320" s="371">
        <v>2013</v>
      </c>
      <c r="D320" s="114">
        <v>1079654</v>
      </c>
      <c r="E320" s="97">
        <v>80974.05</v>
      </c>
      <c r="F320" s="97">
        <f t="shared" si="36"/>
        <v>1160628.05</v>
      </c>
      <c r="G320" s="114">
        <v>0</v>
      </c>
      <c r="H320" s="114">
        <v>0</v>
      </c>
      <c r="I320" s="97">
        <v>0</v>
      </c>
      <c r="J320" s="97">
        <f t="shared" si="37"/>
        <v>18453346.053142857</v>
      </c>
      <c r="K320" s="97">
        <f t="shared" si="38"/>
        <v>8092886.3431428559</v>
      </c>
    </row>
    <row r="321" spans="1:11" s="401" customFormat="1" x14ac:dyDescent="0.2">
      <c r="A321" s="111">
        <f t="shared" si="35"/>
        <v>245</v>
      </c>
      <c r="B321" s="53" t="s">
        <v>12</v>
      </c>
      <c r="C321" s="371">
        <v>2013</v>
      </c>
      <c r="D321" s="114">
        <v>973841.18812737463</v>
      </c>
      <c r="E321" s="97">
        <v>73038.089109553097</v>
      </c>
      <c r="F321" s="97">
        <f t="shared" si="36"/>
        <v>1046879.2772369278</v>
      </c>
      <c r="G321" s="114">
        <v>0</v>
      </c>
      <c r="H321" s="114">
        <v>0</v>
      </c>
      <c r="I321" s="97">
        <v>0</v>
      </c>
      <c r="J321" s="97">
        <f t="shared" si="37"/>
        <v>19500225.330379784</v>
      </c>
      <c r="K321" s="97">
        <f t="shared" si="38"/>
        <v>9139765.6203797832</v>
      </c>
    </row>
    <row r="322" spans="1:11" s="401" customFormat="1" x14ac:dyDescent="0.2">
      <c r="A322" s="111">
        <f t="shared" si="35"/>
        <v>246</v>
      </c>
      <c r="B322" s="53" t="s">
        <v>13</v>
      </c>
      <c r="C322" s="371">
        <v>2013</v>
      </c>
      <c r="D322" s="114">
        <v>836888</v>
      </c>
      <c r="E322" s="97">
        <v>62766.6</v>
      </c>
      <c r="F322" s="97">
        <f t="shared" si="36"/>
        <v>899654.6</v>
      </c>
      <c r="G322" s="114">
        <v>0</v>
      </c>
      <c r="H322" s="114">
        <v>0</v>
      </c>
      <c r="I322" s="97">
        <v>0</v>
      </c>
      <c r="J322" s="97">
        <f t="shared" si="37"/>
        <v>20399879.930379786</v>
      </c>
      <c r="K322" s="97">
        <f t="shared" si="38"/>
        <v>10039420.220379785</v>
      </c>
    </row>
    <row r="323" spans="1:11" s="401" customFormat="1" x14ac:dyDescent="0.2">
      <c r="A323" s="111">
        <f t="shared" si="35"/>
        <v>247</v>
      </c>
      <c r="B323" s="58" t="s">
        <v>15</v>
      </c>
      <c r="C323" s="371">
        <v>2013</v>
      </c>
      <c r="D323" s="114">
        <v>824970.12830138986</v>
      </c>
      <c r="E323" s="97">
        <v>61872.759622604237</v>
      </c>
      <c r="F323" s="97">
        <f t="shared" si="36"/>
        <v>886842.8879239941</v>
      </c>
      <c r="G323" s="114">
        <v>0</v>
      </c>
      <c r="H323" s="114">
        <v>0</v>
      </c>
      <c r="I323" s="97">
        <v>0</v>
      </c>
      <c r="J323" s="97">
        <f t="shared" si="37"/>
        <v>21286722.818303779</v>
      </c>
      <c r="K323" s="97">
        <f t="shared" si="38"/>
        <v>10926263.108303778</v>
      </c>
    </row>
    <row r="324" spans="1:11" s="401" customFormat="1" x14ac:dyDescent="0.2">
      <c r="A324" s="111">
        <f t="shared" si="35"/>
        <v>248</v>
      </c>
      <c r="B324" s="58" t="s">
        <v>14</v>
      </c>
      <c r="C324" s="371">
        <v>2013</v>
      </c>
      <c r="D324" s="114">
        <v>879755</v>
      </c>
      <c r="E324" s="97">
        <v>65981.625</v>
      </c>
      <c r="F324" s="97">
        <f t="shared" si="36"/>
        <v>945736.625</v>
      </c>
      <c r="G324" s="114">
        <v>0</v>
      </c>
      <c r="H324" s="114">
        <v>0</v>
      </c>
      <c r="I324" s="97">
        <v>0</v>
      </c>
      <c r="J324" s="97">
        <f t="shared" si="37"/>
        <v>22232459.443303779</v>
      </c>
      <c r="K324" s="97">
        <f t="shared" si="38"/>
        <v>11871999.733303778</v>
      </c>
    </row>
    <row r="325" spans="1:11" s="401" customFormat="1" x14ac:dyDescent="0.2">
      <c r="A325" s="111">
        <f t="shared" si="35"/>
        <v>249</v>
      </c>
      <c r="B325" s="58" t="s">
        <v>6</v>
      </c>
      <c r="C325" s="371">
        <v>2013</v>
      </c>
      <c r="D325" s="114">
        <v>1028279.6369289192</v>
      </c>
      <c r="E325" s="97">
        <v>77120.972769668937</v>
      </c>
      <c r="F325" s="97">
        <f t="shared" si="36"/>
        <v>1105400.6096985883</v>
      </c>
      <c r="G325" s="114">
        <v>0</v>
      </c>
      <c r="H325" s="114">
        <v>0</v>
      </c>
      <c r="I325" s="97">
        <v>0</v>
      </c>
      <c r="J325" s="97">
        <f t="shared" si="37"/>
        <v>23337860.053002369</v>
      </c>
      <c r="K325" s="97">
        <f t="shared" si="38"/>
        <v>12977400.343002368</v>
      </c>
    </row>
    <row r="326" spans="1:11" s="401" customFormat="1" x14ac:dyDescent="0.2">
      <c r="A326" s="111">
        <f t="shared" si="35"/>
        <v>250</v>
      </c>
      <c r="B326" s="58" t="s">
        <v>7</v>
      </c>
      <c r="C326" s="371">
        <v>2014</v>
      </c>
      <c r="D326" s="114">
        <v>872952.67674797843</v>
      </c>
      <c r="E326" s="97">
        <v>65471.450756098377</v>
      </c>
      <c r="F326" s="97">
        <f t="shared" si="36"/>
        <v>938424.12750407681</v>
      </c>
      <c r="G326" s="114">
        <v>0</v>
      </c>
      <c r="H326" s="114">
        <v>0</v>
      </c>
      <c r="I326" s="97">
        <v>0</v>
      </c>
      <c r="J326" s="97">
        <f t="shared" si="37"/>
        <v>24276284.180506445</v>
      </c>
      <c r="K326" s="97">
        <f t="shared" si="38"/>
        <v>13915824.470506445</v>
      </c>
    </row>
    <row r="327" spans="1:11" s="401" customFormat="1" x14ac:dyDescent="0.2">
      <c r="A327" s="111">
        <f t="shared" si="35"/>
        <v>251</v>
      </c>
      <c r="B327" s="53" t="s">
        <v>8</v>
      </c>
      <c r="C327" s="371">
        <v>2014</v>
      </c>
      <c r="D327" s="114">
        <v>902084.57068167999</v>
      </c>
      <c r="E327" s="97">
        <v>67656.342801125997</v>
      </c>
      <c r="F327" s="97">
        <f t="shared" si="36"/>
        <v>969740.91348280595</v>
      </c>
      <c r="G327" s="114">
        <v>0</v>
      </c>
      <c r="H327" s="114">
        <v>0</v>
      </c>
      <c r="I327" s="97">
        <v>0</v>
      </c>
      <c r="J327" s="97">
        <f t="shared" si="37"/>
        <v>25246025.093989253</v>
      </c>
      <c r="K327" s="97">
        <f t="shared" si="38"/>
        <v>14885565.383989252</v>
      </c>
    </row>
    <row r="328" spans="1:11" s="401" customFormat="1" x14ac:dyDescent="0.2">
      <c r="A328" s="111">
        <f t="shared" si="35"/>
        <v>252</v>
      </c>
      <c r="B328" s="53" t="s">
        <v>18</v>
      </c>
      <c r="C328" s="371">
        <v>2014</v>
      </c>
      <c r="D328" s="114">
        <v>934430.20597112982</v>
      </c>
      <c r="E328" s="97">
        <v>70082.265447834739</v>
      </c>
      <c r="F328" s="97">
        <f t="shared" si="36"/>
        <v>1004512.4714189646</v>
      </c>
      <c r="G328" s="114">
        <v>0</v>
      </c>
      <c r="H328" s="114">
        <v>0</v>
      </c>
      <c r="I328" s="97">
        <v>0</v>
      </c>
      <c r="J328" s="97">
        <f t="shared" si="37"/>
        <v>26250537.565408219</v>
      </c>
      <c r="K328" s="97">
        <f t="shared" si="38"/>
        <v>15890077.855408218</v>
      </c>
    </row>
    <row r="329" spans="1:11" s="401" customFormat="1" x14ac:dyDescent="0.2">
      <c r="A329" s="111">
        <f t="shared" si="35"/>
        <v>253</v>
      </c>
      <c r="B329" s="58" t="s">
        <v>9</v>
      </c>
      <c r="C329" s="371">
        <v>2014</v>
      </c>
      <c r="D329" s="114">
        <v>950785.00322950177</v>
      </c>
      <c r="E329" s="97">
        <v>71308.875242212627</v>
      </c>
      <c r="F329" s="97">
        <f t="shared" si="36"/>
        <v>1022093.8784717144</v>
      </c>
      <c r="G329" s="114">
        <v>0</v>
      </c>
      <c r="H329" s="114">
        <v>0</v>
      </c>
      <c r="I329" s="97">
        <v>0</v>
      </c>
      <c r="J329" s="97">
        <f t="shared" si="37"/>
        <v>27272631.443879932</v>
      </c>
      <c r="K329" s="97">
        <f t="shared" si="38"/>
        <v>16912171.733879931</v>
      </c>
    </row>
    <row r="330" spans="1:11" s="401" customFormat="1" x14ac:dyDescent="0.2">
      <c r="A330" s="111">
        <f t="shared" si="35"/>
        <v>254</v>
      </c>
      <c r="B330" s="53" t="s">
        <v>10</v>
      </c>
      <c r="C330" s="371">
        <v>2014</v>
      </c>
      <c r="D330" s="114">
        <v>952732.80292912317</v>
      </c>
      <c r="E330" s="97">
        <v>71454.960219684232</v>
      </c>
      <c r="F330" s="97">
        <f t="shared" si="36"/>
        <v>1024187.7631488075</v>
      </c>
      <c r="G330" s="114">
        <v>0</v>
      </c>
      <c r="H330" s="114">
        <v>0</v>
      </c>
      <c r="I330" s="97">
        <v>0</v>
      </c>
      <c r="J330" s="97">
        <f t="shared" si="37"/>
        <v>28296819.207028739</v>
      </c>
      <c r="K330" s="97">
        <f t="shared" si="38"/>
        <v>17936359.497028738</v>
      </c>
    </row>
    <row r="331" spans="1:11" s="401" customFormat="1" x14ac:dyDescent="0.2">
      <c r="A331" s="111">
        <f t="shared" si="35"/>
        <v>255</v>
      </c>
      <c r="B331" s="53" t="s">
        <v>25</v>
      </c>
      <c r="C331" s="371">
        <v>2014</v>
      </c>
      <c r="D331" s="114">
        <v>967332.34303844138</v>
      </c>
      <c r="E331" s="97">
        <v>72549.925727883106</v>
      </c>
      <c r="F331" s="97">
        <f t="shared" si="36"/>
        <v>1039882.2687663245</v>
      </c>
      <c r="G331" s="114">
        <v>0</v>
      </c>
      <c r="H331" s="114">
        <v>0</v>
      </c>
      <c r="I331" s="97">
        <v>0</v>
      </c>
      <c r="J331" s="97">
        <f t="shared" si="37"/>
        <v>29336701.475795064</v>
      </c>
      <c r="K331" s="97">
        <f t="shared" si="38"/>
        <v>18976241.765795063</v>
      </c>
    </row>
    <row r="332" spans="1:11" s="401" customFormat="1" x14ac:dyDescent="0.2">
      <c r="A332" s="111">
        <f t="shared" si="35"/>
        <v>256</v>
      </c>
      <c r="B332" s="58" t="s">
        <v>11</v>
      </c>
      <c r="C332" s="371">
        <v>2014</v>
      </c>
      <c r="D332" s="114">
        <v>981377.92842821812</v>
      </c>
      <c r="E332" s="97">
        <v>73603.34463211635</v>
      </c>
      <c r="F332" s="97">
        <f t="shared" si="36"/>
        <v>1054981.2730603344</v>
      </c>
      <c r="G332" s="114">
        <v>0</v>
      </c>
      <c r="H332" s="114">
        <v>0</v>
      </c>
      <c r="I332" s="97">
        <v>0</v>
      </c>
      <c r="J332" s="97">
        <f t="shared" si="37"/>
        <v>30391682.748855397</v>
      </c>
      <c r="K332" s="97">
        <f t="shared" si="38"/>
        <v>20031223.038855396</v>
      </c>
    </row>
    <row r="333" spans="1:11" s="401" customFormat="1" x14ac:dyDescent="0.2">
      <c r="A333" s="111">
        <f t="shared" si="35"/>
        <v>257</v>
      </c>
      <c r="B333" s="53" t="s">
        <v>12</v>
      </c>
      <c r="C333" s="371">
        <v>2014</v>
      </c>
      <c r="D333" s="114">
        <v>1348498.8137382169</v>
      </c>
      <c r="E333" s="97">
        <v>101137.41103036626</v>
      </c>
      <c r="F333" s="97">
        <f t="shared" si="36"/>
        <v>1449636.2247685832</v>
      </c>
      <c r="G333" s="114">
        <v>0</v>
      </c>
      <c r="H333" s="114">
        <v>0</v>
      </c>
      <c r="I333" s="97">
        <v>0</v>
      </c>
      <c r="J333" s="97">
        <f t="shared" si="37"/>
        <v>31841318.97362398</v>
      </c>
      <c r="K333" s="97">
        <f t="shared" si="38"/>
        <v>21480859.263623979</v>
      </c>
    </row>
    <row r="334" spans="1:11" s="401" customFormat="1" x14ac:dyDescent="0.2">
      <c r="A334" s="111">
        <f t="shared" si="35"/>
        <v>258</v>
      </c>
      <c r="B334" s="53" t="s">
        <v>13</v>
      </c>
      <c r="C334" s="371">
        <v>2014</v>
      </c>
      <c r="D334" s="114">
        <v>1196586.7642888366</v>
      </c>
      <c r="E334" s="97">
        <v>89744.00732166275</v>
      </c>
      <c r="F334" s="97">
        <f t="shared" si="36"/>
        <v>1286330.7716104994</v>
      </c>
      <c r="G334" s="114">
        <v>0</v>
      </c>
      <c r="H334" s="114">
        <v>0</v>
      </c>
      <c r="I334" s="97">
        <v>0</v>
      </c>
      <c r="J334" s="97">
        <f t="shared" si="37"/>
        <v>33127649.745234478</v>
      </c>
      <c r="K334" s="97">
        <f t="shared" si="38"/>
        <v>22767190.035234477</v>
      </c>
    </row>
    <row r="335" spans="1:11" s="401" customFormat="1" x14ac:dyDescent="0.2">
      <c r="A335" s="111">
        <f t="shared" si="35"/>
        <v>259</v>
      </c>
      <c r="B335" s="53" t="s">
        <v>15</v>
      </c>
      <c r="C335" s="371">
        <v>2014</v>
      </c>
      <c r="D335" s="114">
        <v>1874677.2074983111</v>
      </c>
      <c r="E335" s="97">
        <v>140600.79056237332</v>
      </c>
      <c r="F335" s="97">
        <f t="shared" si="36"/>
        <v>2015277.9980606844</v>
      </c>
      <c r="G335" s="114">
        <v>0</v>
      </c>
      <c r="H335" s="114">
        <v>0</v>
      </c>
      <c r="I335" s="97">
        <v>0</v>
      </c>
      <c r="J335" s="97">
        <f t="shared" si="37"/>
        <v>35142927.743295163</v>
      </c>
      <c r="K335" s="97">
        <f t="shared" si="38"/>
        <v>24782468.033295162</v>
      </c>
    </row>
    <row r="336" spans="1:11" s="401" customFormat="1" x14ac:dyDescent="0.2">
      <c r="A336" s="111">
        <f t="shared" si="35"/>
        <v>260</v>
      </c>
      <c r="B336" s="53" t="s">
        <v>14</v>
      </c>
      <c r="C336" s="371">
        <v>2014</v>
      </c>
      <c r="D336" s="114">
        <v>1678936.1877911217</v>
      </c>
      <c r="E336" s="97">
        <v>125920.21408433412</v>
      </c>
      <c r="F336" s="97">
        <f t="shared" si="36"/>
        <v>1804856.4018754559</v>
      </c>
      <c r="G336" s="114">
        <v>0</v>
      </c>
      <c r="H336" s="114">
        <v>0</v>
      </c>
      <c r="I336" s="97">
        <v>0</v>
      </c>
      <c r="J336" s="97">
        <f t="shared" si="37"/>
        <v>36947784.145170622</v>
      </c>
      <c r="K336" s="97">
        <f t="shared" si="38"/>
        <v>26587324.435170621</v>
      </c>
    </row>
    <row r="337" spans="1:11" s="401" customFormat="1" x14ac:dyDescent="0.2">
      <c r="A337" s="111">
        <f t="shared" si="35"/>
        <v>261</v>
      </c>
      <c r="B337" s="53" t="s">
        <v>6</v>
      </c>
      <c r="C337" s="371">
        <v>2014</v>
      </c>
      <c r="D337" s="114">
        <v>1865326.3147956529</v>
      </c>
      <c r="E337" s="97">
        <v>139899.47360967397</v>
      </c>
      <c r="F337" s="97">
        <f t="shared" si="36"/>
        <v>2005225.7884053269</v>
      </c>
      <c r="G337" s="114">
        <v>0</v>
      </c>
      <c r="H337" s="114">
        <v>0</v>
      </c>
      <c r="I337" s="97">
        <v>0</v>
      </c>
      <c r="J337" s="97">
        <f t="shared" si="37"/>
        <v>38953009.933575951</v>
      </c>
      <c r="K337" s="107">
        <f t="shared" si="38"/>
        <v>28592550.22357595</v>
      </c>
    </row>
    <row r="338" spans="1:11" s="401" customFormat="1" x14ac:dyDescent="0.2">
      <c r="A338" s="111">
        <f t="shared" si="35"/>
        <v>262</v>
      </c>
      <c r="B338" s="64"/>
      <c r="C338" s="398" t="s">
        <v>418</v>
      </c>
      <c r="D338" s="64"/>
      <c r="E338" s="64"/>
      <c r="F338" s="64"/>
      <c r="G338" s="64"/>
      <c r="H338" s="64"/>
      <c r="I338" s="64"/>
      <c r="J338" s="64"/>
      <c r="K338" s="407">
        <f>AVERAGE(K325:K337)</f>
        <v>19671942.775335815</v>
      </c>
    </row>
    <row r="339" spans="1:11" s="401" customFormat="1" x14ac:dyDescent="0.2">
      <c r="A339" s="111"/>
      <c r="B339" s="64"/>
      <c r="C339" s="398"/>
      <c r="D339" s="64"/>
      <c r="E339" s="64"/>
      <c r="F339" s="64"/>
      <c r="G339" s="64"/>
      <c r="H339" s="64"/>
      <c r="I339" s="64"/>
      <c r="J339" s="64"/>
      <c r="K339" s="407"/>
    </row>
    <row r="340" spans="1:11" s="401" customFormat="1" x14ac:dyDescent="0.2">
      <c r="B340" s="402" t="s">
        <v>440</v>
      </c>
      <c r="D340" s="737" t="s">
        <v>441</v>
      </c>
      <c r="E340" s="737"/>
    </row>
    <row r="341" spans="1:11" s="401" customFormat="1" x14ac:dyDescent="0.2">
      <c r="D341" s="403"/>
      <c r="E341" s="403"/>
      <c r="F341" s="403"/>
      <c r="G341" s="93" t="str">
        <f>G51</f>
        <v>Unloaded</v>
      </c>
      <c r="H341" s="403"/>
      <c r="I341" s="403"/>
    </row>
    <row r="342" spans="1:11" s="401" customFormat="1" x14ac:dyDescent="0.2">
      <c r="A342" s="392"/>
      <c r="B342" s="392"/>
      <c r="C342" s="392"/>
      <c r="D342" s="392" t="str">
        <f>D$52</f>
        <v>Forecast</v>
      </c>
      <c r="E342" s="392" t="str">
        <f>E$52</f>
        <v>Corporate</v>
      </c>
      <c r="F342" s="392" t="str">
        <f>F$52</f>
        <v xml:space="preserve">Total </v>
      </c>
      <c r="G342" s="93" t="str">
        <f>G52</f>
        <v>Total</v>
      </c>
      <c r="H342" s="392" t="str">
        <f>H$52</f>
        <v>Prior Period</v>
      </c>
      <c r="I342" s="392" t="str">
        <f>I$52</f>
        <v>Over Heads</v>
      </c>
      <c r="J342" s="392" t="str">
        <f>J$52</f>
        <v>Forecast</v>
      </c>
      <c r="K342" s="93" t="str">
        <f>K$52</f>
        <v>Forecast Period</v>
      </c>
    </row>
    <row r="343" spans="1:11" s="401" customFormat="1" x14ac:dyDescent="0.2">
      <c r="A343" s="136" t="s">
        <v>296</v>
      </c>
      <c r="B343" s="57" t="s">
        <v>16</v>
      </c>
      <c r="C343" s="57" t="s">
        <v>17</v>
      </c>
      <c r="D343" s="389" t="str">
        <f>D$53</f>
        <v>Expenditures</v>
      </c>
      <c r="E343" s="389" t="str">
        <f>E$53</f>
        <v>Overheads</v>
      </c>
      <c r="F343" s="389" t="str">
        <f>F$53</f>
        <v>CWIP Exp</v>
      </c>
      <c r="G343" s="95" t="str">
        <f>G53</f>
        <v>Plant Adds</v>
      </c>
      <c r="H343" s="389" t="str">
        <f>H$53</f>
        <v>CWIP Closed</v>
      </c>
      <c r="I343" s="389" t="str">
        <f>I$53</f>
        <v>Closed to PIS</v>
      </c>
      <c r="J343" s="389" t="str">
        <f>J$53</f>
        <v>Period CWIP</v>
      </c>
      <c r="K343" s="389" t="str">
        <f>K$53</f>
        <v>Incremental CWIP</v>
      </c>
    </row>
    <row r="344" spans="1:11" s="401" customFormat="1" x14ac:dyDescent="0.2">
      <c r="A344" s="111">
        <f>A338+1</f>
        <v>263</v>
      </c>
      <c r="B344" s="58" t="s">
        <v>6</v>
      </c>
      <c r="C344" s="371">
        <v>2012</v>
      </c>
      <c r="D344" s="394" t="s">
        <v>400</v>
      </c>
      <c r="E344" s="394" t="s">
        <v>400</v>
      </c>
      <c r="F344" s="394" t="s">
        <v>400</v>
      </c>
      <c r="G344" s="394" t="s">
        <v>400</v>
      </c>
      <c r="H344" s="394" t="s">
        <v>400</v>
      </c>
      <c r="I344" s="394" t="s">
        <v>400</v>
      </c>
      <c r="J344" s="97">
        <f>G45</f>
        <v>11494421.74613302</v>
      </c>
      <c r="K344" s="394" t="s">
        <v>400</v>
      </c>
    </row>
    <row r="345" spans="1:11" s="401" customFormat="1" x14ac:dyDescent="0.2">
      <c r="A345" s="111">
        <f t="shared" ref="A345:A369" si="39">A344+1</f>
        <v>264</v>
      </c>
      <c r="B345" s="58" t="s">
        <v>7</v>
      </c>
      <c r="C345" s="371">
        <v>2013</v>
      </c>
      <c r="D345" s="114">
        <v>523825.00000000006</v>
      </c>
      <c r="E345" s="97">
        <v>39286.875</v>
      </c>
      <c r="F345" s="97">
        <f t="shared" ref="F345:F368" si="40">E345+D345</f>
        <v>563111.875</v>
      </c>
      <c r="G345" s="114">
        <v>0</v>
      </c>
      <c r="H345" s="114">
        <v>0</v>
      </c>
      <c r="I345" s="97">
        <v>0</v>
      </c>
      <c r="J345" s="97">
        <f t="shared" ref="J345:J368" si="41">J344+F345-G345-I345</f>
        <v>12057533.62113302</v>
      </c>
      <c r="K345" s="97">
        <f t="shared" ref="K345:K368" si="42">J345-$J$344</f>
        <v>563111.875</v>
      </c>
    </row>
    <row r="346" spans="1:11" s="401" customFormat="1" x14ac:dyDescent="0.2">
      <c r="A346" s="111">
        <f t="shared" si="39"/>
        <v>265</v>
      </c>
      <c r="B346" s="53" t="s">
        <v>8</v>
      </c>
      <c r="C346" s="371">
        <v>2013</v>
      </c>
      <c r="D346" s="114">
        <v>643800</v>
      </c>
      <c r="E346" s="97">
        <v>48285</v>
      </c>
      <c r="F346" s="97">
        <f t="shared" si="40"/>
        <v>692085</v>
      </c>
      <c r="G346" s="114">
        <v>0</v>
      </c>
      <c r="H346" s="114">
        <v>0</v>
      </c>
      <c r="I346" s="97">
        <v>0</v>
      </c>
      <c r="J346" s="97">
        <f t="shared" si="41"/>
        <v>12749618.62113302</v>
      </c>
      <c r="K346" s="97">
        <f t="shared" si="42"/>
        <v>1255196.875</v>
      </c>
    </row>
    <row r="347" spans="1:11" s="401" customFormat="1" x14ac:dyDescent="0.2">
      <c r="A347" s="111">
        <f t="shared" si="39"/>
        <v>266</v>
      </c>
      <c r="B347" s="53" t="s">
        <v>18</v>
      </c>
      <c r="C347" s="371">
        <v>2013</v>
      </c>
      <c r="D347" s="114">
        <v>636954</v>
      </c>
      <c r="E347" s="97">
        <v>47771.549999999996</v>
      </c>
      <c r="F347" s="97">
        <f t="shared" si="40"/>
        <v>684725.55</v>
      </c>
      <c r="G347" s="114">
        <v>0</v>
      </c>
      <c r="H347" s="114">
        <v>0</v>
      </c>
      <c r="I347" s="97">
        <v>0</v>
      </c>
      <c r="J347" s="97">
        <f t="shared" si="41"/>
        <v>13434344.171133021</v>
      </c>
      <c r="K347" s="97">
        <f t="shared" si="42"/>
        <v>1939922.4250000007</v>
      </c>
    </row>
    <row r="348" spans="1:11" s="401" customFormat="1" x14ac:dyDescent="0.2">
      <c r="A348" s="111">
        <f t="shared" si="39"/>
        <v>267</v>
      </c>
      <c r="B348" s="58" t="s">
        <v>9</v>
      </c>
      <c r="C348" s="371">
        <v>2013</v>
      </c>
      <c r="D348" s="114">
        <v>707962</v>
      </c>
      <c r="E348" s="97">
        <v>53097.15</v>
      </c>
      <c r="F348" s="97">
        <f t="shared" si="40"/>
        <v>761059.15</v>
      </c>
      <c r="G348" s="114">
        <v>0</v>
      </c>
      <c r="H348" s="114">
        <v>0</v>
      </c>
      <c r="I348" s="97">
        <v>0</v>
      </c>
      <c r="J348" s="97">
        <f t="shared" si="41"/>
        <v>14195403.321133021</v>
      </c>
      <c r="K348" s="97">
        <f t="shared" si="42"/>
        <v>2700981.5750000011</v>
      </c>
    </row>
    <row r="349" spans="1:11" s="401" customFormat="1" x14ac:dyDescent="0.2">
      <c r="A349" s="111">
        <f t="shared" si="39"/>
        <v>268</v>
      </c>
      <c r="B349" s="53" t="s">
        <v>10</v>
      </c>
      <c r="C349" s="371">
        <v>2013</v>
      </c>
      <c r="D349" s="114">
        <v>1088012</v>
      </c>
      <c r="E349" s="97">
        <v>81600.899999999994</v>
      </c>
      <c r="F349" s="97">
        <f t="shared" si="40"/>
        <v>1169612.8999999999</v>
      </c>
      <c r="G349" s="114">
        <v>0</v>
      </c>
      <c r="H349" s="114">
        <v>0</v>
      </c>
      <c r="I349" s="97">
        <v>0</v>
      </c>
      <c r="J349" s="97">
        <f t="shared" si="41"/>
        <v>15365016.221133022</v>
      </c>
      <c r="K349" s="97">
        <f t="shared" si="42"/>
        <v>3870594.4750000015</v>
      </c>
    </row>
    <row r="350" spans="1:11" s="401" customFormat="1" x14ac:dyDescent="0.2">
      <c r="A350" s="111">
        <f t="shared" si="39"/>
        <v>269</v>
      </c>
      <c r="B350" s="53" t="s">
        <v>25</v>
      </c>
      <c r="C350" s="371">
        <v>2013</v>
      </c>
      <c r="D350" s="114">
        <v>830062</v>
      </c>
      <c r="E350" s="97">
        <v>62254.649999999994</v>
      </c>
      <c r="F350" s="97">
        <f t="shared" si="40"/>
        <v>892316.65</v>
      </c>
      <c r="G350" s="114">
        <v>0</v>
      </c>
      <c r="H350" s="114">
        <v>0</v>
      </c>
      <c r="I350" s="97">
        <v>0</v>
      </c>
      <c r="J350" s="97">
        <f t="shared" si="41"/>
        <v>16257332.871133022</v>
      </c>
      <c r="K350" s="97">
        <f t="shared" si="42"/>
        <v>4762911.1250000019</v>
      </c>
    </row>
    <row r="351" spans="1:11" s="401" customFormat="1" x14ac:dyDescent="0.2">
      <c r="A351" s="111">
        <f t="shared" si="39"/>
        <v>270</v>
      </c>
      <c r="B351" s="58" t="s">
        <v>11</v>
      </c>
      <c r="C351" s="371">
        <v>2013</v>
      </c>
      <c r="D351" s="114">
        <v>812279</v>
      </c>
      <c r="E351" s="97">
        <v>60920.924999999996</v>
      </c>
      <c r="F351" s="97">
        <f t="shared" si="40"/>
        <v>873199.92500000005</v>
      </c>
      <c r="G351" s="114">
        <v>0</v>
      </c>
      <c r="H351" s="114">
        <v>0</v>
      </c>
      <c r="I351" s="97">
        <v>0</v>
      </c>
      <c r="J351" s="97">
        <f t="shared" si="41"/>
        <v>17130532.796133023</v>
      </c>
      <c r="K351" s="97">
        <f t="shared" si="42"/>
        <v>5636111.0500000026</v>
      </c>
    </row>
    <row r="352" spans="1:11" s="401" customFormat="1" x14ac:dyDescent="0.2">
      <c r="A352" s="111">
        <f t="shared" si="39"/>
        <v>271</v>
      </c>
      <c r="B352" s="53" t="s">
        <v>12</v>
      </c>
      <c r="C352" s="371">
        <v>2013</v>
      </c>
      <c r="D352" s="114">
        <v>1286379</v>
      </c>
      <c r="E352" s="97">
        <v>96478.425000000003</v>
      </c>
      <c r="F352" s="97">
        <f t="shared" si="40"/>
        <v>1382857.425</v>
      </c>
      <c r="G352" s="114">
        <v>0</v>
      </c>
      <c r="H352" s="114">
        <v>0</v>
      </c>
      <c r="I352" s="97">
        <v>0</v>
      </c>
      <c r="J352" s="97">
        <f t="shared" si="41"/>
        <v>18513390.221133024</v>
      </c>
      <c r="K352" s="97">
        <f t="shared" si="42"/>
        <v>7018968.4750000034</v>
      </c>
    </row>
    <row r="353" spans="1:11" s="401" customFormat="1" x14ac:dyDescent="0.2">
      <c r="A353" s="111">
        <f t="shared" si="39"/>
        <v>272</v>
      </c>
      <c r="B353" s="53" t="s">
        <v>13</v>
      </c>
      <c r="C353" s="371">
        <v>2013</v>
      </c>
      <c r="D353" s="114">
        <v>655974</v>
      </c>
      <c r="E353" s="97">
        <v>49198.049999999996</v>
      </c>
      <c r="F353" s="97">
        <f t="shared" si="40"/>
        <v>705172.05</v>
      </c>
      <c r="G353" s="114">
        <v>0</v>
      </c>
      <c r="H353" s="114">
        <v>0</v>
      </c>
      <c r="I353" s="97">
        <v>0</v>
      </c>
      <c r="J353" s="97">
        <f t="shared" si="41"/>
        <v>19218562.271133024</v>
      </c>
      <c r="K353" s="97">
        <f t="shared" si="42"/>
        <v>7724140.5250000041</v>
      </c>
    </row>
    <row r="354" spans="1:11" s="401" customFormat="1" x14ac:dyDescent="0.2">
      <c r="A354" s="111">
        <f t="shared" si="39"/>
        <v>273</v>
      </c>
      <c r="B354" s="58" t="s">
        <v>15</v>
      </c>
      <c r="C354" s="371">
        <v>2013</v>
      </c>
      <c r="D354" s="114">
        <v>765971</v>
      </c>
      <c r="E354" s="97">
        <v>57447.824999999997</v>
      </c>
      <c r="F354" s="97">
        <f t="shared" si="40"/>
        <v>823418.82499999995</v>
      </c>
      <c r="G354" s="114">
        <v>0</v>
      </c>
      <c r="H354" s="114">
        <v>0</v>
      </c>
      <c r="I354" s="97">
        <v>0</v>
      </c>
      <c r="J354" s="97">
        <f t="shared" si="41"/>
        <v>20041981.096133024</v>
      </c>
      <c r="K354" s="97">
        <f t="shared" si="42"/>
        <v>8547559.3500000034</v>
      </c>
    </row>
    <row r="355" spans="1:11" s="401" customFormat="1" x14ac:dyDescent="0.2">
      <c r="A355" s="111">
        <f t="shared" si="39"/>
        <v>274</v>
      </c>
      <c r="B355" s="58" t="s">
        <v>14</v>
      </c>
      <c r="C355" s="371">
        <v>2013</v>
      </c>
      <c r="D355" s="114">
        <v>724174</v>
      </c>
      <c r="E355" s="97">
        <v>54313.049999999996</v>
      </c>
      <c r="F355" s="97">
        <f t="shared" si="40"/>
        <v>778487.05</v>
      </c>
      <c r="G355" s="114">
        <v>0</v>
      </c>
      <c r="H355" s="114">
        <v>0</v>
      </c>
      <c r="I355" s="97">
        <v>0</v>
      </c>
      <c r="J355" s="97">
        <f t="shared" si="41"/>
        <v>20820468.146133024</v>
      </c>
      <c r="K355" s="97">
        <f t="shared" si="42"/>
        <v>9326046.4000000041</v>
      </c>
    </row>
    <row r="356" spans="1:11" s="401" customFormat="1" x14ac:dyDescent="0.2">
      <c r="A356" s="111">
        <f t="shared" si="39"/>
        <v>275</v>
      </c>
      <c r="B356" s="58" t="s">
        <v>6</v>
      </c>
      <c r="C356" s="371">
        <v>2013</v>
      </c>
      <c r="D356" s="114">
        <v>839886</v>
      </c>
      <c r="E356" s="97">
        <v>62991.45</v>
      </c>
      <c r="F356" s="97">
        <f t="shared" si="40"/>
        <v>902877.45</v>
      </c>
      <c r="G356" s="114">
        <v>0</v>
      </c>
      <c r="H356" s="114">
        <v>0</v>
      </c>
      <c r="I356" s="97">
        <v>0</v>
      </c>
      <c r="J356" s="97">
        <f t="shared" si="41"/>
        <v>21723345.596133024</v>
      </c>
      <c r="K356" s="97">
        <f t="shared" si="42"/>
        <v>10228923.850000003</v>
      </c>
    </row>
    <row r="357" spans="1:11" s="401" customFormat="1" x14ac:dyDescent="0.2">
      <c r="A357" s="111">
        <f t="shared" si="39"/>
        <v>276</v>
      </c>
      <c r="B357" s="58" t="s">
        <v>7</v>
      </c>
      <c r="C357" s="371">
        <v>2014</v>
      </c>
      <c r="D357" s="114">
        <v>504159</v>
      </c>
      <c r="E357" s="97">
        <v>37811.924999999996</v>
      </c>
      <c r="F357" s="97">
        <f t="shared" si="40"/>
        <v>541970.92500000005</v>
      </c>
      <c r="G357" s="114">
        <v>0</v>
      </c>
      <c r="H357" s="114">
        <v>0</v>
      </c>
      <c r="I357" s="97">
        <v>0</v>
      </c>
      <c r="J357" s="97">
        <f t="shared" si="41"/>
        <v>22265316.521133024</v>
      </c>
      <c r="K357" s="97">
        <f t="shared" si="42"/>
        <v>10770894.775000004</v>
      </c>
    </row>
    <row r="358" spans="1:11" s="401" customFormat="1" x14ac:dyDescent="0.2">
      <c r="A358" s="111">
        <f t="shared" si="39"/>
        <v>277</v>
      </c>
      <c r="B358" s="53" t="s">
        <v>8</v>
      </c>
      <c r="C358" s="371">
        <v>2014</v>
      </c>
      <c r="D358" s="114">
        <v>657059</v>
      </c>
      <c r="E358" s="97">
        <v>49279.424999999996</v>
      </c>
      <c r="F358" s="97">
        <f t="shared" si="40"/>
        <v>706338.42500000005</v>
      </c>
      <c r="G358" s="114">
        <v>0</v>
      </c>
      <c r="H358" s="114">
        <v>0</v>
      </c>
      <c r="I358" s="97">
        <v>0</v>
      </c>
      <c r="J358" s="97">
        <f t="shared" si="41"/>
        <v>22971654.946133025</v>
      </c>
      <c r="K358" s="97">
        <f t="shared" si="42"/>
        <v>11477233.200000005</v>
      </c>
    </row>
    <row r="359" spans="1:11" s="401" customFormat="1" x14ac:dyDescent="0.2">
      <c r="A359" s="111">
        <f t="shared" si="39"/>
        <v>278</v>
      </c>
      <c r="B359" s="53" t="s">
        <v>18</v>
      </c>
      <c r="C359" s="371">
        <v>2014</v>
      </c>
      <c r="D359" s="114">
        <v>479959</v>
      </c>
      <c r="E359" s="97">
        <v>35996.924999999996</v>
      </c>
      <c r="F359" s="97">
        <f t="shared" si="40"/>
        <v>515955.92499999999</v>
      </c>
      <c r="G359" s="114">
        <v>0</v>
      </c>
      <c r="H359" s="114">
        <v>0</v>
      </c>
      <c r="I359" s="97">
        <v>0</v>
      </c>
      <c r="J359" s="97">
        <f t="shared" si="41"/>
        <v>23487610.871133026</v>
      </c>
      <c r="K359" s="97">
        <f t="shared" si="42"/>
        <v>11993189.125000006</v>
      </c>
    </row>
    <row r="360" spans="1:11" s="401" customFormat="1" x14ac:dyDescent="0.2">
      <c r="A360" s="111">
        <f t="shared" si="39"/>
        <v>279</v>
      </c>
      <c r="B360" s="58" t="s">
        <v>9</v>
      </c>
      <c r="C360" s="371">
        <v>2014</v>
      </c>
      <c r="D360" s="114">
        <v>485459</v>
      </c>
      <c r="E360" s="97">
        <v>36409.424999999996</v>
      </c>
      <c r="F360" s="97">
        <f t="shared" si="40"/>
        <v>521868.42499999999</v>
      </c>
      <c r="G360" s="114">
        <v>0</v>
      </c>
      <c r="H360" s="114">
        <v>0</v>
      </c>
      <c r="I360" s="97">
        <v>0</v>
      </c>
      <c r="J360" s="97">
        <f t="shared" si="41"/>
        <v>24009479.296133026</v>
      </c>
      <c r="K360" s="97">
        <f t="shared" si="42"/>
        <v>12515057.550000006</v>
      </c>
    </row>
    <row r="361" spans="1:11" s="401" customFormat="1" x14ac:dyDescent="0.2">
      <c r="A361" s="111">
        <f t="shared" si="39"/>
        <v>280</v>
      </c>
      <c r="B361" s="53" t="s">
        <v>10</v>
      </c>
      <c r="C361" s="371">
        <v>2014</v>
      </c>
      <c r="D361" s="114">
        <v>499000</v>
      </c>
      <c r="E361" s="97">
        <v>37425</v>
      </c>
      <c r="F361" s="97">
        <f t="shared" si="40"/>
        <v>536425</v>
      </c>
      <c r="G361" s="114">
        <v>0</v>
      </c>
      <c r="H361" s="114">
        <v>0</v>
      </c>
      <c r="I361" s="97">
        <v>0</v>
      </c>
      <c r="J361" s="97">
        <f t="shared" si="41"/>
        <v>24545904.296133026</v>
      </c>
      <c r="K361" s="97">
        <f t="shared" si="42"/>
        <v>13051482.550000006</v>
      </c>
    </row>
    <row r="362" spans="1:11" s="401" customFormat="1" x14ac:dyDescent="0.2">
      <c r="A362" s="111">
        <f t="shared" si="39"/>
        <v>281</v>
      </c>
      <c r="B362" s="53" t="s">
        <v>25</v>
      </c>
      <c r="C362" s="371">
        <v>2014</v>
      </c>
      <c r="D362" s="114">
        <v>499000</v>
      </c>
      <c r="E362" s="97">
        <v>37425</v>
      </c>
      <c r="F362" s="97">
        <f t="shared" si="40"/>
        <v>536425</v>
      </c>
      <c r="G362" s="114">
        <v>0</v>
      </c>
      <c r="H362" s="114">
        <v>0</v>
      </c>
      <c r="I362" s="97">
        <v>0</v>
      </c>
      <c r="J362" s="97">
        <f t="shared" si="41"/>
        <v>25082329.296133026</v>
      </c>
      <c r="K362" s="97">
        <f t="shared" si="42"/>
        <v>13587907.550000006</v>
      </c>
    </row>
    <row r="363" spans="1:11" s="401" customFormat="1" x14ac:dyDescent="0.2">
      <c r="A363" s="111">
        <f t="shared" si="39"/>
        <v>282</v>
      </c>
      <c r="B363" s="58" t="s">
        <v>11</v>
      </c>
      <c r="C363" s="371">
        <v>2014</v>
      </c>
      <c r="D363" s="114">
        <v>480000</v>
      </c>
      <c r="E363" s="97">
        <v>36000</v>
      </c>
      <c r="F363" s="97">
        <f t="shared" si="40"/>
        <v>516000</v>
      </c>
      <c r="G363" s="114">
        <v>0</v>
      </c>
      <c r="H363" s="114">
        <v>0</v>
      </c>
      <c r="I363" s="97">
        <v>0</v>
      </c>
      <c r="J363" s="97">
        <f t="shared" si="41"/>
        <v>25598329.296133026</v>
      </c>
      <c r="K363" s="97">
        <f t="shared" si="42"/>
        <v>14103907.550000006</v>
      </c>
    </row>
    <row r="364" spans="1:11" s="401" customFormat="1" x14ac:dyDescent="0.2">
      <c r="A364" s="111">
        <f t="shared" si="39"/>
        <v>283</v>
      </c>
      <c r="B364" s="53" t="s">
        <v>12</v>
      </c>
      <c r="C364" s="371">
        <v>2014</v>
      </c>
      <c r="D364" s="114">
        <v>480000</v>
      </c>
      <c r="E364" s="97">
        <v>36000</v>
      </c>
      <c r="F364" s="97">
        <f t="shared" si="40"/>
        <v>516000</v>
      </c>
      <c r="G364" s="114">
        <v>0</v>
      </c>
      <c r="H364" s="114">
        <v>0</v>
      </c>
      <c r="I364" s="97">
        <v>0</v>
      </c>
      <c r="J364" s="97">
        <f t="shared" si="41"/>
        <v>26114329.296133026</v>
      </c>
      <c r="K364" s="97">
        <f t="shared" si="42"/>
        <v>14619907.550000006</v>
      </c>
    </row>
    <row r="365" spans="1:11" s="401" customFormat="1" x14ac:dyDescent="0.2">
      <c r="A365" s="111">
        <f t="shared" si="39"/>
        <v>284</v>
      </c>
      <c r="B365" s="53" t="s">
        <v>13</v>
      </c>
      <c r="C365" s="371">
        <v>2014</v>
      </c>
      <c r="D365" s="114">
        <v>480000</v>
      </c>
      <c r="E365" s="97">
        <v>36000</v>
      </c>
      <c r="F365" s="97">
        <f t="shared" si="40"/>
        <v>516000</v>
      </c>
      <c r="G365" s="114">
        <v>0</v>
      </c>
      <c r="H365" s="114">
        <v>0</v>
      </c>
      <c r="I365" s="97">
        <v>0</v>
      </c>
      <c r="J365" s="97">
        <f t="shared" si="41"/>
        <v>26630329.296133026</v>
      </c>
      <c r="K365" s="97">
        <f t="shared" si="42"/>
        <v>15135907.550000006</v>
      </c>
    </row>
    <row r="366" spans="1:11" s="401" customFormat="1" x14ac:dyDescent="0.2">
      <c r="A366" s="111">
        <f t="shared" si="39"/>
        <v>285</v>
      </c>
      <c r="B366" s="53" t="s">
        <v>15</v>
      </c>
      <c r="C366" s="371">
        <v>2014</v>
      </c>
      <c r="D366" s="114">
        <v>480000</v>
      </c>
      <c r="E366" s="97">
        <v>36000</v>
      </c>
      <c r="F366" s="97">
        <f t="shared" si="40"/>
        <v>516000</v>
      </c>
      <c r="G366" s="114">
        <v>0</v>
      </c>
      <c r="H366" s="114">
        <v>0</v>
      </c>
      <c r="I366" s="97">
        <v>0</v>
      </c>
      <c r="J366" s="97">
        <f t="shared" si="41"/>
        <v>27146329.296133026</v>
      </c>
      <c r="K366" s="97">
        <f t="shared" si="42"/>
        <v>15651907.550000006</v>
      </c>
    </row>
    <row r="367" spans="1:11" s="401" customFormat="1" x14ac:dyDescent="0.2">
      <c r="A367" s="111">
        <f t="shared" si="39"/>
        <v>286</v>
      </c>
      <c r="B367" s="53" t="s">
        <v>14</v>
      </c>
      <c r="C367" s="371">
        <v>2014</v>
      </c>
      <c r="D367" s="114">
        <v>480000</v>
      </c>
      <c r="E367" s="97">
        <v>36000</v>
      </c>
      <c r="F367" s="97">
        <f t="shared" si="40"/>
        <v>516000</v>
      </c>
      <c r="G367" s="114">
        <v>0</v>
      </c>
      <c r="H367" s="114">
        <v>0</v>
      </c>
      <c r="I367" s="97">
        <v>0</v>
      </c>
      <c r="J367" s="97">
        <f t="shared" si="41"/>
        <v>27662329.296133026</v>
      </c>
      <c r="K367" s="97">
        <f t="shared" si="42"/>
        <v>16167907.550000006</v>
      </c>
    </row>
    <row r="368" spans="1:11" s="401" customFormat="1" x14ac:dyDescent="0.2">
      <c r="A368" s="111">
        <f t="shared" si="39"/>
        <v>287</v>
      </c>
      <c r="B368" s="53" t="s">
        <v>6</v>
      </c>
      <c r="C368" s="371">
        <v>2014</v>
      </c>
      <c r="D368" s="114">
        <v>1140000</v>
      </c>
      <c r="E368" s="97">
        <v>85500</v>
      </c>
      <c r="F368" s="97">
        <f t="shared" si="40"/>
        <v>1225500</v>
      </c>
      <c r="G368" s="114">
        <v>0</v>
      </c>
      <c r="H368" s="114">
        <v>0</v>
      </c>
      <c r="I368" s="97">
        <v>0</v>
      </c>
      <c r="J368" s="97">
        <f t="shared" si="41"/>
        <v>28887829.296133026</v>
      </c>
      <c r="K368" s="159">
        <f t="shared" si="42"/>
        <v>17393407.550000004</v>
      </c>
    </row>
    <row r="369" spans="1:11" s="401" customFormat="1" x14ac:dyDescent="0.2">
      <c r="A369" s="111">
        <f t="shared" si="39"/>
        <v>288</v>
      </c>
      <c r="B369" s="64"/>
      <c r="C369" s="398" t="s">
        <v>418</v>
      </c>
      <c r="D369" s="64"/>
      <c r="E369" s="64"/>
      <c r="F369" s="64"/>
      <c r="G369" s="64"/>
      <c r="H369" s="64"/>
      <c r="I369" s="64"/>
      <c r="J369" s="64"/>
      <c r="K369" s="407">
        <f>AVERAGE(K356:K368)</f>
        <v>13592125.684615392</v>
      </c>
    </row>
    <row r="370" spans="1:11" s="401" customFormat="1" x14ac:dyDescent="0.2">
      <c r="A370" s="111"/>
      <c r="B370" s="64"/>
      <c r="C370" s="398"/>
      <c r="D370" s="64"/>
      <c r="E370" s="64"/>
      <c r="F370" s="64"/>
      <c r="G370" s="64"/>
      <c r="H370" s="64"/>
      <c r="I370" s="64"/>
      <c r="J370" s="64"/>
      <c r="K370" s="407"/>
    </row>
    <row r="371" spans="1:11" s="401" customFormat="1" x14ac:dyDescent="0.2">
      <c r="B371" s="402" t="s">
        <v>442</v>
      </c>
      <c r="D371" s="409" t="s">
        <v>443</v>
      </c>
      <c r="E371" s="409"/>
      <c r="F371" s="410"/>
    </row>
    <row r="372" spans="1:11" s="401" customFormat="1" x14ac:dyDescent="0.2">
      <c r="A372" s="389"/>
      <c r="B372" s="389"/>
      <c r="C372" s="389"/>
      <c r="D372" s="389" t="s">
        <v>152</v>
      </c>
      <c r="E372" s="389" t="s">
        <v>153</v>
      </c>
      <c r="F372" s="389" t="s">
        <v>154</v>
      </c>
      <c r="G372" s="389" t="s">
        <v>155</v>
      </c>
      <c r="H372" s="389" t="s">
        <v>371</v>
      </c>
      <c r="I372" s="389" t="s">
        <v>372</v>
      </c>
      <c r="J372" s="389" t="s">
        <v>386</v>
      </c>
      <c r="K372" s="389" t="s">
        <v>387</v>
      </c>
    </row>
    <row r="373" spans="1:11" s="401" customFormat="1" ht="38.25" x14ac:dyDescent="0.2">
      <c r="D373" s="403"/>
      <c r="E373" s="404" t="s">
        <v>421</v>
      </c>
      <c r="F373" s="394" t="s">
        <v>422</v>
      </c>
      <c r="G373" s="405"/>
      <c r="H373" s="403"/>
      <c r="I373" s="404" t="s">
        <v>423</v>
      </c>
      <c r="J373" s="404" t="s">
        <v>424</v>
      </c>
      <c r="K373" s="404" t="s">
        <v>425</v>
      </c>
    </row>
    <row r="374" spans="1:11" s="401" customFormat="1" x14ac:dyDescent="0.2">
      <c r="D374" s="403"/>
      <c r="E374" s="404"/>
      <c r="F374" s="394"/>
      <c r="G374" s="139" t="str">
        <f>G51</f>
        <v>Unloaded</v>
      </c>
      <c r="H374" s="403"/>
      <c r="I374" s="404"/>
      <c r="J374" s="404"/>
      <c r="K374" s="404"/>
    </row>
    <row r="375" spans="1:11" s="401" customFormat="1" x14ac:dyDescent="0.2">
      <c r="A375" s="392"/>
      <c r="B375" s="392"/>
      <c r="C375" s="392"/>
      <c r="D375" s="392" t="str">
        <f>D$52</f>
        <v>Forecast</v>
      </c>
      <c r="E375" s="392" t="str">
        <f>E$52</f>
        <v>Corporate</v>
      </c>
      <c r="F375" s="392" t="str">
        <f>F$52</f>
        <v xml:space="preserve">Total </v>
      </c>
      <c r="G375" s="139" t="str">
        <f>G52</f>
        <v>Total</v>
      </c>
      <c r="H375" s="392" t="str">
        <f>H$52</f>
        <v>Prior Period</v>
      </c>
      <c r="I375" s="392" t="str">
        <f>I$52</f>
        <v>Over Heads</v>
      </c>
      <c r="J375" s="392" t="str">
        <f>J$52</f>
        <v>Forecast</v>
      </c>
      <c r="K375" s="392" t="str">
        <f>K$52</f>
        <v>Forecast Period</v>
      </c>
    </row>
    <row r="376" spans="1:11" s="401" customFormat="1" x14ac:dyDescent="0.2">
      <c r="A376" s="136" t="s">
        <v>296</v>
      </c>
      <c r="B376" s="57" t="s">
        <v>16</v>
      </c>
      <c r="C376" s="57" t="s">
        <v>17</v>
      </c>
      <c r="D376" s="389" t="str">
        <f>D$53</f>
        <v>Expenditures</v>
      </c>
      <c r="E376" s="389" t="str">
        <f>E$53</f>
        <v>Overheads</v>
      </c>
      <c r="F376" s="389" t="str">
        <f>F$53</f>
        <v>CWIP Exp</v>
      </c>
      <c r="G376" s="92" t="str">
        <f>G53</f>
        <v>Plant Adds</v>
      </c>
      <c r="H376" s="389" t="str">
        <f>H$53</f>
        <v>CWIP Closed</v>
      </c>
      <c r="I376" s="389" t="str">
        <f>I$53</f>
        <v>Closed to PIS</v>
      </c>
      <c r="J376" s="389" t="str">
        <f>J$53</f>
        <v>Period CWIP</v>
      </c>
      <c r="K376" s="389" t="str">
        <f>K$53</f>
        <v>Incremental CWIP</v>
      </c>
    </row>
    <row r="377" spans="1:11" s="401" customFormat="1" x14ac:dyDescent="0.2">
      <c r="A377" s="111">
        <f>A369+1</f>
        <v>289</v>
      </c>
      <c r="B377" s="58" t="s">
        <v>6</v>
      </c>
      <c r="C377" s="371">
        <v>2012</v>
      </c>
      <c r="D377" s="394" t="s">
        <v>400</v>
      </c>
      <c r="E377" s="394" t="s">
        <v>400</v>
      </c>
      <c r="F377" s="394" t="s">
        <v>400</v>
      </c>
      <c r="G377" s="394" t="s">
        <v>400</v>
      </c>
      <c r="H377" s="394" t="s">
        <v>400</v>
      </c>
      <c r="I377" s="394" t="s">
        <v>400</v>
      </c>
      <c r="J377" s="97">
        <v>0</v>
      </c>
      <c r="K377" s="394" t="s">
        <v>400</v>
      </c>
    </row>
    <row r="378" spans="1:11" s="401" customFormat="1" x14ac:dyDescent="0.2">
      <c r="A378" s="111">
        <f t="shared" ref="A378:A402" si="43">A377+1</f>
        <v>290</v>
      </c>
      <c r="B378" s="58" t="s">
        <v>7</v>
      </c>
      <c r="C378" s="371">
        <v>2013</v>
      </c>
      <c r="D378" s="114"/>
      <c r="E378" s="97">
        <v>0</v>
      </c>
      <c r="F378" s="97">
        <f t="shared" ref="F378:F401" si="44">E378+D378</f>
        <v>0</v>
      </c>
      <c r="G378" s="114"/>
      <c r="H378" s="114"/>
      <c r="I378" s="97">
        <v>0</v>
      </c>
      <c r="J378" s="97">
        <f t="shared" ref="J378:J401" si="45">J377+F378-G378-I378</f>
        <v>0</v>
      </c>
      <c r="K378" s="97">
        <f t="shared" ref="K378:K401" si="46">J378-$J$377</f>
        <v>0</v>
      </c>
    </row>
    <row r="379" spans="1:11" s="401" customFormat="1" x14ac:dyDescent="0.2">
      <c r="A379" s="111">
        <f t="shared" si="43"/>
        <v>291</v>
      </c>
      <c r="B379" s="53" t="s">
        <v>8</v>
      </c>
      <c r="C379" s="371">
        <v>2013</v>
      </c>
      <c r="D379" s="114"/>
      <c r="E379" s="97">
        <v>0</v>
      </c>
      <c r="F379" s="97">
        <f t="shared" si="44"/>
        <v>0</v>
      </c>
      <c r="G379" s="114"/>
      <c r="H379" s="114"/>
      <c r="I379" s="97">
        <v>0</v>
      </c>
      <c r="J379" s="97">
        <f t="shared" si="45"/>
        <v>0</v>
      </c>
      <c r="K379" s="97">
        <f t="shared" si="46"/>
        <v>0</v>
      </c>
    </row>
    <row r="380" spans="1:11" s="401" customFormat="1" x14ac:dyDescent="0.2">
      <c r="A380" s="111">
        <f t="shared" si="43"/>
        <v>292</v>
      </c>
      <c r="B380" s="53" t="s">
        <v>18</v>
      </c>
      <c r="C380" s="371">
        <v>2013</v>
      </c>
      <c r="D380" s="114"/>
      <c r="E380" s="97">
        <v>0</v>
      </c>
      <c r="F380" s="97">
        <f t="shared" si="44"/>
        <v>0</v>
      </c>
      <c r="G380" s="114"/>
      <c r="H380" s="114"/>
      <c r="I380" s="97">
        <v>0</v>
      </c>
      <c r="J380" s="97">
        <f t="shared" si="45"/>
        <v>0</v>
      </c>
      <c r="K380" s="97">
        <f t="shared" si="46"/>
        <v>0</v>
      </c>
    </row>
    <row r="381" spans="1:11" s="401" customFormat="1" x14ac:dyDescent="0.2">
      <c r="A381" s="111">
        <f t="shared" si="43"/>
        <v>293</v>
      </c>
      <c r="B381" s="58" t="s">
        <v>9</v>
      </c>
      <c r="C381" s="371">
        <v>2013</v>
      </c>
      <c r="D381" s="114"/>
      <c r="E381" s="97">
        <v>0</v>
      </c>
      <c r="F381" s="97">
        <f t="shared" si="44"/>
        <v>0</v>
      </c>
      <c r="G381" s="114"/>
      <c r="H381" s="114"/>
      <c r="I381" s="97">
        <v>0</v>
      </c>
      <c r="J381" s="97">
        <f t="shared" si="45"/>
        <v>0</v>
      </c>
      <c r="K381" s="97">
        <f t="shared" si="46"/>
        <v>0</v>
      </c>
    </row>
    <row r="382" spans="1:11" s="401" customFormat="1" x14ac:dyDescent="0.2">
      <c r="A382" s="111">
        <f t="shared" si="43"/>
        <v>294</v>
      </c>
      <c r="B382" s="53" t="s">
        <v>10</v>
      </c>
      <c r="C382" s="371">
        <v>2013</v>
      </c>
      <c r="D382" s="114"/>
      <c r="E382" s="97">
        <v>0</v>
      </c>
      <c r="F382" s="97">
        <f t="shared" si="44"/>
        <v>0</v>
      </c>
      <c r="G382" s="114"/>
      <c r="H382" s="114"/>
      <c r="I382" s="97">
        <v>0</v>
      </c>
      <c r="J382" s="97">
        <f t="shared" si="45"/>
        <v>0</v>
      </c>
      <c r="K382" s="97">
        <f t="shared" si="46"/>
        <v>0</v>
      </c>
    </row>
    <row r="383" spans="1:11" s="401" customFormat="1" x14ac:dyDescent="0.2">
      <c r="A383" s="111">
        <f t="shared" si="43"/>
        <v>295</v>
      </c>
      <c r="B383" s="53" t="s">
        <v>25</v>
      </c>
      <c r="C383" s="371">
        <v>2013</v>
      </c>
      <c r="D383" s="114"/>
      <c r="E383" s="97">
        <v>0</v>
      </c>
      <c r="F383" s="97">
        <f t="shared" si="44"/>
        <v>0</v>
      </c>
      <c r="G383" s="114"/>
      <c r="H383" s="114"/>
      <c r="I383" s="97">
        <v>0</v>
      </c>
      <c r="J383" s="97">
        <f t="shared" si="45"/>
        <v>0</v>
      </c>
      <c r="K383" s="97">
        <f t="shared" si="46"/>
        <v>0</v>
      </c>
    </row>
    <row r="384" spans="1:11" s="401" customFormat="1" x14ac:dyDescent="0.2">
      <c r="A384" s="111">
        <f t="shared" si="43"/>
        <v>296</v>
      </c>
      <c r="B384" s="58" t="s">
        <v>11</v>
      </c>
      <c r="C384" s="371">
        <v>2013</v>
      </c>
      <c r="D384" s="114"/>
      <c r="E384" s="97">
        <v>0</v>
      </c>
      <c r="F384" s="97">
        <f t="shared" si="44"/>
        <v>0</v>
      </c>
      <c r="G384" s="114"/>
      <c r="H384" s="114"/>
      <c r="I384" s="97">
        <v>0</v>
      </c>
      <c r="J384" s="97">
        <f t="shared" si="45"/>
        <v>0</v>
      </c>
      <c r="K384" s="97">
        <f t="shared" si="46"/>
        <v>0</v>
      </c>
    </row>
    <row r="385" spans="1:11" s="401" customFormat="1" x14ac:dyDescent="0.2">
      <c r="A385" s="111">
        <f t="shared" si="43"/>
        <v>297</v>
      </c>
      <c r="B385" s="53" t="s">
        <v>12</v>
      </c>
      <c r="C385" s="371">
        <v>2013</v>
      </c>
      <c r="D385" s="114"/>
      <c r="E385" s="97">
        <v>0</v>
      </c>
      <c r="F385" s="97">
        <f t="shared" si="44"/>
        <v>0</v>
      </c>
      <c r="G385" s="114"/>
      <c r="H385" s="114"/>
      <c r="I385" s="97">
        <v>0</v>
      </c>
      <c r="J385" s="97">
        <f t="shared" si="45"/>
        <v>0</v>
      </c>
      <c r="K385" s="97">
        <f t="shared" si="46"/>
        <v>0</v>
      </c>
    </row>
    <row r="386" spans="1:11" s="401" customFormat="1" x14ac:dyDescent="0.2">
      <c r="A386" s="111">
        <f t="shared" si="43"/>
        <v>298</v>
      </c>
      <c r="B386" s="53" t="s">
        <v>13</v>
      </c>
      <c r="C386" s="371">
        <v>2013</v>
      </c>
      <c r="D386" s="114"/>
      <c r="E386" s="97">
        <v>0</v>
      </c>
      <c r="F386" s="97">
        <f t="shared" si="44"/>
        <v>0</v>
      </c>
      <c r="G386" s="114"/>
      <c r="H386" s="114"/>
      <c r="I386" s="97">
        <v>0</v>
      </c>
      <c r="J386" s="97">
        <f t="shared" si="45"/>
        <v>0</v>
      </c>
      <c r="K386" s="97">
        <f t="shared" si="46"/>
        <v>0</v>
      </c>
    </row>
    <row r="387" spans="1:11" s="401" customFormat="1" x14ac:dyDescent="0.2">
      <c r="A387" s="111">
        <f t="shared" si="43"/>
        <v>299</v>
      </c>
      <c r="B387" s="58" t="s">
        <v>15</v>
      </c>
      <c r="C387" s="371">
        <v>2013</v>
      </c>
      <c r="D387" s="114"/>
      <c r="E387" s="97">
        <v>0</v>
      </c>
      <c r="F387" s="97">
        <f t="shared" si="44"/>
        <v>0</v>
      </c>
      <c r="G387" s="114"/>
      <c r="H387" s="114"/>
      <c r="I387" s="97">
        <v>0</v>
      </c>
      <c r="J387" s="97">
        <f t="shared" si="45"/>
        <v>0</v>
      </c>
      <c r="K387" s="97">
        <f t="shared" si="46"/>
        <v>0</v>
      </c>
    </row>
    <row r="388" spans="1:11" s="401" customFormat="1" x14ac:dyDescent="0.2">
      <c r="A388" s="111">
        <f t="shared" si="43"/>
        <v>300</v>
      </c>
      <c r="B388" s="58" t="s">
        <v>14</v>
      </c>
      <c r="C388" s="371">
        <v>2013</v>
      </c>
      <c r="D388" s="114"/>
      <c r="E388" s="97">
        <v>0</v>
      </c>
      <c r="F388" s="97">
        <f t="shared" si="44"/>
        <v>0</v>
      </c>
      <c r="G388" s="114"/>
      <c r="H388" s="114"/>
      <c r="I388" s="97">
        <v>0</v>
      </c>
      <c r="J388" s="97">
        <f t="shared" si="45"/>
        <v>0</v>
      </c>
      <c r="K388" s="97">
        <f t="shared" si="46"/>
        <v>0</v>
      </c>
    </row>
    <row r="389" spans="1:11" s="401" customFormat="1" x14ac:dyDescent="0.2">
      <c r="A389" s="111">
        <f t="shared" si="43"/>
        <v>301</v>
      </c>
      <c r="B389" s="58" t="s">
        <v>6</v>
      </c>
      <c r="C389" s="371">
        <v>2013</v>
      </c>
      <c r="D389" s="114"/>
      <c r="E389" s="97">
        <v>0</v>
      </c>
      <c r="F389" s="97">
        <f t="shared" si="44"/>
        <v>0</v>
      </c>
      <c r="G389" s="114"/>
      <c r="H389" s="114"/>
      <c r="I389" s="97">
        <v>0</v>
      </c>
      <c r="J389" s="97">
        <f t="shared" si="45"/>
        <v>0</v>
      </c>
      <c r="K389" s="97">
        <f t="shared" si="46"/>
        <v>0</v>
      </c>
    </row>
    <row r="390" spans="1:11" s="401" customFormat="1" x14ac:dyDescent="0.2">
      <c r="A390" s="111">
        <f t="shared" si="43"/>
        <v>302</v>
      </c>
      <c r="B390" s="58" t="s">
        <v>7</v>
      </c>
      <c r="C390" s="371">
        <v>2014</v>
      </c>
      <c r="D390" s="114"/>
      <c r="E390" s="97">
        <v>0</v>
      </c>
      <c r="F390" s="97">
        <f t="shared" si="44"/>
        <v>0</v>
      </c>
      <c r="G390" s="114"/>
      <c r="H390" s="114"/>
      <c r="I390" s="97">
        <v>0</v>
      </c>
      <c r="J390" s="97">
        <f t="shared" si="45"/>
        <v>0</v>
      </c>
      <c r="K390" s="97">
        <f t="shared" si="46"/>
        <v>0</v>
      </c>
    </row>
    <row r="391" spans="1:11" s="401" customFormat="1" x14ac:dyDescent="0.2">
      <c r="A391" s="111">
        <f t="shared" si="43"/>
        <v>303</v>
      </c>
      <c r="B391" s="53" t="s">
        <v>8</v>
      </c>
      <c r="C391" s="371">
        <v>2014</v>
      </c>
      <c r="D391" s="114"/>
      <c r="E391" s="97">
        <v>0</v>
      </c>
      <c r="F391" s="97">
        <f t="shared" si="44"/>
        <v>0</v>
      </c>
      <c r="G391" s="114"/>
      <c r="H391" s="114"/>
      <c r="I391" s="97">
        <v>0</v>
      </c>
      <c r="J391" s="97">
        <f t="shared" si="45"/>
        <v>0</v>
      </c>
      <c r="K391" s="97">
        <f t="shared" si="46"/>
        <v>0</v>
      </c>
    </row>
    <row r="392" spans="1:11" s="401" customFormat="1" x14ac:dyDescent="0.2">
      <c r="A392" s="111">
        <f t="shared" si="43"/>
        <v>304</v>
      </c>
      <c r="B392" s="53" t="s">
        <v>18</v>
      </c>
      <c r="C392" s="371">
        <v>2014</v>
      </c>
      <c r="D392" s="114"/>
      <c r="E392" s="97">
        <v>0</v>
      </c>
      <c r="F392" s="97">
        <f t="shared" si="44"/>
        <v>0</v>
      </c>
      <c r="G392" s="114"/>
      <c r="H392" s="114"/>
      <c r="I392" s="97">
        <v>0</v>
      </c>
      <c r="J392" s="97">
        <f t="shared" si="45"/>
        <v>0</v>
      </c>
      <c r="K392" s="97">
        <f t="shared" si="46"/>
        <v>0</v>
      </c>
    </row>
    <row r="393" spans="1:11" s="401" customFormat="1" x14ac:dyDescent="0.2">
      <c r="A393" s="111">
        <f t="shared" si="43"/>
        <v>305</v>
      </c>
      <c r="B393" s="58" t="s">
        <v>9</v>
      </c>
      <c r="C393" s="371">
        <v>2014</v>
      </c>
      <c r="D393" s="114"/>
      <c r="E393" s="97">
        <v>0</v>
      </c>
      <c r="F393" s="97">
        <f t="shared" si="44"/>
        <v>0</v>
      </c>
      <c r="G393" s="114"/>
      <c r="H393" s="114"/>
      <c r="I393" s="97">
        <v>0</v>
      </c>
      <c r="J393" s="97">
        <f t="shared" si="45"/>
        <v>0</v>
      </c>
      <c r="K393" s="97">
        <f t="shared" si="46"/>
        <v>0</v>
      </c>
    </row>
    <row r="394" spans="1:11" s="401" customFormat="1" x14ac:dyDescent="0.2">
      <c r="A394" s="111">
        <f t="shared" si="43"/>
        <v>306</v>
      </c>
      <c r="B394" s="53" t="s">
        <v>10</v>
      </c>
      <c r="C394" s="371">
        <v>2014</v>
      </c>
      <c r="D394" s="114"/>
      <c r="E394" s="97">
        <v>0</v>
      </c>
      <c r="F394" s="97">
        <f t="shared" si="44"/>
        <v>0</v>
      </c>
      <c r="G394" s="114"/>
      <c r="H394" s="114"/>
      <c r="I394" s="97">
        <v>0</v>
      </c>
      <c r="J394" s="97">
        <f t="shared" si="45"/>
        <v>0</v>
      </c>
      <c r="K394" s="97">
        <f t="shared" si="46"/>
        <v>0</v>
      </c>
    </row>
    <row r="395" spans="1:11" s="401" customFormat="1" x14ac:dyDescent="0.2">
      <c r="A395" s="111">
        <f t="shared" si="43"/>
        <v>307</v>
      </c>
      <c r="B395" s="53" t="s">
        <v>25</v>
      </c>
      <c r="C395" s="371">
        <v>2014</v>
      </c>
      <c r="D395" s="114"/>
      <c r="E395" s="97">
        <v>0</v>
      </c>
      <c r="F395" s="97">
        <f t="shared" si="44"/>
        <v>0</v>
      </c>
      <c r="G395" s="114"/>
      <c r="H395" s="114"/>
      <c r="I395" s="97">
        <v>0</v>
      </c>
      <c r="J395" s="97">
        <f t="shared" si="45"/>
        <v>0</v>
      </c>
      <c r="K395" s="97">
        <f t="shared" si="46"/>
        <v>0</v>
      </c>
    </row>
    <row r="396" spans="1:11" s="401" customFormat="1" x14ac:dyDescent="0.2">
      <c r="A396" s="111">
        <f t="shared" si="43"/>
        <v>308</v>
      </c>
      <c r="B396" s="58" t="s">
        <v>11</v>
      </c>
      <c r="C396" s="371">
        <v>2014</v>
      </c>
      <c r="D396" s="114"/>
      <c r="E396" s="97">
        <v>0</v>
      </c>
      <c r="F396" s="97">
        <f t="shared" si="44"/>
        <v>0</v>
      </c>
      <c r="G396" s="114"/>
      <c r="H396" s="114"/>
      <c r="I396" s="97">
        <v>0</v>
      </c>
      <c r="J396" s="97">
        <f t="shared" si="45"/>
        <v>0</v>
      </c>
      <c r="K396" s="97">
        <f t="shared" si="46"/>
        <v>0</v>
      </c>
    </row>
    <row r="397" spans="1:11" s="401" customFormat="1" x14ac:dyDescent="0.2">
      <c r="A397" s="111">
        <f t="shared" si="43"/>
        <v>309</v>
      </c>
      <c r="B397" s="53" t="s">
        <v>12</v>
      </c>
      <c r="C397" s="371">
        <v>2014</v>
      </c>
      <c r="D397" s="114"/>
      <c r="E397" s="97">
        <v>0</v>
      </c>
      <c r="F397" s="97">
        <f t="shared" si="44"/>
        <v>0</v>
      </c>
      <c r="G397" s="114"/>
      <c r="H397" s="114"/>
      <c r="I397" s="97">
        <v>0</v>
      </c>
      <c r="J397" s="97">
        <f t="shared" si="45"/>
        <v>0</v>
      </c>
      <c r="K397" s="97">
        <f t="shared" si="46"/>
        <v>0</v>
      </c>
    </row>
    <row r="398" spans="1:11" s="401" customFormat="1" x14ac:dyDescent="0.2">
      <c r="A398" s="111">
        <f t="shared" si="43"/>
        <v>310</v>
      </c>
      <c r="B398" s="53" t="s">
        <v>13</v>
      </c>
      <c r="C398" s="371">
        <v>2014</v>
      </c>
      <c r="D398" s="114"/>
      <c r="E398" s="97">
        <v>0</v>
      </c>
      <c r="F398" s="97">
        <f t="shared" si="44"/>
        <v>0</v>
      </c>
      <c r="G398" s="114"/>
      <c r="H398" s="114"/>
      <c r="I398" s="97">
        <v>0</v>
      </c>
      <c r="J398" s="97">
        <f t="shared" si="45"/>
        <v>0</v>
      </c>
      <c r="K398" s="97">
        <f t="shared" si="46"/>
        <v>0</v>
      </c>
    </row>
    <row r="399" spans="1:11" s="401" customFormat="1" x14ac:dyDescent="0.2">
      <c r="A399" s="111">
        <f t="shared" si="43"/>
        <v>311</v>
      </c>
      <c r="B399" s="53" t="s">
        <v>15</v>
      </c>
      <c r="C399" s="371">
        <v>2014</v>
      </c>
      <c r="D399" s="114"/>
      <c r="E399" s="97">
        <v>0</v>
      </c>
      <c r="F399" s="97">
        <f t="shared" si="44"/>
        <v>0</v>
      </c>
      <c r="G399" s="114"/>
      <c r="H399" s="114"/>
      <c r="I399" s="97">
        <v>0</v>
      </c>
      <c r="J399" s="97">
        <f t="shared" si="45"/>
        <v>0</v>
      </c>
      <c r="K399" s="97">
        <f t="shared" si="46"/>
        <v>0</v>
      </c>
    </row>
    <row r="400" spans="1:11" s="401" customFormat="1" x14ac:dyDescent="0.2">
      <c r="A400" s="111">
        <f t="shared" si="43"/>
        <v>312</v>
      </c>
      <c r="B400" s="53" t="s">
        <v>14</v>
      </c>
      <c r="C400" s="371">
        <v>2014</v>
      </c>
      <c r="D400" s="114"/>
      <c r="E400" s="97">
        <v>0</v>
      </c>
      <c r="F400" s="97">
        <f t="shared" si="44"/>
        <v>0</v>
      </c>
      <c r="G400" s="114"/>
      <c r="H400" s="114"/>
      <c r="I400" s="97">
        <v>0</v>
      </c>
      <c r="J400" s="97">
        <f t="shared" si="45"/>
        <v>0</v>
      </c>
      <c r="K400" s="97">
        <f t="shared" si="46"/>
        <v>0</v>
      </c>
    </row>
    <row r="401" spans="1:11" s="401" customFormat="1" x14ac:dyDescent="0.2">
      <c r="A401" s="111">
        <f t="shared" si="43"/>
        <v>313</v>
      </c>
      <c r="B401" s="53" t="s">
        <v>6</v>
      </c>
      <c r="C401" s="371">
        <v>2014</v>
      </c>
      <c r="D401" s="114"/>
      <c r="E401" s="97">
        <v>0</v>
      </c>
      <c r="F401" s="97">
        <f t="shared" si="44"/>
        <v>0</v>
      </c>
      <c r="G401" s="114"/>
      <c r="H401" s="114"/>
      <c r="I401" s="97">
        <v>0</v>
      </c>
      <c r="J401" s="97">
        <f t="shared" si="45"/>
        <v>0</v>
      </c>
      <c r="K401" s="107">
        <f t="shared" si="46"/>
        <v>0</v>
      </c>
    </row>
    <row r="402" spans="1:11" s="401" customFormat="1" x14ac:dyDescent="0.2">
      <c r="A402" s="111">
        <f t="shared" si="43"/>
        <v>314</v>
      </c>
      <c r="B402" s="64"/>
      <c r="C402" s="398" t="s">
        <v>418</v>
      </c>
      <c r="H402" s="394"/>
      <c r="I402" s="394"/>
      <c r="K402" s="407">
        <f>AVERAGE(K389:K401)</f>
        <v>0</v>
      </c>
    </row>
    <row r="403" spans="1:11" s="401" customFormat="1" x14ac:dyDescent="0.2">
      <c r="A403" s="111"/>
      <c r="B403" s="64"/>
      <c r="C403" s="398"/>
      <c r="H403" s="394"/>
      <c r="I403" s="394"/>
      <c r="K403" s="407"/>
    </row>
    <row r="404" spans="1:11" s="401" customFormat="1" x14ac:dyDescent="0.2">
      <c r="A404" s="111"/>
      <c r="B404" s="64"/>
      <c r="C404" s="398"/>
      <c r="H404" s="394"/>
      <c r="I404" s="394"/>
      <c r="K404" s="407"/>
    </row>
    <row r="405" spans="1:11" s="401" customFormat="1" x14ac:dyDescent="0.2">
      <c r="A405" s="392"/>
      <c r="B405" s="48" t="s">
        <v>297</v>
      </c>
      <c r="C405" s="64"/>
      <c r="D405" s="64"/>
      <c r="E405" s="64"/>
      <c r="F405" s="64"/>
      <c r="G405" s="64"/>
      <c r="H405" s="64"/>
      <c r="I405" s="64"/>
    </row>
    <row r="406" spans="1:11" s="401" customFormat="1" x14ac:dyDescent="0.2">
      <c r="A406" s="392"/>
      <c r="B406" s="53" t="s">
        <v>444</v>
      </c>
    </row>
    <row r="407" spans="1:11" s="401" customFormat="1" x14ac:dyDescent="0.2">
      <c r="A407" s="392"/>
      <c r="B407" s="53" t="s">
        <v>445</v>
      </c>
      <c r="C407" s="64"/>
      <c r="D407" s="64"/>
      <c r="E407" s="64"/>
      <c r="F407" s="64"/>
      <c r="G407" s="64"/>
      <c r="H407" s="64"/>
      <c r="I407" s="64"/>
    </row>
    <row r="408" spans="1:11" s="401" customFormat="1" x14ac:dyDescent="0.2">
      <c r="A408" s="392"/>
      <c r="C408" s="64"/>
      <c r="D408" s="64"/>
      <c r="E408" s="64"/>
      <c r="F408" s="64"/>
      <c r="G408" s="64"/>
      <c r="H408" s="64"/>
      <c r="I408" s="64"/>
    </row>
    <row r="409" spans="1:11" s="401" customFormat="1" x14ac:dyDescent="0.2">
      <c r="A409" s="392"/>
      <c r="B409" s="109" t="s">
        <v>109</v>
      </c>
      <c r="C409" s="64"/>
      <c r="D409" s="64"/>
      <c r="E409" s="64"/>
      <c r="F409" s="64"/>
      <c r="G409" s="64"/>
      <c r="H409" s="64"/>
      <c r="I409" s="64"/>
    </row>
    <row r="410" spans="1:11" s="401" customFormat="1" x14ac:dyDescent="0.2">
      <c r="A410" s="392"/>
      <c r="B410" s="99" t="s">
        <v>446</v>
      </c>
      <c r="C410" s="64"/>
      <c r="D410" s="64"/>
      <c r="E410" s="64"/>
      <c r="F410" s="64"/>
      <c r="G410" s="64"/>
      <c r="H410" s="64"/>
      <c r="I410" s="64"/>
    </row>
    <row r="411" spans="1:11" s="401" customFormat="1" x14ac:dyDescent="0.2">
      <c r="A411" s="392"/>
      <c r="B411" s="99" t="s">
        <v>447</v>
      </c>
      <c r="C411" s="64"/>
      <c r="D411" s="64"/>
      <c r="E411" s="64"/>
      <c r="F411" s="64"/>
      <c r="G411" s="64"/>
      <c r="H411" s="64"/>
      <c r="I411" s="64"/>
    </row>
    <row r="412" spans="1:11" s="401" customFormat="1" x14ac:dyDescent="0.2">
      <c r="A412" s="392"/>
      <c r="B412" s="120" t="s">
        <v>448</v>
      </c>
      <c r="C412" s="106"/>
      <c r="D412" s="106"/>
      <c r="E412" s="106"/>
      <c r="F412" s="106"/>
      <c r="G412" s="106"/>
      <c r="H412" s="106"/>
      <c r="I412" s="106"/>
    </row>
    <row r="413" spans="1:11" s="401" customFormat="1" x14ac:dyDescent="0.2">
      <c r="A413" s="392"/>
      <c r="B413" s="105"/>
      <c r="C413" s="106"/>
      <c r="D413" s="106"/>
      <c r="E413" s="106"/>
      <c r="F413" s="106"/>
      <c r="G413" s="106"/>
      <c r="H413" s="106"/>
      <c r="I413" s="106"/>
    </row>
    <row r="414" spans="1:11" s="401" customFormat="1" x14ac:dyDescent="0.2">
      <c r="A414" s="392"/>
      <c r="B414" s="53"/>
      <c r="C414" s="411"/>
      <c r="H414" s="394"/>
      <c r="I414" s="394"/>
    </row>
    <row r="415" spans="1:11" s="401" customFormat="1" x14ac:dyDescent="0.2">
      <c r="A415" s="392"/>
      <c r="B415" s="53"/>
      <c r="C415" s="411"/>
      <c r="H415" s="394"/>
      <c r="I415" s="394"/>
    </row>
    <row r="416" spans="1:11" s="401" customFormat="1" x14ac:dyDescent="0.2">
      <c r="A416" s="392"/>
      <c r="B416" s="53"/>
      <c r="C416" s="411"/>
      <c r="H416" s="394"/>
      <c r="I416" s="394"/>
    </row>
    <row r="417" spans="1:11" s="401" customFormat="1" x14ac:dyDescent="0.2">
      <c r="A417" s="392"/>
      <c r="B417" s="53"/>
      <c r="C417" s="411"/>
      <c r="H417" s="394"/>
      <c r="I417" s="394"/>
    </row>
    <row r="418" spans="1:11" s="401" customFormat="1" x14ac:dyDescent="0.2">
      <c r="A418" s="392"/>
      <c r="B418" s="53"/>
      <c r="C418" s="411"/>
      <c r="D418" s="412"/>
      <c r="E418" s="412"/>
      <c r="F418" s="412"/>
      <c r="G418" s="412"/>
      <c r="H418" s="394"/>
      <c r="I418" s="394"/>
    </row>
    <row r="419" spans="1:11" s="401" customFormat="1" x14ac:dyDescent="0.2">
      <c r="A419" s="392"/>
      <c r="C419" s="413"/>
      <c r="D419" s="414"/>
      <c r="E419" s="414"/>
      <c r="F419" s="414"/>
      <c r="G419" s="414"/>
      <c r="H419" s="394"/>
      <c r="I419" s="394"/>
    </row>
    <row r="420" spans="1:11" s="401" customFormat="1" x14ac:dyDescent="0.2"/>
    <row r="421" spans="1:11" s="401" customFormat="1" x14ac:dyDescent="0.2">
      <c r="B421" s="48"/>
    </row>
    <row r="422" spans="1:11" s="401" customFormat="1" x14ac:dyDescent="0.2">
      <c r="B422" s="53"/>
    </row>
    <row r="423" spans="1:11" x14ac:dyDescent="0.2">
      <c r="A423" s="401"/>
      <c r="B423" s="401"/>
      <c r="C423" s="401"/>
      <c r="D423" s="401"/>
      <c r="E423" s="401"/>
      <c r="F423" s="401"/>
      <c r="G423" s="401"/>
      <c r="H423" s="401"/>
      <c r="I423" s="401"/>
      <c r="J423" s="401"/>
      <c r="K423" s="401"/>
    </row>
    <row r="424" spans="1:11" x14ac:dyDescent="0.2">
      <c r="A424" s="401"/>
      <c r="B424" s="415"/>
      <c r="C424" s="401"/>
      <c r="D424" s="401"/>
      <c r="E424" s="401"/>
      <c r="F424" s="401"/>
      <c r="G424" s="401"/>
      <c r="H424" s="401"/>
      <c r="I424" s="401"/>
      <c r="J424" s="401"/>
      <c r="K424" s="401"/>
    </row>
    <row r="425" spans="1:11" x14ac:dyDescent="0.2">
      <c r="A425" s="401"/>
      <c r="B425" s="416"/>
      <c r="C425" s="401"/>
      <c r="D425" s="401"/>
      <c r="E425" s="401"/>
      <c r="F425" s="401"/>
      <c r="G425" s="401"/>
      <c r="H425" s="401"/>
      <c r="I425" s="401"/>
      <c r="J425" s="401"/>
      <c r="K425" s="401"/>
    </row>
    <row r="426" spans="1:11" x14ac:dyDescent="0.2">
      <c r="A426" s="401"/>
      <c r="B426" s="416"/>
      <c r="C426" s="401"/>
      <c r="D426" s="401"/>
      <c r="E426" s="401"/>
      <c r="F426" s="401"/>
      <c r="G426" s="401"/>
      <c r="H426" s="401"/>
      <c r="I426" s="401"/>
      <c r="J426" s="401"/>
      <c r="K426" s="401"/>
    </row>
    <row r="427" spans="1:11" x14ac:dyDescent="0.2">
      <c r="A427" s="401"/>
      <c r="B427" s="416"/>
      <c r="C427" s="401"/>
      <c r="D427" s="401"/>
      <c r="E427" s="401"/>
      <c r="F427" s="401"/>
      <c r="G427" s="401"/>
      <c r="H427" s="401"/>
      <c r="I427" s="401"/>
      <c r="J427" s="401"/>
      <c r="K427" s="401"/>
    </row>
    <row r="428" spans="1:11" x14ac:dyDescent="0.2">
      <c r="A428" s="401"/>
      <c r="B428" s="417"/>
      <c r="C428" s="401"/>
      <c r="D428" s="401"/>
      <c r="E428" s="401"/>
      <c r="F428" s="401"/>
      <c r="G428" s="401"/>
      <c r="H428" s="401"/>
      <c r="I428" s="401"/>
      <c r="J428" s="401"/>
      <c r="K428" s="401"/>
    </row>
  </sheetData>
  <mergeCells count="9">
    <mergeCell ref="D276:E276"/>
    <mergeCell ref="D307:E307"/>
    <mergeCell ref="D340:E340"/>
    <mergeCell ref="D82:E82"/>
    <mergeCell ref="D115:E115"/>
    <mergeCell ref="D148:E148"/>
    <mergeCell ref="D179:E179"/>
    <mergeCell ref="D212:E212"/>
    <mergeCell ref="D243:E243"/>
  </mergeCells>
  <pageMargins left="0.7" right="0.7" top="0.75" bottom="0.75" header="0.3" footer="0.3"/>
  <pageSetup scale="60" orientation="landscape" cellComments="asDisplayed" r:id="rId1"/>
  <headerFooter>
    <oddHeader>&amp;CSchedule 10
CWIP
(Revised 2012 True Up TRR)&amp;RTO12 Draft Annual Update
Attachment 4
WP-Schedule 3-One Time Adj True Up Adj
Page &amp;P of &amp;N</oddHeader>
    <oddFooter>&amp;R&amp;A</oddFooter>
  </headerFooter>
  <rowBreaks count="6" manualBreakCount="6">
    <brk id="47" max="16383" man="1"/>
    <brk id="113" max="10" man="1"/>
    <brk id="177" max="10" man="1"/>
    <brk id="241" max="10" man="1"/>
    <brk id="305" max="10" man="1"/>
    <brk id="369" max="10"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X112"/>
  <sheetViews>
    <sheetView zoomScaleNormal="100" workbookViewId="0"/>
  </sheetViews>
  <sheetFormatPr defaultRowHeight="12.75" x14ac:dyDescent="0.2"/>
  <cols>
    <col min="1" max="1" width="4.7109375" style="64" customWidth="1"/>
    <col min="2" max="2" width="2.7109375" style="64" customWidth="1"/>
    <col min="3" max="3" width="6.7109375" style="64" customWidth="1"/>
    <col min="4" max="4" width="32.5703125" style="64" customWidth="1"/>
    <col min="5" max="5" width="14.7109375" style="64" customWidth="1"/>
    <col min="6" max="6" width="15.7109375" style="64" customWidth="1"/>
    <col min="7" max="8" width="14.7109375" style="64" customWidth="1"/>
    <col min="9" max="9" width="18.7109375" style="64" customWidth="1"/>
    <col min="10" max="10" width="14.7109375" style="64" customWidth="1"/>
    <col min="11" max="11" width="11" style="64" bestFit="1" customWidth="1"/>
    <col min="12" max="16384" width="9.140625" style="64"/>
  </cols>
  <sheetData>
    <row r="1" spans="1:24" x14ac:dyDescent="0.2">
      <c r="A1" s="109" t="s">
        <v>167</v>
      </c>
      <c r="F1" s="89" t="s">
        <v>164</v>
      </c>
      <c r="G1" s="90"/>
      <c r="H1" s="91"/>
      <c r="I1" s="91"/>
    </row>
    <row r="2" spans="1:24" x14ac:dyDescent="0.2">
      <c r="E2" s="92" t="s">
        <v>152</v>
      </c>
      <c r="F2" s="92" t="s">
        <v>153</v>
      </c>
      <c r="G2" s="92" t="s">
        <v>154</v>
      </c>
      <c r="H2" s="92" t="s">
        <v>155</v>
      </c>
      <c r="I2" s="91"/>
    </row>
    <row r="3" spans="1:24" x14ac:dyDescent="0.2">
      <c r="G3" s="91" t="s">
        <v>168</v>
      </c>
    </row>
    <row r="4" spans="1:24" x14ac:dyDescent="0.2">
      <c r="E4" s="93" t="s">
        <v>169</v>
      </c>
      <c r="F4" s="62" t="s">
        <v>165</v>
      </c>
      <c r="G4" s="93" t="s">
        <v>170</v>
      </c>
      <c r="I4" s="93"/>
    </row>
    <row r="5" spans="1:24" x14ac:dyDescent="0.2">
      <c r="A5" s="94" t="s">
        <v>42</v>
      </c>
      <c r="B5" s="95"/>
      <c r="C5" s="95" t="s">
        <v>171</v>
      </c>
      <c r="D5" s="95" t="s">
        <v>33</v>
      </c>
      <c r="E5" s="95" t="s">
        <v>34</v>
      </c>
      <c r="F5" s="57" t="s">
        <v>35</v>
      </c>
      <c r="G5" s="95" t="s">
        <v>172</v>
      </c>
      <c r="H5" s="95" t="s">
        <v>87</v>
      </c>
      <c r="I5" s="95" t="s">
        <v>45</v>
      </c>
      <c r="K5" s="95"/>
      <c r="L5" s="95"/>
      <c r="M5" s="95"/>
      <c r="N5" s="95"/>
      <c r="O5" s="95"/>
      <c r="P5" s="95"/>
      <c r="Q5" s="95"/>
      <c r="R5" s="95"/>
      <c r="S5" s="95"/>
      <c r="T5" s="95"/>
      <c r="U5" s="95"/>
      <c r="V5" s="95"/>
      <c r="W5" s="95"/>
      <c r="X5" s="95"/>
    </row>
    <row r="6" spans="1:24" x14ac:dyDescent="0.2">
      <c r="A6" s="93">
        <v>1</v>
      </c>
      <c r="C6" s="91">
        <v>920</v>
      </c>
      <c r="D6" s="64" t="s">
        <v>173</v>
      </c>
      <c r="E6" s="96">
        <v>536918160</v>
      </c>
      <c r="F6" s="91" t="s">
        <v>174</v>
      </c>
      <c r="G6" s="97">
        <f>D37</f>
        <v>153351483.1391997</v>
      </c>
      <c r="H6" s="98">
        <f t="shared" ref="H6:H19" si="0">E6-G6</f>
        <v>383566676.86080027</v>
      </c>
    </row>
    <row r="7" spans="1:24" x14ac:dyDescent="0.2">
      <c r="A7" s="93">
        <f>A6+1</f>
        <v>2</v>
      </c>
      <c r="C7" s="91">
        <v>921</v>
      </c>
      <c r="D7" s="64" t="s">
        <v>175</v>
      </c>
      <c r="E7" s="96">
        <v>106486299</v>
      </c>
      <c r="F7" s="91" t="s">
        <v>176</v>
      </c>
      <c r="G7" s="97">
        <f t="shared" ref="G7:G19" si="1">D38</f>
        <v>582736.48</v>
      </c>
      <c r="H7" s="98">
        <f t="shared" si="0"/>
        <v>105903562.52</v>
      </c>
    </row>
    <row r="8" spans="1:24" x14ac:dyDescent="0.2">
      <c r="A8" s="93">
        <f>A7+1</f>
        <v>3</v>
      </c>
      <c r="C8" s="91">
        <v>922</v>
      </c>
      <c r="D8" s="64" t="s">
        <v>177</v>
      </c>
      <c r="E8" s="96">
        <v>-123052542</v>
      </c>
      <c r="F8" s="91" t="s">
        <v>178</v>
      </c>
      <c r="G8" s="97">
        <f t="shared" si="1"/>
        <v>-45644534</v>
      </c>
      <c r="H8" s="98">
        <f t="shared" si="0"/>
        <v>-77408008</v>
      </c>
      <c r="I8" s="100" t="s">
        <v>179</v>
      </c>
    </row>
    <row r="9" spans="1:24" x14ac:dyDescent="0.2">
      <c r="A9" s="93">
        <f t="shared" ref="A9:A20" si="2">A8+1</f>
        <v>4</v>
      </c>
      <c r="B9" s="93"/>
      <c r="C9" s="91">
        <v>923</v>
      </c>
      <c r="D9" s="64" t="s">
        <v>180</v>
      </c>
      <c r="E9" s="96">
        <v>67510845</v>
      </c>
      <c r="F9" s="91" t="s">
        <v>181</v>
      </c>
      <c r="G9" s="286">
        <f t="shared" si="1"/>
        <v>8458462.8099999987</v>
      </c>
      <c r="H9" s="286">
        <f t="shared" si="0"/>
        <v>59052382.189999998</v>
      </c>
    </row>
    <row r="10" spans="1:24" x14ac:dyDescent="0.2">
      <c r="A10" s="93">
        <f t="shared" si="2"/>
        <v>5</v>
      </c>
      <c r="B10" s="93"/>
      <c r="C10" s="91">
        <v>924</v>
      </c>
      <c r="D10" s="64" t="s">
        <v>182</v>
      </c>
      <c r="E10" s="96">
        <v>18713258</v>
      </c>
      <c r="F10" s="91" t="s">
        <v>183</v>
      </c>
      <c r="G10" s="97">
        <f t="shared" si="1"/>
        <v>0</v>
      </c>
      <c r="H10" s="98">
        <f t="shared" si="0"/>
        <v>18713258</v>
      </c>
    </row>
    <row r="11" spans="1:24" x14ac:dyDescent="0.2">
      <c r="A11" s="93">
        <f t="shared" si="2"/>
        <v>6</v>
      </c>
      <c r="B11" s="93"/>
      <c r="C11" s="91">
        <v>925</v>
      </c>
      <c r="D11" s="64" t="s">
        <v>184</v>
      </c>
      <c r="E11" s="96">
        <v>88220482</v>
      </c>
      <c r="F11" s="91" t="s">
        <v>185</v>
      </c>
      <c r="G11" s="97">
        <f t="shared" si="1"/>
        <v>117812.72</v>
      </c>
      <c r="H11" s="98">
        <f t="shared" si="0"/>
        <v>88102669.280000001</v>
      </c>
    </row>
    <row r="12" spans="1:24" x14ac:dyDescent="0.2">
      <c r="A12" s="93">
        <f t="shared" si="2"/>
        <v>7</v>
      </c>
      <c r="B12" s="93"/>
      <c r="C12" s="91">
        <v>926</v>
      </c>
      <c r="D12" s="64" t="s">
        <v>186</v>
      </c>
      <c r="E12" s="96">
        <v>293595750</v>
      </c>
      <c r="F12" s="91" t="s">
        <v>187</v>
      </c>
      <c r="G12" s="97">
        <f t="shared" si="1"/>
        <v>33969912.859999999</v>
      </c>
      <c r="H12" s="98">
        <f t="shared" si="0"/>
        <v>259625837.13999999</v>
      </c>
    </row>
    <row r="13" spans="1:24" x14ac:dyDescent="0.2">
      <c r="A13" s="93">
        <f t="shared" si="2"/>
        <v>8</v>
      </c>
      <c r="B13" s="93"/>
      <c r="C13" s="91">
        <v>927</v>
      </c>
      <c r="D13" s="64" t="s">
        <v>156</v>
      </c>
      <c r="E13" s="96">
        <v>100359146</v>
      </c>
      <c r="F13" s="91" t="s">
        <v>188</v>
      </c>
      <c r="G13" s="97">
        <f t="shared" si="1"/>
        <v>100359146</v>
      </c>
      <c r="H13" s="98">
        <f t="shared" si="0"/>
        <v>0</v>
      </c>
    </row>
    <row r="14" spans="1:24" x14ac:dyDescent="0.2">
      <c r="A14" s="93">
        <f t="shared" si="2"/>
        <v>9</v>
      </c>
      <c r="B14" s="93"/>
      <c r="C14" s="91">
        <v>928</v>
      </c>
      <c r="D14" s="99" t="s">
        <v>189</v>
      </c>
      <c r="E14" s="96">
        <v>16645461</v>
      </c>
      <c r="F14" s="91" t="s">
        <v>190</v>
      </c>
      <c r="G14" s="97">
        <f t="shared" si="1"/>
        <v>14197575.07</v>
      </c>
      <c r="H14" s="98">
        <f t="shared" si="0"/>
        <v>2447885.9299999997</v>
      </c>
    </row>
    <row r="15" spans="1:24" x14ac:dyDescent="0.2">
      <c r="A15" s="93">
        <f t="shared" si="2"/>
        <v>10</v>
      </c>
      <c r="B15" s="93"/>
      <c r="C15" s="91">
        <v>929</v>
      </c>
      <c r="D15" s="64" t="s">
        <v>191</v>
      </c>
      <c r="E15" s="96">
        <v>0</v>
      </c>
      <c r="F15" s="91" t="s">
        <v>192</v>
      </c>
      <c r="G15" s="97">
        <f t="shared" si="1"/>
        <v>0</v>
      </c>
      <c r="H15" s="98">
        <f t="shared" si="0"/>
        <v>0</v>
      </c>
    </row>
    <row r="16" spans="1:24" x14ac:dyDescent="0.2">
      <c r="A16" s="93">
        <f t="shared" si="2"/>
        <v>11</v>
      </c>
      <c r="B16" s="93"/>
      <c r="C16" s="91">
        <v>930.1</v>
      </c>
      <c r="D16" s="64" t="s">
        <v>193</v>
      </c>
      <c r="E16" s="96">
        <v>163377</v>
      </c>
      <c r="F16" s="91" t="s">
        <v>194</v>
      </c>
      <c r="G16" s="97">
        <f t="shared" si="1"/>
        <v>67883.75</v>
      </c>
      <c r="H16" s="98">
        <f t="shared" si="0"/>
        <v>95493.25</v>
      </c>
    </row>
    <row r="17" spans="1:11" x14ac:dyDescent="0.2">
      <c r="A17" s="93">
        <f t="shared" si="2"/>
        <v>12</v>
      </c>
      <c r="B17" s="93"/>
      <c r="C17" s="91">
        <v>930.2</v>
      </c>
      <c r="D17" s="64" t="s">
        <v>195</v>
      </c>
      <c r="E17" s="96">
        <v>4026668</v>
      </c>
      <c r="F17" s="91" t="s">
        <v>196</v>
      </c>
      <c r="G17" s="97">
        <f t="shared" si="1"/>
        <v>9668385</v>
      </c>
      <c r="H17" s="98">
        <f t="shared" si="0"/>
        <v>-5641717</v>
      </c>
    </row>
    <row r="18" spans="1:11" x14ac:dyDescent="0.2">
      <c r="A18" s="93">
        <f t="shared" si="2"/>
        <v>13</v>
      </c>
      <c r="B18" s="93"/>
      <c r="C18" s="91">
        <v>931</v>
      </c>
      <c r="D18" s="64" t="s">
        <v>197</v>
      </c>
      <c r="E18" s="96">
        <v>24059237</v>
      </c>
      <c r="F18" s="91" t="s">
        <v>198</v>
      </c>
      <c r="G18" s="97">
        <f t="shared" si="1"/>
        <v>75290.61</v>
      </c>
      <c r="H18" s="98">
        <f t="shared" si="0"/>
        <v>23983946.390000001</v>
      </c>
    </row>
    <row r="19" spans="1:11" x14ac:dyDescent="0.2">
      <c r="A19" s="93">
        <f t="shared" si="2"/>
        <v>14</v>
      </c>
      <c r="B19" s="93"/>
      <c r="C19" s="91">
        <v>935</v>
      </c>
      <c r="D19" s="64" t="s">
        <v>199</v>
      </c>
      <c r="E19" s="101">
        <v>11685945</v>
      </c>
      <c r="F19" s="91" t="s">
        <v>200</v>
      </c>
      <c r="G19" s="97">
        <f t="shared" si="1"/>
        <v>2273673.9900000002</v>
      </c>
      <c r="H19" s="102">
        <f t="shared" si="0"/>
        <v>9412271.0099999998</v>
      </c>
    </row>
    <row r="20" spans="1:11" x14ac:dyDescent="0.2">
      <c r="A20" s="93">
        <f t="shared" si="2"/>
        <v>15</v>
      </c>
      <c r="E20" s="98">
        <f>SUM(E6:E19)</f>
        <v>1145332086</v>
      </c>
      <c r="G20" s="103" t="s">
        <v>201</v>
      </c>
      <c r="H20" s="285">
        <f>SUM(H6:H19)</f>
        <v>867854257.57080019</v>
      </c>
    </row>
    <row r="22" spans="1:11" x14ac:dyDescent="0.2">
      <c r="F22" s="95" t="s">
        <v>34</v>
      </c>
      <c r="G22" s="95" t="s">
        <v>35</v>
      </c>
    </row>
    <row r="23" spans="1:11" x14ac:dyDescent="0.2">
      <c r="A23" s="93">
        <f>A20+1</f>
        <v>16</v>
      </c>
      <c r="E23" s="104" t="s">
        <v>202</v>
      </c>
      <c r="F23" s="286">
        <f>H20</f>
        <v>867854257.57080019</v>
      </c>
      <c r="G23" s="105" t="str">
        <f>"Line "&amp;A20&amp;""</f>
        <v>Line 15</v>
      </c>
      <c r="H23" s="106"/>
      <c r="I23" s="106"/>
      <c r="J23" s="106"/>
      <c r="K23" s="106"/>
    </row>
    <row r="24" spans="1:11" x14ac:dyDescent="0.2">
      <c r="A24" s="93">
        <f t="shared" ref="A24:A30" si="3">A23+1</f>
        <v>17</v>
      </c>
      <c r="E24" s="104" t="s">
        <v>203</v>
      </c>
      <c r="F24" s="107">
        <f>E10</f>
        <v>18713258</v>
      </c>
      <c r="G24" s="105" t="str">
        <f>"Line "&amp;A10&amp;""</f>
        <v>Line 5</v>
      </c>
      <c r="H24" s="106"/>
      <c r="I24" s="106"/>
      <c r="J24" s="106"/>
      <c r="K24" s="106"/>
    </row>
    <row r="25" spans="1:11" x14ac:dyDescent="0.2">
      <c r="A25" s="93">
        <f t="shared" si="3"/>
        <v>18</v>
      </c>
      <c r="E25" s="104" t="s">
        <v>204</v>
      </c>
      <c r="F25" s="286">
        <f>F23-F24</f>
        <v>849140999.57080019</v>
      </c>
      <c r="G25" s="105" t="str">
        <f>"Line "&amp;A23&amp;" - Line "&amp;A24&amp;""</f>
        <v>Line 16 - Line 17</v>
      </c>
      <c r="H25" s="106"/>
      <c r="I25" s="106"/>
      <c r="J25" s="106"/>
      <c r="K25" s="106"/>
    </row>
    <row r="26" spans="1:11" x14ac:dyDescent="0.2">
      <c r="A26" s="93">
        <f t="shared" si="3"/>
        <v>19</v>
      </c>
      <c r="E26" s="108" t="s">
        <v>205</v>
      </c>
      <c r="F26" s="418">
        <f>'WP-2012 Sch27-Allocators'!G15</f>
        <v>3.7112833598855699E-2</v>
      </c>
      <c r="G26" s="105" t="str">
        <f>"27-Allocators, Line "&amp;'WP-2012 Sch27-Allocators'!A15&amp;""</f>
        <v>27-Allocators, Line 9</v>
      </c>
      <c r="H26" s="106"/>
      <c r="I26" s="106"/>
      <c r="J26" s="106"/>
      <c r="K26" s="106"/>
    </row>
    <row r="27" spans="1:11" x14ac:dyDescent="0.2">
      <c r="A27" s="93">
        <f t="shared" si="3"/>
        <v>20</v>
      </c>
      <c r="E27" s="104" t="s">
        <v>206</v>
      </c>
      <c r="F27" s="135">
        <f>F25*F26</f>
        <v>31514028.619037107</v>
      </c>
      <c r="G27" s="105" t="str">
        <f>"Line "&amp;A25&amp;" * Line "&amp;A26&amp;""</f>
        <v>Line 18 * Line 19</v>
      </c>
      <c r="H27" s="106"/>
      <c r="I27" s="106"/>
      <c r="J27" s="106"/>
      <c r="K27" s="106"/>
    </row>
    <row r="28" spans="1:11" x14ac:dyDescent="0.2">
      <c r="A28" s="93">
        <f t="shared" si="3"/>
        <v>21</v>
      </c>
      <c r="E28" s="104" t="s">
        <v>207</v>
      </c>
      <c r="F28" s="419">
        <f>'WP-2012 Sch27-Allocators'!G28</f>
        <v>0.10970390190757009</v>
      </c>
      <c r="G28" s="100" t="str">
        <f>"27-Allocators, Line "&amp;'WP-2012 Sch27-Allocators'!A28&amp;""</f>
        <v>27-Allocators, Line 22</v>
      </c>
      <c r="H28" s="106"/>
      <c r="I28" s="106"/>
      <c r="J28" s="106"/>
      <c r="K28" s="106"/>
    </row>
    <row r="29" spans="1:11" x14ac:dyDescent="0.2">
      <c r="A29" s="93">
        <f t="shared" si="3"/>
        <v>22</v>
      </c>
      <c r="E29" s="104" t="s">
        <v>208</v>
      </c>
      <c r="F29" s="284">
        <f>H10*F28</f>
        <v>2052917.4200030514</v>
      </c>
      <c r="G29" s="105" t="str">
        <f>"Line "&amp;A10&amp;" Col 4 * Line "&amp;A28&amp;""</f>
        <v>Line 5 Col 4 * Line 21</v>
      </c>
      <c r="H29" s="106"/>
      <c r="I29" s="106"/>
      <c r="J29" s="106"/>
      <c r="K29" s="106"/>
    </row>
    <row r="30" spans="1:11" x14ac:dyDescent="0.2">
      <c r="A30" s="93">
        <f t="shared" si="3"/>
        <v>23</v>
      </c>
      <c r="E30" s="104" t="s">
        <v>209</v>
      </c>
      <c r="F30" s="160">
        <f>F27+F29</f>
        <v>33566946.039040156</v>
      </c>
      <c r="G30" s="105" t="str">
        <f>"Line "&amp;A27&amp;" + Line "&amp;A29&amp;""</f>
        <v>Line 20 + Line 22</v>
      </c>
      <c r="H30" s="106"/>
      <c r="I30" s="106"/>
      <c r="J30" s="106"/>
      <c r="K30" s="106"/>
    </row>
    <row r="31" spans="1:11" x14ac:dyDescent="0.2">
      <c r="E31" s="106"/>
      <c r="F31" s="106"/>
      <c r="G31" s="106"/>
      <c r="H31" s="106"/>
      <c r="I31" s="106"/>
      <c r="J31" s="106"/>
      <c r="K31" s="106"/>
    </row>
    <row r="32" spans="1:11" x14ac:dyDescent="0.2">
      <c r="B32" s="109" t="s">
        <v>210</v>
      </c>
      <c r="E32" s="110" t="s">
        <v>152</v>
      </c>
      <c r="F32" s="110" t="s">
        <v>153</v>
      </c>
      <c r="G32" s="110" t="s">
        <v>154</v>
      </c>
      <c r="H32" s="110" t="s">
        <v>155</v>
      </c>
      <c r="I32" s="106"/>
      <c r="J32" s="106"/>
      <c r="K32" s="106"/>
    </row>
    <row r="33" spans="1:11" x14ac:dyDescent="0.2">
      <c r="B33" s="109"/>
      <c r="E33" s="111" t="s">
        <v>211</v>
      </c>
      <c r="F33" s="110"/>
      <c r="G33" s="110"/>
      <c r="H33" s="110"/>
      <c r="I33" s="106"/>
      <c r="J33" s="106"/>
      <c r="K33" s="106"/>
    </row>
    <row r="34" spans="1:11" x14ac:dyDescent="0.2">
      <c r="E34" s="111" t="s">
        <v>212</v>
      </c>
      <c r="F34" s="106"/>
      <c r="G34" s="106"/>
      <c r="H34" s="106"/>
      <c r="I34" s="106"/>
      <c r="J34" s="106"/>
      <c r="K34" s="106"/>
    </row>
    <row r="35" spans="1:11" x14ac:dyDescent="0.2">
      <c r="D35" s="93" t="s">
        <v>213</v>
      </c>
      <c r="E35" s="111" t="s">
        <v>214</v>
      </c>
      <c r="F35" s="111" t="s">
        <v>215</v>
      </c>
      <c r="G35" s="111"/>
      <c r="H35" s="111"/>
      <c r="I35" s="106"/>
      <c r="J35" s="106"/>
      <c r="K35" s="106"/>
    </row>
    <row r="36" spans="1:11" x14ac:dyDescent="0.2">
      <c r="C36" s="95" t="s">
        <v>171</v>
      </c>
      <c r="D36" s="92" t="s">
        <v>216</v>
      </c>
      <c r="E36" s="63" t="s">
        <v>217</v>
      </c>
      <c r="F36" s="63" t="s">
        <v>218</v>
      </c>
      <c r="G36" s="63" t="s">
        <v>219</v>
      </c>
      <c r="H36" s="63" t="s">
        <v>220</v>
      </c>
      <c r="I36" s="63" t="s">
        <v>45</v>
      </c>
      <c r="J36" s="106"/>
      <c r="K36" s="106"/>
    </row>
    <row r="37" spans="1:11" x14ac:dyDescent="0.2">
      <c r="A37" s="93">
        <f>A30+1</f>
        <v>24</v>
      </c>
      <c r="C37" s="91">
        <v>920</v>
      </c>
      <c r="D37" s="112">
        <f>SUM(E37:H37)</f>
        <v>153351483.1391997</v>
      </c>
      <c r="E37" s="113">
        <v>18663631.559999999</v>
      </c>
      <c r="F37" s="114"/>
      <c r="G37" s="97">
        <f>G58</f>
        <v>134687851.5791997</v>
      </c>
      <c r="H37" s="114"/>
      <c r="I37" s="105" t="s">
        <v>221</v>
      </c>
      <c r="J37" s="106"/>
    </row>
    <row r="38" spans="1:11" x14ac:dyDescent="0.2">
      <c r="A38" s="93">
        <f>A37+1</f>
        <v>25</v>
      </c>
      <c r="C38" s="91">
        <v>921</v>
      </c>
      <c r="D38" s="112">
        <f t="shared" ref="D38:D50" si="4">SUM(E38:H38)</f>
        <v>582736.48</v>
      </c>
      <c r="E38" s="113">
        <v>582736.48</v>
      </c>
      <c r="F38" s="114"/>
      <c r="G38" s="114"/>
      <c r="H38" s="114"/>
      <c r="I38" s="115"/>
    </row>
    <row r="39" spans="1:11" ht="13.5" thickBot="1" x14ac:dyDescent="0.25">
      <c r="A39" s="93">
        <f t="shared" ref="A39:A50" si="5">A38+1</f>
        <v>26</v>
      </c>
      <c r="C39" s="91">
        <v>922</v>
      </c>
      <c r="D39" s="112">
        <f t="shared" si="4"/>
        <v>-45644534</v>
      </c>
      <c r="E39" s="322">
        <v>-12079206</v>
      </c>
      <c r="F39" s="114"/>
      <c r="G39" s="60">
        <v>-33565328</v>
      </c>
      <c r="H39" s="114"/>
      <c r="I39" s="115"/>
    </row>
    <row r="40" spans="1:11" ht="13.5" thickBot="1" x14ac:dyDescent="0.25">
      <c r="A40" s="93">
        <f t="shared" si="5"/>
        <v>27</v>
      </c>
      <c r="C40" s="91">
        <v>923</v>
      </c>
      <c r="D40" s="420">
        <f t="shared" si="4"/>
        <v>8458462.8099999987</v>
      </c>
      <c r="E40" s="141">
        <v>8458462.8099999987</v>
      </c>
      <c r="F40" s="114"/>
      <c r="G40" s="114"/>
      <c r="H40" s="114"/>
      <c r="I40" s="115"/>
      <c r="J40" s="95"/>
      <c r="K40" s="95"/>
    </row>
    <row r="41" spans="1:11" x14ac:dyDescent="0.2">
      <c r="A41" s="93">
        <f t="shared" si="5"/>
        <v>28</v>
      </c>
      <c r="C41" s="91">
        <v>924</v>
      </c>
      <c r="D41" s="112">
        <f t="shared" si="4"/>
        <v>0</v>
      </c>
      <c r="E41" s="113"/>
      <c r="F41" s="114"/>
      <c r="G41" s="114"/>
      <c r="H41" s="114"/>
      <c r="I41" s="115"/>
      <c r="K41" s="98"/>
    </row>
    <row r="42" spans="1:11" x14ac:dyDescent="0.2">
      <c r="A42" s="93">
        <f t="shared" si="5"/>
        <v>29</v>
      </c>
      <c r="C42" s="91">
        <v>925</v>
      </c>
      <c r="D42" s="112">
        <f t="shared" si="4"/>
        <v>117812.72</v>
      </c>
      <c r="E42" s="113">
        <v>117812.72</v>
      </c>
      <c r="F42" s="114"/>
      <c r="G42" s="114"/>
      <c r="H42" s="114"/>
      <c r="I42" s="116"/>
      <c r="K42" s="98"/>
    </row>
    <row r="43" spans="1:11" x14ac:dyDescent="0.2">
      <c r="A43" s="93">
        <f t="shared" si="5"/>
        <v>30</v>
      </c>
      <c r="C43" s="91">
        <v>926</v>
      </c>
      <c r="D43" s="112">
        <f t="shared" si="4"/>
        <v>33969912.859999999</v>
      </c>
      <c r="E43" s="113">
        <v>35400912.859999999</v>
      </c>
      <c r="F43" s="114"/>
      <c r="G43" s="114"/>
      <c r="H43" s="97">
        <f>E70</f>
        <v>-1431000</v>
      </c>
      <c r="I43" s="116" t="s">
        <v>157</v>
      </c>
      <c r="K43" s="98"/>
    </row>
    <row r="44" spans="1:11" x14ac:dyDescent="0.2">
      <c r="A44" s="93">
        <f t="shared" si="5"/>
        <v>31</v>
      </c>
      <c r="C44" s="91">
        <v>927</v>
      </c>
      <c r="D44" s="112">
        <f t="shared" si="4"/>
        <v>100359146</v>
      </c>
      <c r="E44" s="134">
        <v>0</v>
      </c>
      <c r="F44" s="117">
        <f>E13</f>
        <v>100359146</v>
      </c>
      <c r="G44" s="97">
        <v>0</v>
      </c>
      <c r="H44" s="97">
        <v>0</v>
      </c>
      <c r="I44" s="115" t="s">
        <v>222</v>
      </c>
      <c r="K44" s="98"/>
    </row>
    <row r="45" spans="1:11" x14ac:dyDescent="0.2">
      <c r="A45" s="93">
        <f t="shared" si="5"/>
        <v>32</v>
      </c>
      <c r="C45" s="91">
        <v>928</v>
      </c>
      <c r="D45" s="421">
        <f t="shared" si="4"/>
        <v>14197575.07</v>
      </c>
      <c r="E45" s="322">
        <v>14197575.07</v>
      </c>
      <c r="F45" s="114"/>
      <c r="G45" s="114"/>
      <c r="H45" s="114"/>
      <c r="I45" s="115"/>
      <c r="K45" s="98"/>
    </row>
    <row r="46" spans="1:11" x14ac:dyDescent="0.2">
      <c r="A46" s="93">
        <f t="shared" si="5"/>
        <v>33</v>
      </c>
      <c r="C46" s="91">
        <v>929</v>
      </c>
      <c r="D46" s="112">
        <f t="shared" si="4"/>
        <v>0</v>
      </c>
      <c r="E46" s="113"/>
      <c r="F46" s="114"/>
      <c r="G46" s="114"/>
      <c r="H46" s="114"/>
      <c r="I46" s="115"/>
      <c r="K46" s="98"/>
    </row>
    <row r="47" spans="1:11" x14ac:dyDescent="0.2">
      <c r="A47" s="93">
        <f t="shared" si="5"/>
        <v>34</v>
      </c>
      <c r="C47" s="91">
        <v>930.1</v>
      </c>
      <c r="D47" s="112">
        <f t="shared" si="4"/>
        <v>67883.75</v>
      </c>
      <c r="E47" s="113">
        <v>67883.75</v>
      </c>
      <c r="F47" s="114"/>
      <c r="G47" s="114"/>
      <c r="H47" s="114"/>
      <c r="I47" s="115"/>
      <c r="K47" s="98"/>
    </row>
    <row r="48" spans="1:11" x14ac:dyDescent="0.2">
      <c r="A48" s="93">
        <f t="shared" si="5"/>
        <v>35</v>
      </c>
      <c r="C48" s="91">
        <v>930.2</v>
      </c>
      <c r="D48" s="112">
        <f t="shared" si="4"/>
        <v>9668385</v>
      </c>
      <c r="E48" s="113">
        <v>9668385</v>
      </c>
      <c r="F48" s="114"/>
      <c r="G48" s="114"/>
      <c r="H48" s="114"/>
      <c r="I48" s="115"/>
      <c r="J48" s="118"/>
    </row>
    <row r="49" spans="1:10" x14ac:dyDescent="0.2">
      <c r="A49" s="93">
        <f t="shared" si="5"/>
        <v>36</v>
      </c>
      <c r="C49" s="91">
        <v>931</v>
      </c>
      <c r="D49" s="112">
        <f t="shared" si="4"/>
        <v>75290.61</v>
      </c>
      <c r="E49" s="113">
        <v>75290.61</v>
      </c>
      <c r="F49" s="114"/>
      <c r="G49" s="114"/>
      <c r="H49" s="114"/>
      <c r="I49" s="115"/>
      <c r="J49" s="98"/>
    </row>
    <row r="50" spans="1:10" x14ac:dyDescent="0.2">
      <c r="A50" s="93">
        <f t="shared" si="5"/>
        <v>37</v>
      </c>
      <c r="C50" s="91">
        <v>935</v>
      </c>
      <c r="D50" s="112">
        <f t="shared" si="4"/>
        <v>2273673.9900000002</v>
      </c>
      <c r="E50" s="113">
        <v>2273673.9900000002</v>
      </c>
      <c r="F50" s="114"/>
      <c r="G50" s="114"/>
      <c r="H50" s="114"/>
      <c r="I50" s="115"/>
    </row>
    <row r="51" spans="1:10" x14ac:dyDescent="0.2">
      <c r="B51" s="119" t="s">
        <v>223</v>
      </c>
      <c r="C51" s="106"/>
      <c r="D51" s="106"/>
      <c r="E51" s="106"/>
      <c r="F51" s="106"/>
      <c r="G51" s="106"/>
      <c r="H51" s="106"/>
    </row>
    <row r="52" spans="1:10" x14ac:dyDescent="0.2">
      <c r="B52" s="119"/>
      <c r="C52" s="106" t="s">
        <v>224</v>
      </c>
      <c r="D52" s="106"/>
      <c r="E52" s="106"/>
      <c r="F52" s="106"/>
      <c r="G52" s="106"/>
      <c r="H52" s="106"/>
    </row>
    <row r="53" spans="1:10" x14ac:dyDescent="0.2">
      <c r="B53" s="119"/>
      <c r="C53" s="120" t="s">
        <v>225</v>
      </c>
      <c r="D53" s="106"/>
      <c r="E53" s="106"/>
      <c r="F53" s="106"/>
      <c r="G53" s="111"/>
      <c r="H53" s="111"/>
    </row>
    <row r="54" spans="1:10" x14ac:dyDescent="0.2">
      <c r="B54" s="119"/>
      <c r="C54" s="61" t="s">
        <v>226</v>
      </c>
      <c r="D54" s="52"/>
      <c r="E54" s="52"/>
      <c r="F54" s="106"/>
      <c r="G54" s="111"/>
      <c r="H54" s="111"/>
    </row>
    <row r="55" spans="1:10" x14ac:dyDescent="0.2">
      <c r="B55" s="119"/>
      <c r="C55" s="106"/>
      <c r="D55" s="106"/>
      <c r="E55" s="106"/>
      <c r="F55" s="106"/>
      <c r="G55" s="63" t="s">
        <v>34</v>
      </c>
      <c r="H55" s="63" t="s">
        <v>35</v>
      </c>
    </row>
    <row r="56" spans="1:10" x14ac:dyDescent="0.2">
      <c r="A56" s="93"/>
      <c r="B56" s="93" t="s">
        <v>121</v>
      </c>
      <c r="E56" s="106"/>
      <c r="F56" s="104" t="s">
        <v>227</v>
      </c>
      <c r="G56" s="113">
        <v>169521859</v>
      </c>
      <c r="H56" s="105" t="s">
        <v>228</v>
      </c>
    </row>
    <row r="57" spans="1:10" x14ac:dyDescent="0.2">
      <c r="A57" s="93"/>
      <c r="B57" s="93" t="s">
        <v>123</v>
      </c>
      <c r="C57" s="99"/>
      <c r="E57" s="106"/>
      <c r="F57" s="104" t="s">
        <v>229</v>
      </c>
      <c r="G57" s="107">
        <f>E61</f>
        <v>34834007.420800306</v>
      </c>
      <c r="H57" s="116" t="str">
        <f>"Note 2, "&amp;B61&amp;""</f>
        <v>Note 2, d</v>
      </c>
    </row>
    <row r="58" spans="1:10" x14ac:dyDescent="0.2">
      <c r="A58" s="93"/>
      <c r="B58" s="93" t="s">
        <v>127</v>
      </c>
      <c r="F58" s="121" t="s">
        <v>230</v>
      </c>
      <c r="G58" s="98">
        <f>G56-G57</f>
        <v>134687851.5791997</v>
      </c>
    </row>
    <row r="59" spans="1:10" x14ac:dyDescent="0.2">
      <c r="A59" s="93"/>
      <c r="C59" s="61" t="s">
        <v>231</v>
      </c>
      <c r="D59" s="52"/>
      <c r="E59" s="52"/>
      <c r="G59" s="98"/>
    </row>
    <row r="60" spans="1:10" x14ac:dyDescent="0.2">
      <c r="A60" s="93"/>
      <c r="D60" s="122" t="s">
        <v>232</v>
      </c>
      <c r="E60" s="95" t="s">
        <v>34</v>
      </c>
      <c r="F60" s="123" t="s">
        <v>35</v>
      </c>
      <c r="G60" s="98"/>
    </row>
    <row r="61" spans="1:10" x14ac:dyDescent="0.2">
      <c r="A61" s="93"/>
      <c r="B61" s="93" t="s">
        <v>129</v>
      </c>
      <c r="D61" s="64" t="s">
        <v>233</v>
      </c>
      <c r="E61" s="60">
        <v>34834007.420800306</v>
      </c>
      <c r="F61" s="105" t="s">
        <v>234</v>
      </c>
      <c r="G61" s="97"/>
      <c r="I61" s="106"/>
    </row>
    <row r="62" spans="1:10" x14ac:dyDescent="0.2">
      <c r="A62" s="93"/>
      <c r="B62" s="111" t="s">
        <v>133</v>
      </c>
      <c r="C62" s="106"/>
      <c r="D62" s="120" t="s">
        <v>235</v>
      </c>
      <c r="E62" s="60">
        <v>29719729.140198916</v>
      </c>
      <c r="F62" s="105" t="s">
        <v>234</v>
      </c>
      <c r="G62" s="97"/>
      <c r="I62" s="66"/>
    </row>
    <row r="63" spans="1:10" x14ac:dyDescent="0.2">
      <c r="A63" s="93"/>
      <c r="B63" s="111" t="s">
        <v>136</v>
      </c>
      <c r="C63" s="106"/>
      <c r="D63" s="120" t="s">
        <v>236</v>
      </c>
      <c r="E63" s="67">
        <v>31528841.039000787</v>
      </c>
      <c r="F63" s="105" t="s">
        <v>234</v>
      </c>
      <c r="G63" s="97"/>
      <c r="I63" s="97"/>
    </row>
    <row r="64" spans="1:10" x14ac:dyDescent="0.2">
      <c r="A64" s="93"/>
      <c r="B64" s="111" t="s">
        <v>138</v>
      </c>
      <c r="C64" s="106"/>
      <c r="D64" s="104" t="s">
        <v>166</v>
      </c>
      <c r="E64" s="98">
        <f>SUM(E61:E63)</f>
        <v>96082577.600000009</v>
      </c>
      <c r="F64" s="105" t="str">
        <f>"Sum of "&amp;B61&amp;" to "&amp;B63&amp;""</f>
        <v>Sum of d to f</v>
      </c>
      <c r="G64" s="97"/>
      <c r="I64" s="106"/>
    </row>
    <row r="65" spans="1:10" x14ac:dyDescent="0.2">
      <c r="F65" s="106"/>
      <c r="G65" s="106"/>
    </row>
    <row r="66" spans="1:10" x14ac:dyDescent="0.2">
      <c r="B66" s="109" t="s">
        <v>237</v>
      </c>
      <c r="F66" s="106"/>
      <c r="G66" s="106"/>
    </row>
    <row r="67" spans="1:10" x14ac:dyDescent="0.2">
      <c r="E67" s="95" t="s">
        <v>34</v>
      </c>
      <c r="F67" s="136" t="s">
        <v>238</v>
      </c>
      <c r="G67" s="106"/>
    </row>
    <row r="68" spans="1:10" x14ac:dyDescent="0.2">
      <c r="A68" s="93"/>
      <c r="B68" s="93" t="s">
        <v>121</v>
      </c>
      <c r="D68" s="121" t="s">
        <v>239</v>
      </c>
      <c r="E68" s="148">
        <v>52707000</v>
      </c>
      <c r="F68" s="105" t="s">
        <v>240</v>
      </c>
      <c r="G68" s="106"/>
    </row>
    <row r="69" spans="1:10" x14ac:dyDescent="0.2">
      <c r="A69" s="93"/>
      <c r="B69" s="93" t="s">
        <v>123</v>
      </c>
      <c r="D69" s="121" t="s">
        <v>241</v>
      </c>
      <c r="E69" s="161">
        <v>51276000</v>
      </c>
      <c r="F69" s="105" t="s">
        <v>228</v>
      </c>
      <c r="G69" s="106"/>
    </row>
    <row r="70" spans="1:10" x14ac:dyDescent="0.2">
      <c r="A70" s="93"/>
      <c r="B70" s="93" t="s">
        <v>127</v>
      </c>
      <c r="D70" s="121" t="s">
        <v>242</v>
      </c>
      <c r="E70" s="125">
        <f>E69-E68</f>
        <v>-1431000</v>
      </c>
      <c r="F70" s="116" t="str">
        <f>""&amp;B69&amp;" - "&amp;B68&amp;""</f>
        <v>b - a</v>
      </c>
    </row>
    <row r="71" spans="1:10" x14ac:dyDescent="0.2">
      <c r="A71" s="93"/>
      <c r="B71" s="109" t="s">
        <v>243</v>
      </c>
      <c r="D71" s="121"/>
      <c r="E71" s="125"/>
      <c r="F71" s="116"/>
    </row>
    <row r="72" spans="1:10" x14ac:dyDescent="0.2">
      <c r="A72" s="93"/>
      <c r="B72" s="109"/>
      <c r="C72" s="64" t="str">
        <f>"Amount in Line "&amp;A44&amp;", column 2 equals amount in Line "&amp;A13&amp;", column 1 because all Franchise Requirements Expenses are excluded"</f>
        <v>Amount in Line 31, column 2 equals amount in Line 8, column 1 because all Franchise Requirements Expenses are excluded</v>
      </c>
      <c r="D72" s="121"/>
      <c r="E72" s="125"/>
      <c r="F72" s="116"/>
    </row>
    <row r="73" spans="1:10" x14ac:dyDescent="0.2">
      <c r="A73" s="93"/>
      <c r="B73" s="109"/>
      <c r="C73" s="99" t="s">
        <v>244</v>
      </c>
      <c r="D73" s="121"/>
      <c r="E73" s="125"/>
      <c r="F73" s="116"/>
    </row>
    <row r="75" spans="1:10" x14ac:dyDescent="0.2">
      <c r="B75" s="109" t="s">
        <v>109</v>
      </c>
    </row>
    <row r="76" spans="1:10" x14ac:dyDescent="0.2">
      <c r="C76" s="120" t="str">
        <f>"1) Enter amounts of A&amp;G expenses from FERC Form 1 in Lines "&amp;A6&amp;" to "&amp;A19&amp;"."</f>
        <v>1) Enter amounts of A&amp;G expenses from FERC Form 1 in Lines 1 to 14.</v>
      </c>
      <c r="D76" s="106"/>
      <c r="E76" s="106"/>
      <c r="F76" s="106"/>
      <c r="G76" s="106"/>
      <c r="H76" s="106"/>
      <c r="I76" s="106"/>
      <c r="J76" s="106"/>
    </row>
    <row r="77" spans="1:10" x14ac:dyDescent="0.2">
      <c r="C77" s="120" t="s">
        <v>245</v>
      </c>
      <c r="D77" s="106"/>
      <c r="E77" s="106"/>
      <c r="F77" s="106"/>
      <c r="G77" s="106" t="str">
        <f>"Column 3, Line "&amp;A37&amp;""</f>
        <v>Column 3, Line 24</v>
      </c>
      <c r="H77" s="106"/>
      <c r="I77" s="106"/>
      <c r="J77" s="106"/>
    </row>
    <row r="78" spans="1:10" x14ac:dyDescent="0.2">
      <c r="C78" s="105" t="str">
        <f>"is calculated in Note 2.  The PBOPs exclusion in Column 4, Line "&amp;A43&amp;" is calculated in Note 3."</f>
        <v>is calculated in Note 2.  The PBOPs exclusion in Column 4, Line 30 is calculated in Note 3.</v>
      </c>
      <c r="D78" s="106"/>
      <c r="E78" s="106"/>
      <c r="F78" s="106"/>
      <c r="G78" s="120"/>
      <c r="H78" s="106"/>
      <c r="I78" s="106"/>
      <c r="J78" s="106"/>
    </row>
    <row r="79" spans="1:10" x14ac:dyDescent="0.2">
      <c r="C79" s="105" t="s">
        <v>246</v>
      </c>
      <c r="D79" s="106"/>
      <c r="E79" s="106"/>
      <c r="F79" s="106"/>
      <c r="G79" s="106"/>
      <c r="H79" s="106"/>
      <c r="I79" s="106"/>
      <c r="J79" s="106"/>
    </row>
    <row r="80" spans="1:10" x14ac:dyDescent="0.2">
      <c r="C80" s="105" t="s">
        <v>247</v>
      </c>
      <c r="D80" s="104"/>
      <c r="E80" s="117"/>
      <c r="F80" s="105"/>
      <c r="G80" s="106"/>
      <c r="H80" s="106"/>
      <c r="I80" s="106"/>
      <c r="J80" s="106"/>
    </row>
    <row r="81" spans="3:10" x14ac:dyDescent="0.2">
      <c r="C81" s="105" t="s">
        <v>248</v>
      </c>
      <c r="D81" s="104"/>
      <c r="E81" s="117"/>
      <c r="F81" s="105"/>
      <c r="G81" s="106"/>
      <c r="H81" s="106"/>
      <c r="I81" s="106"/>
      <c r="J81" s="106"/>
    </row>
    <row r="82" spans="3:10" x14ac:dyDescent="0.2">
      <c r="C82" s="105" t="s">
        <v>249</v>
      </c>
      <c r="D82" s="106"/>
      <c r="E82" s="106"/>
      <c r="F82" s="106"/>
      <c r="G82" s="106"/>
      <c r="H82" s="106"/>
      <c r="I82" s="106"/>
      <c r="J82" s="106"/>
    </row>
    <row r="83" spans="3:10" x14ac:dyDescent="0.2">
      <c r="C83" s="105" t="s">
        <v>250</v>
      </c>
      <c r="D83" s="106"/>
      <c r="E83" s="106"/>
      <c r="F83" s="106"/>
      <c r="G83" s="106"/>
      <c r="H83" s="106"/>
      <c r="I83" s="106"/>
      <c r="J83" s="106"/>
    </row>
    <row r="84" spans="3:10" x14ac:dyDescent="0.2">
      <c r="C84" s="105" t="s">
        <v>251</v>
      </c>
      <c r="D84" s="106"/>
      <c r="E84" s="106"/>
      <c r="F84" s="106"/>
      <c r="G84" s="106"/>
      <c r="H84" s="106"/>
      <c r="I84" s="106"/>
      <c r="J84" s="106"/>
    </row>
    <row r="85" spans="3:10" x14ac:dyDescent="0.2">
      <c r="C85" s="105" t="s">
        <v>252</v>
      </c>
      <c r="D85" s="106"/>
      <c r="E85" s="106"/>
      <c r="F85" s="106"/>
      <c r="G85" s="106"/>
      <c r="H85" s="106"/>
      <c r="I85" s="106"/>
      <c r="J85" s="106"/>
    </row>
    <row r="86" spans="3:10" x14ac:dyDescent="0.2">
      <c r="C86" s="105" t="s">
        <v>253</v>
      </c>
      <c r="D86" s="106"/>
      <c r="E86" s="106"/>
      <c r="F86" s="106"/>
      <c r="G86" s="106"/>
      <c r="H86" s="106"/>
      <c r="I86" s="106"/>
      <c r="J86" s="106"/>
    </row>
    <row r="87" spans="3:10" x14ac:dyDescent="0.2">
      <c r="C87" s="105" t="s">
        <v>254</v>
      </c>
      <c r="D87" s="120"/>
      <c r="E87" s="126"/>
      <c r="F87" s="126"/>
      <c r="G87" s="126"/>
      <c r="H87" s="106"/>
      <c r="I87" s="106"/>
      <c r="J87" s="106"/>
    </row>
    <row r="88" spans="3:10" x14ac:dyDescent="0.2">
      <c r="C88" s="127" t="s">
        <v>255</v>
      </c>
      <c r="D88" s="120"/>
      <c r="E88" s="126"/>
      <c r="F88" s="126"/>
      <c r="G88" s="126"/>
      <c r="H88" s="106"/>
      <c r="I88" s="106"/>
      <c r="J88" s="106"/>
    </row>
    <row r="89" spans="3:10" x14ac:dyDescent="0.2">
      <c r="C89" s="127" t="s">
        <v>256</v>
      </c>
      <c r="D89" s="120"/>
      <c r="E89" s="126"/>
      <c r="F89" s="126"/>
      <c r="G89" s="126"/>
      <c r="H89" s="106"/>
      <c r="I89" s="106"/>
      <c r="J89" s="106"/>
    </row>
    <row r="90" spans="3:10" x14ac:dyDescent="0.2">
      <c r="C90" s="127" t="s">
        <v>257</v>
      </c>
      <c r="D90" s="120"/>
      <c r="E90" s="126"/>
      <c r="F90" s="126"/>
      <c r="G90" s="126"/>
      <c r="H90" s="106"/>
      <c r="I90" s="106"/>
      <c r="J90" s="106"/>
    </row>
    <row r="91" spans="3:10" x14ac:dyDescent="0.2">
      <c r="C91" s="105" t="s">
        <v>258</v>
      </c>
      <c r="D91" s="120"/>
      <c r="E91" s="126"/>
      <c r="F91" s="126"/>
      <c r="G91" s="126"/>
      <c r="H91" s="106"/>
      <c r="I91" s="106"/>
      <c r="J91" s="106"/>
    </row>
    <row r="92" spans="3:10" x14ac:dyDescent="0.2">
      <c r="C92" s="127" t="s">
        <v>259</v>
      </c>
      <c r="D92" s="120"/>
      <c r="E92" s="126"/>
      <c r="F92" s="126"/>
      <c r="G92" s="126"/>
      <c r="H92" s="106"/>
      <c r="I92" s="106"/>
      <c r="J92" s="106"/>
    </row>
    <row r="93" spans="3:10" x14ac:dyDescent="0.2">
      <c r="C93" s="127" t="s">
        <v>260</v>
      </c>
      <c r="D93" s="120"/>
      <c r="E93" s="126"/>
      <c r="F93" s="126"/>
      <c r="G93" s="126"/>
      <c r="H93" s="106"/>
      <c r="I93" s="106"/>
      <c r="J93" s="106"/>
    </row>
    <row r="94" spans="3:10" x14ac:dyDescent="0.2">
      <c r="C94" s="127" t="s">
        <v>261</v>
      </c>
      <c r="D94" s="120"/>
      <c r="E94" s="126"/>
      <c r="F94" s="126"/>
      <c r="G94" s="126"/>
      <c r="H94" s="106"/>
      <c r="I94" s="106"/>
      <c r="J94" s="106"/>
    </row>
    <row r="95" spans="3:10" x14ac:dyDescent="0.2">
      <c r="C95" s="127" t="s">
        <v>262</v>
      </c>
      <c r="D95" s="120"/>
      <c r="E95" s="126"/>
      <c r="F95" s="126"/>
      <c r="G95" s="126"/>
      <c r="H95" s="106"/>
      <c r="I95" s="106"/>
      <c r="J95" s="106"/>
    </row>
    <row r="96" spans="3:10" x14ac:dyDescent="0.2">
      <c r="C96" s="105" t="s">
        <v>263</v>
      </c>
      <c r="D96" s="120"/>
      <c r="E96" s="126"/>
      <c r="F96" s="126"/>
      <c r="G96" s="126"/>
      <c r="H96" s="126"/>
      <c r="I96" s="106"/>
      <c r="J96" s="106"/>
    </row>
    <row r="97" spans="3:10" x14ac:dyDescent="0.2">
      <c r="C97" s="127" t="s">
        <v>264</v>
      </c>
      <c r="D97" s="120"/>
      <c r="E97" s="126"/>
      <c r="F97" s="126"/>
      <c r="G97" s="126"/>
      <c r="H97" s="106"/>
      <c r="I97" s="106"/>
      <c r="J97" s="106"/>
    </row>
    <row r="98" spans="3:10" x14ac:dyDescent="0.2">
      <c r="C98" s="68" t="s">
        <v>265</v>
      </c>
      <c r="D98" s="120"/>
      <c r="E98" s="126"/>
      <c r="F98" s="126"/>
      <c r="G98" s="126"/>
      <c r="H98" s="106"/>
      <c r="I98" s="106"/>
      <c r="J98" s="106"/>
    </row>
    <row r="99" spans="3:10" x14ac:dyDescent="0.2">
      <c r="C99" s="68" t="s">
        <v>266</v>
      </c>
      <c r="D99" s="120"/>
      <c r="E99" s="126"/>
      <c r="F99" s="126"/>
      <c r="G99" s="126"/>
      <c r="H99" s="106"/>
      <c r="I99" s="106"/>
      <c r="J99" s="106"/>
    </row>
    <row r="100" spans="3:10" x14ac:dyDescent="0.2">
      <c r="C100" s="68" t="s">
        <v>267</v>
      </c>
      <c r="D100" s="120"/>
      <c r="E100" s="126"/>
      <c r="F100" s="126"/>
      <c r="G100" s="126"/>
      <c r="H100" s="106"/>
      <c r="I100" s="106"/>
      <c r="J100" s="106"/>
    </row>
    <row r="101" spans="3:10" x14ac:dyDescent="0.2">
      <c r="C101" s="68" t="s">
        <v>266</v>
      </c>
      <c r="D101" s="120"/>
      <c r="E101" s="126"/>
      <c r="F101" s="126"/>
      <c r="G101" s="126"/>
      <c r="H101" s="106"/>
      <c r="I101" s="106"/>
      <c r="J101" s="106"/>
    </row>
    <row r="102" spans="3:10" x14ac:dyDescent="0.2">
      <c r="C102" s="68" t="s">
        <v>268</v>
      </c>
      <c r="D102" s="120"/>
      <c r="E102" s="126"/>
      <c r="F102" s="126"/>
      <c r="G102" s="126"/>
      <c r="H102" s="106"/>
      <c r="I102" s="106"/>
      <c r="J102" s="106"/>
    </row>
    <row r="103" spans="3:10" x14ac:dyDescent="0.2">
      <c r="C103" s="127" t="s">
        <v>269</v>
      </c>
      <c r="D103" s="120"/>
      <c r="E103" s="126"/>
      <c r="F103" s="126"/>
      <c r="G103" s="126"/>
      <c r="H103" s="106"/>
      <c r="I103" s="106"/>
      <c r="J103" s="106"/>
    </row>
    <row r="104" spans="3:10" x14ac:dyDescent="0.2">
      <c r="C104" s="127" t="s">
        <v>270</v>
      </c>
      <c r="D104" s="120"/>
      <c r="E104" s="126"/>
      <c r="F104" s="126"/>
      <c r="G104" s="126"/>
      <c r="H104" s="106"/>
      <c r="I104" s="106"/>
      <c r="J104" s="106"/>
    </row>
    <row r="105" spans="3:10" x14ac:dyDescent="0.2">
      <c r="C105" s="69" t="s">
        <v>271</v>
      </c>
      <c r="D105" s="52"/>
      <c r="E105" s="52"/>
      <c r="F105" s="52"/>
      <c r="G105" s="52"/>
      <c r="H105" s="52"/>
      <c r="I105" s="52"/>
      <c r="J105" s="52"/>
    </row>
    <row r="106" spans="3:10" x14ac:dyDescent="0.2">
      <c r="C106" s="120" t="s">
        <v>272</v>
      </c>
      <c r="D106" s="106"/>
      <c r="E106" s="106"/>
      <c r="F106" s="106"/>
      <c r="G106" s="106"/>
      <c r="H106" s="106"/>
      <c r="I106" s="106"/>
      <c r="J106" s="106"/>
    </row>
    <row r="107" spans="3:10" x14ac:dyDescent="0.2">
      <c r="C107" s="69" t="s">
        <v>273</v>
      </c>
      <c r="D107" s="61"/>
      <c r="E107" s="61"/>
      <c r="F107" s="61"/>
      <c r="G107" s="61"/>
      <c r="H107" s="61"/>
      <c r="I107" s="61"/>
      <c r="J107" s="106"/>
    </row>
    <row r="108" spans="3:10" x14ac:dyDescent="0.2">
      <c r="C108" s="120" t="str">
        <f>"4) Determine the PBOPs exclusion.  The authorized amount of PBOPs expense (line "&amp;B68&amp;") may only be revised"</f>
        <v>4) Determine the PBOPs exclusion.  The authorized amount of PBOPs expense (line a) may only be revised</v>
      </c>
      <c r="D108" s="106"/>
      <c r="E108" s="106"/>
      <c r="F108" s="106"/>
      <c r="G108" s="106"/>
      <c r="H108" s="106"/>
      <c r="I108" s="106"/>
      <c r="J108" s="106"/>
    </row>
    <row r="109" spans="3:10" x14ac:dyDescent="0.2">
      <c r="C109" s="120" t="s">
        <v>274</v>
      </c>
      <c r="D109" s="106"/>
      <c r="E109" s="106"/>
      <c r="F109" s="106"/>
      <c r="G109" s="106"/>
      <c r="H109" s="106"/>
      <c r="I109" s="106"/>
      <c r="J109" s="106"/>
    </row>
    <row r="110" spans="3:10" x14ac:dyDescent="0.2">
      <c r="C110" s="120" t="s">
        <v>275</v>
      </c>
      <c r="D110" s="106"/>
      <c r="E110" s="106"/>
      <c r="F110" s="106"/>
      <c r="G110" s="106"/>
      <c r="H110" s="106"/>
      <c r="I110" s="106"/>
      <c r="J110" s="106"/>
    </row>
    <row r="111" spans="3:10" x14ac:dyDescent="0.2">
      <c r="C111" s="120" t="s">
        <v>276</v>
      </c>
      <c r="D111" s="106"/>
      <c r="E111" s="106"/>
      <c r="F111" s="106"/>
      <c r="G111" s="106"/>
      <c r="H111" s="106"/>
      <c r="I111" s="137"/>
      <c r="J111" s="90"/>
    </row>
    <row r="112" spans="3:10" x14ac:dyDescent="0.2">
      <c r="C112" s="120" t="s">
        <v>278</v>
      </c>
      <c r="D112" s="106"/>
      <c r="E112" s="106"/>
      <c r="F112" s="106"/>
      <c r="G112" s="106"/>
      <c r="H112" s="106"/>
      <c r="I112" s="106"/>
    </row>
  </sheetData>
  <pageMargins left="0.75" right="0.75" top="1" bottom="1" header="0.5" footer="0.5"/>
  <pageSetup scale="75" orientation="landscape" cellComments="asDisplayed" r:id="rId1"/>
  <headerFooter alignWithMargins="0">
    <oddHeader>&amp;CSchedule 20
Administrative and General Expenses
(Revised 2012 True Up TRR)
&amp;RTO12 Draft Annual Update
Attachment 4
WP-Schedule 3-One Time Adj True Up Adj
Page &amp;P of &amp;N</oddHeader>
    <oddFooter>&amp;R&amp;A</oddFooter>
  </headerFooter>
  <rowBreaks count="2" manualBreakCount="2">
    <brk id="50" max="9" man="1"/>
    <brk id="74"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41</vt:i4>
      </vt:variant>
    </vt:vector>
  </HeadingPairs>
  <TitlesOfParts>
    <vt:vector size="82" baseType="lpstr">
      <vt:lpstr>One Time Adj Explanation</vt:lpstr>
      <vt:lpstr>WP-Total Adj with Int</vt:lpstr>
      <vt:lpstr>WP-2012 True Up TRR Adj</vt:lpstr>
      <vt:lpstr>WP-2012 Sch4-TUTRR</vt:lpstr>
      <vt:lpstr>WP-2012 Sch5-ROR-1</vt:lpstr>
      <vt:lpstr>WP-2012 Sch5-ROR-2</vt:lpstr>
      <vt:lpstr>WP-2012 Sch7-PlantStudy</vt:lpstr>
      <vt:lpstr>WP-2012 Sch10-CWIP</vt:lpstr>
      <vt:lpstr>WP-2012 Sch20-AandG</vt:lpstr>
      <vt:lpstr>WP-2012 Sch27-Allocators</vt:lpstr>
      <vt:lpstr>WP-2013 True Up TRR Adj</vt:lpstr>
      <vt:lpstr>WP-2013 Sch4-TUTRR</vt:lpstr>
      <vt:lpstr>WP-2013 Sch5-ROR-1</vt:lpstr>
      <vt:lpstr>WP-2013 Sch5-ROR-2</vt:lpstr>
      <vt:lpstr>WP-2013 Sch6-PlantInService</vt:lpstr>
      <vt:lpstr>WP-2013 Sch7-PlantStudy</vt:lpstr>
      <vt:lpstr>WP-2013 Sch8-AccDep</vt:lpstr>
      <vt:lpstr>WP-2013 Sch10-CWIP</vt:lpstr>
      <vt:lpstr>WP-2013 Sch14-IncentivePlant</vt:lpstr>
      <vt:lpstr>WP-2013 Sch20-AandG</vt:lpstr>
      <vt:lpstr>WP-2013 Sch27-Allocators</vt:lpstr>
      <vt:lpstr>WP-2014 True Up TRR Adj</vt:lpstr>
      <vt:lpstr>WP-2014 Sch4-TUTRR</vt:lpstr>
      <vt:lpstr>WP-2014 Sch5-ROR-1</vt:lpstr>
      <vt:lpstr>WP-2014 Sch5-ROR-2</vt:lpstr>
      <vt:lpstr>WP-2014 Sch6-PlantInService</vt:lpstr>
      <vt:lpstr>WP-2014 Sch7-PlantStudy</vt:lpstr>
      <vt:lpstr>WP-2014 Sch8-AccDep</vt:lpstr>
      <vt:lpstr>WP-2014 Sch14-IncentivePlant</vt:lpstr>
      <vt:lpstr>WP-2014 Sch20-AandG</vt:lpstr>
      <vt:lpstr>WP-2014 Sch27-Allocators</vt:lpstr>
      <vt:lpstr>WP-2015 True Up TRR Adj</vt:lpstr>
      <vt:lpstr>WP-2015 Sch4-TUTRR</vt:lpstr>
      <vt:lpstr>WP-2015 Sch5-ROR-1</vt:lpstr>
      <vt:lpstr>WP-2015 Sch5-ROR-2</vt:lpstr>
      <vt:lpstr>WP-2015 Sch6-PlantInService</vt:lpstr>
      <vt:lpstr>WP-2015 Sch7-PlantStudy</vt:lpstr>
      <vt:lpstr>WP-2015 Sch8-AccDep</vt:lpstr>
      <vt:lpstr>WP-2015 Sch14-IncentivePlant</vt:lpstr>
      <vt:lpstr>WP-2015 Sch20-AandG</vt:lpstr>
      <vt:lpstr>WP-2015 Sch27-Allocators</vt:lpstr>
      <vt:lpstr>'One Time Adj Explanation'!Print_Area</vt:lpstr>
      <vt:lpstr>'WP-2012 Sch10-CWIP'!Print_Area</vt:lpstr>
      <vt:lpstr>'WP-2012 Sch20-AandG'!Print_Area</vt:lpstr>
      <vt:lpstr>'WP-2012 Sch27-Allocators'!Print_Area</vt:lpstr>
      <vt:lpstr>'WP-2012 Sch4-TUTRR'!Print_Area</vt:lpstr>
      <vt:lpstr>'WP-2012 Sch5-ROR-1'!Print_Area</vt:lpstr>
      <vt:lpstr>'WP-2012 Sch5-ROR-2'!Print_Area</vt:lpstr>
      <vt:lpstr>'WP-2012 Sch7-PlantStudy'!Print_Area</vt:lpstr>
      <vt:lpstr>'WP-2012 True Up TRR Adj'!Print_Area</vt:lpstr>
      <vt:lpstr>'WP-2013 Sch10-CWIP'!Print_Area</vt:lpstr>
      <vt:lpstr>'WP-2013 Sch14-IncentivePlant'!Print_Area</vt:lpstr>
      <vt:lpstr>'WP-2013 Sch20-AandG'!Print_Area</vt:lpstr>
      <vt:lpstr>'WP-2013 Sch27-Allocators'!Print_Area</vt:lpstr>
      <vt:lpstr>'WP-2013 Sch4-TUTRR'!Print_Area</vt:lpstr>
      <vt:lpstr>'WP-2013 Sch5-ROR-1'!Print_Area</vt:lpstr>
      <vt:lpstr>'WP-2013 Sch5-ROR-2'!Print_Area</vt:lpstr>
      <vt:lpstr>'WP-2013 Sch6-PlantInService'!Print_Area</vt:lpstr>
      <vt:lpstr>'WP-2013 Sch7-PlantStudy'!Print_Area</vt:lpstr>
      <vt:lpstr>'WP-2013 Sch8-AccDep'!Print_Area</vt:lpstr>
      <vt:lpstr>'WP-2013 True Up TRR Adj'!Print_Area</vt:lpstr>
      <vt:lpstr>'WP-2014 Sch14-IncentivePlant'!Print_Area</vt:lpstr>
      <vt:lpstr>'WP-2014 Sch20-AandG'!Print_Area</vt:lpstr>
      <vt:lpstr>'WP-2014 Sch27-Allocators'!Print_Area</vt:lpstr>
      <vt:lpstr>'WP-2014 Sch4-TUTRR'!Print_Area</vt:lpstr>
      <vt:lpstr>'WP-2014 Sch5-ROR-1'!Print_Area</vt:lpstr>
      <vt:lpstr>'WP-2014 Sch5-ROR-2'!Print_Area</vt:lpstr>
      <vt:lpstr>'WP-2014 Sch6-PlantInService'!Print_Area</vt:lpstr>
      <vt:lpstr>'WP-2014 Sch7-PlantStudy'!Print_Area</vt:lpstr>
      <vt:lpstr>'WP-2014 Sch8-AccDep'!Print_Area</vt:lpstr>
      <vt:lpstr>'WP-2014 True Up TRR Adj'!Print_Area</vt:lpstr>
      <vt:lpstr>'WP-2015 Sch14-IncentivePlant'!Print_Area</vt:lpstr>
      <vt:lpstr>'WP-2015 Sch20-AandG'!Print_Area</vt:lpstr>
      <vt:lpstr>'WP-2015 Sch27-Allocators'!Print_Area</vt:lpstr>
      <vt:lpstr>'WP-2015 Sch4-TUTRR'!Print_Area</vt:lpstr>
      <vt:lpstr>'WP-2015 Sch5-ROR-1'!Print_Area</vt:lpstr>
      <vt:lpstr>'WP-2015 Sch5-ROR-2'!Print_Area</vt:lpstr>
      <vt:lpstr>'WP-2015 Sch6-PlantInService'!Print_Area</vt:lpstr>
      <vt:lpstr>'WP-2015 Sch7-PlantStudy'!Print_Area</vt:lpstr>
      <vt:lpstr>'WP-2015 Sch8-AccDep'!Print_Area</vt:lpstr>
      <vt:lpstr>'WP-2015 True Up TRR Adj'!Print_Area</vt:lpstr>
      <vt:lpstr>'WP-Total Adj with Int'!Print_Area</vt:lpstr>
    </vt:vector>
  </TitlesOfParts>
  <Company>Edison International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 Hansen</dc:creator>
  <cp:lastModifiedBy>Kim, Jee Young</cp:lastModifiedBy>
  <cp:lastPrinted>2017-06-15T02:01:11Z</cp:lastPrinted>
  <dcterms:created xsi:type="dcterms:W3CDTF">2009-02-27T16:01:11Z</dcterms:created>
  <dcterms:modified xsi:type="dcterms:W3CDTF">2017-06-15T02:12:03Z</dcterms:modified>
</cp:coreProperties>
</file>