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backupFile="1" codeName="ThisWorkbook" defaultThemeVersion="124226"/>
  <bookViews>
    <workbookView xWindow="-15" yWindow="6435" windowWidth="17400" windowHeight="6495"/>
  </bookViews>
  <sheets>
    <sheet name="FERC CWIP Capex (Jan'12-Sep'13)" sheetId="1" r:id="rId1"/>
  </sheets>
  <definedNames>
    <definedName name="_1_2005_Cap_Labor_Cost_by_Union_Code">#REF!</definedName>
    <definedName name="_2_2005_YTD_from_BPRS">#REF!</definedName>
    <definedName name="Cost">#REF!</definedName>
    <definedName name="Data_put">#REF!</definedName>
    <definedName name="Final___5_yr_TDBU_Capital_Budget">#REF!</definedName>
    <definedName name="Meters">#REF!</definedName>
    <definedName name="_xlnm.Print_Area" localSheetId="0">'FERC CWIP Capex (Jan''12-Sep''13)'!$A$1:$AA$155</definedName>
    <definedName name="_xlnm.Print_Titles" localSheetId="0">'FERC CWIP Capex (Jan''12-Sep''13)'!$A:$B,'FERC CWIP Capex (Jan''12-Sep''13)'!$1:$2</definedName>
  </definedNames>
  <calcPr calcId="145621"/>
</workbook>
</file>

<file path=xl/calcChain.xml><?xml version="1.0" encoding="utf-8"?>
<calcChain xmlns="http://schemas.openxmlformats.org/spreadsheetml/2006/main">
  <c r="Z9" i="1" l="1"/>
  <c r="Z10" i="1"/>
  <c r="P10" i="1"/>
  <c r="Y19" i="1" l="1"/>
  <c r="X19" i="1"/>
  <c r="W19" i="1"/>
  <c r="V19" i="1"/>
  <c r="U19" i="1"/>
  <c r="T19" i="1"/>
  <c r="S19" i="1"/>
  <c r="R19" i="1"/>
  <c r="Q19" i="1"/>
  <c r="O19" i="1"/>
  <c r="N19" i="1"/>
  <c r="M19" i="1"/>
  <c r="L19" i="1"/>
  <c r="K19" i="1"/>
  <c r="J19" i="1"/>
  <c r="I19" i="1"/>
  <c r="H19" i="1"/>
  <c r="G19" i="1"/>
  <c r="F19" i="1"/>
  <c r="E19" i="1"/>
  <c r="D19" i="1"/>
  <c r="X92" i="1" l="1"/>
  <c r="W92" i="1"/>
  <c r="V92" i="1"/>
  <c r="U92" i="1"/>
  <c r="T92" i="1"/>
  <c r="S92" i="1"/>
  <c r="R92" i="1"/>
  <c r="Q92" i="1"/>
  <c r="N92" i="1"/>
  <c r="M92" i="1"/>
  <c r="L92" i="1"/>
  <c r="K92" i="1"/>
  <c r="J92" i="1"/>
  <c r="I92" i="1"/>
  <c r="H92" i="1"/>
  <c r="G92" i="1"/>
  <c r="F92" i="1"/>
  <c r="E92" i="1"/>
  <c r="D92" i="1"/>
  <c r="Q153" i="1" l="1"/>
  <c r="R153" i="1"/>
  <c r="S153" i="1"/>
  <c r="T153" i="1"/>
  <c r="U153" i="1"/>
  <c r="V153" i="1"/>
  <c r="W153" i="1"/>
  <c r="X153" i="1"/>
  <c r="Y153" i="1"/>
  <c r="Z152" i="1"/>
  <c r="Z151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2" i="1"/>
  <c r="P151" i="1"/>
  <c r="C151" i="1" s="1"/>
  <c r="Q148" i="1"/>
  <c r="R148" i="1"/>
  <c r="S148" i="1"/>
  <c r="T148" i="1"/>
  <c r="U148" i="1"/>
  <c r="V148" i="1"/>
  <c r="W148" i="1"/>
  <c r="X148" i="1"/>
  <c r="Y148" i="1"/>
  <c r="Z146" i="1"/>
  <c r="Z145" i="1"/>
  <c r="Z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6" i="1"/>
  <c r="P145" i="1"/>
  <c r="C145" i="1" s="1"/>
  <c r="P147" i="1"/>
  <c r="Q142" i="1"/>
  <c r="R142" i="1"/>
  <c r="S142" i="1"/>
  <c r="T142" i="1"/>
  <c r="U142" i="1"/>
  <c r="V142" i="1"/>
  <c r="W142" i="1"/>
  <c r="X142" i="1"/>
  <c r="Y142" i="1"/>
  <c r="Z138" i="1"/>
  <c r="Z137" i="1"/>
  <c r="Z141" i="1"/>
  <c r="Z139" i="1"/>
  <c r="Z140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38" i="1"/>
  <c r="P137" i="1"/>
  <c r="P141" i="1"/>
  <c r="P139" i="1"/>
  <c r="P140" i="1"/>
  <c r="C137" i="1" l="1"/>
  <c r="C152" i="1"/>
  <c r="P148" i="1"/>
  <c r="C146" i="1"/>
  <c r="C141" i="1"/>
  <c r="C140" i="1"/>
  <c r="C138" i="1"/>
  <c r="C147" i="1"/>
  <c r="P153" i="1"/>
  <c r="Z153" i="1"/>
  <c r="Z148" i="1"/>
  <c r="C148" i="1" s="1"/>
  <c r="P142" i="1"/>
  <c r="C139" i="1"/>
  <c r="Z142" i="1"/>
  <c r="C153" i="1" l="1"/>
  <c r="C142" i="1"/>
  <c r="Q134" i="1" l="1"/>
  <c r="R134" i="1"/>
  <c r="S134" i="1"/>
  <c r="T134" i="1"/>
  <c r="U134" i="1"/>
  <c r="V134" i="1"/>
  <c r="W134" i="1"/>
  <c r="X134" i="1"/>
  <c r="Y134" i="1"/>
  <c r="Z132" i="1"/>
  <c r="Z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2" i="1"/>
  <c r="P133" i="1"/>
  <c r="Q63" i="1"/>
  <c r="R63" i="1"/>
  <c r="S63" i="1"/>
  <c r="T63" i="1"/>
  <c r="U63" i="1"/>
  <c r="V63" i="1"/>
  <c r="W63" i="1"/>
  <c r="X63" i="1"/>
  <c r="E63" i="1"/>
  <c r="F63" i="1"/>
  <c r="G63" i="1"/>
  <c r="H63" i="1"/>
  <c r="I63" i="1"/>
  <c r="J63" i="1"/>
  <c r="K63" i="1"/>
  <c r="L63" i="1"/>
  <c r="M63" i="1"/>
  <c r="N63" i="1"/>
  <c r="D63" i="1"/>
  <c r="Q129" i="1"/>
  <c r="R129" i="1"/>
  <c r="S129" i="1"/>
  <c r="T129" i="1"/>
  <c r="U129" i="1"/>
  <c r="V129" i="1"/>
  <c r="W129" i="1"/>
  <c r="X129" i="1"/>
  <c r="Y129" i="1"/>
  <c r="Z125" i="1"/>
  <c r="Z124" i="1"/>
  <c r="Z126" i="1"/>
  <c r="Z127" i="1"/>
  <c r="Z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5" i="1"/>
  <c r="P124" i="1"/>
  <c r="P126" i="1"/>
  <c r="C126" i="1" s="1"/>
  <c r="P127" i="1"/>
  <c r="P128" i="1"/>
  <c r="Q121" i="1"/>
  <c r="R121" i="1"/>
  <c r="S121" i="1"/>
  <c r="T121" i="1"/>
  <c r="U121" i="1"/>
  <c r="V121" i="1"/>
  <c r="W121" i="1"/>
  <c r="X121" i="1"/>
  <c r="Y121" i="1"/>
  <c r="Z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0" i="1"/>
  <c r="C120" i="1" l="1"/>
  <c r="C128" i="1"/>
  <c r="C125" i="1"/>
  <c r="C132" i="1"/>
  <c r="C133" i="1"/>
  <c r="P134" i="1"/>
  <c r="Z134" i="1"/>
  <c r="P121" i="1"/>
  <c r="C127" i="1"/>
  <c r="Z129" i="1"/>
  <c r="C124" i="1"/>
  <c r="Z121" i="1"/>
  <c r="P129" i="1"/>
  <c r="Q117" i="1"/>
  <c r="R117" i="1"/>
  <c r="S117" i="1"/>
  <c r="T117" i="1"/>
  <c r="U117" i="1"/>
  <c r="V117" i="1"/>
  <c r="W117" i="1"/>
  <c r="X117" i="1"/>
  <c r="Y117" i="1"/>
  <c r="Z111" i="1"/>
  <c r="Z112" i="1"/>
  <c r="Z113" i="1"/>
  <c r="Z114" i="1"/>
  <c r="Z115" i="1"/>
  <c r="Z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1" i="1"/>
  <c r="P112" i="1"/>
  <c r="P113" i="1"/>
  <c r="P114" i="1"/>
  <c r="C114" i="1" s="1"/>
  <c r="P115" i="1"/>
  <c r="P116" i="1"/>
  <c r="C121" i="1" l="1"/>
  <c r="C113" i="1"/>
  <c r="C129" i="1"/>
  <c r="C134" i="1"/>
  <c r="C116" i="1"/>
  <c r="C112" i="1"/>
  <c r="C115" i="1"/>
  <c r="C111" i="1"/>
  <c r="P117" i="1"/>
  <c r="Z117" i="1"/>
  <c r="C10" i="1"/>
  <c r="Z4" i="1"/>
  <c r="Z15" i="1"/>
  <c r="Z16" i="1"/>
  <c r="Z5" i="1"/>
  <c r="Z12" i="1"/>
  <c r="Z6" i="1"/>
  <c r="Z7" i="1"/>
  <c r="Z8" i="1"/>
  <c r="Z11" i="1"/>
  <c r="Z13" i="1"/>
  <c r="Z14" i="1"/>
  <c r="Z17" i="1"/>
  <c r="Z18" i="1"/>
  <c r="P4" i="1"/>
  <c r="P15" i="1"/>
  <c r="P16" i="1"/>
  <c r="P5" i="1"/>
  <c r="P12" i="1"/>
  <c r="P6" i="1"/>
  <c r="P7" i="1"/>
  <c r="P8" i="1"/>
  <c r="P9" i="1"/>
  <c r="C9" i="1" s="1"/>
  <c r="P11" i="1"/>
  <c r="P13" i="1"/>
  <c r="P14" i="1"/>
  <c r="P17" i="1"/>
  <c r="P18" i="1"/>
  <c r="P19" i="1" l="1"/>
  <c r="Z19" i="1"/>
  <c r="C8" i="1"/>
  <c r="C5" i="1"/>
  <c r="C6" i="1"/>
  <c r="C15" i="1"/>
  <c r="C7" i="1"/>
  <c r="C16" i="1"/>
  <c r="C12" i="1"/>
  <c r="C4" i="1"/>
  <c r="C18" i="1"/>
  <c r="C11" i="1"/>
  <c r="C14" i="1"/>
  <c r="C117" i="1"/>
  <c r="C13" i="1"/>
  <c r="C17" i="1"/>
  <c r="C19" i="1" l="1"/>
  <c r="P54" i="1"/>
  <c r="O96" i="1" l="1"/>
  <c r="O97" i="1" s="1"/>
  <c r="O81" i="1"/>
  <c r="O92" i="1" s="1"/>
  <c r="O72" i="1"/>
  <c r="P72" i="1" s="1"/>
  <c r="O62" i="1"/>
  <c r="O63" i="1" s="1"/>
  <c r="O42" i="1"/>
  <c r="O43" i="1" s="1"/>
  <c r="O31" i="1"/>
  <c r="O24" i="1"/>
  <c r="P24" i="1" s="1"/>
  <c r="C24" i="1" s="1"/>
  <c r="Y83" i="1"/>
  <c r="Y92" i="1" s="1"/>
  <c r="Y71" i="1"/>
  <c r="Y61" i="1"/>
  <c r="Y63" i="1" s="1"/>
  <c r="N69" i="1"/>
  <c r="N73" i="1" s="1"/>
  <c r="O69" i="1"/>
  <c r="Y69" i="1"/>
  <c r="X69" i="1"/>
  <c r="W69" i="1"/>
  <c r="W73" i="1" s="1"/>
  <c r="U69" i="1"/>
  <c r="T69" i="1"/>
  <c r="S69" i="1"/>
  <c r="S73" i="1" s="1"/>
  <c r="R69" i="1"/>
  <c r="Q69" i="1"/>
  <c r="M69" i="1"/>
  <c r="L69" i="1"/>
  <c r="L73" i="1" s="1"/>
  <c r="K69" i="1"/>
  <c r="J69" i="1"/>
  <c r="I69" i="1"/>
  <c r="H69" i="1"/>
  <c r="H73" i="1" s="1"/>
  <c r="G69" i="1"/>
  <c r="H30" i="1"/>
  <c r="H35" i="1" s="1"/>
  <c r="O26" i="1"/>
  <c r="O104" i="1"/>
  <c r="Z96" i="1"/>
  <c r="O57" i="1"/>
  <c r="O51" i="1"/>
  <c r="O35" i="1"/>
  <c r="Z83" i="1"/>
  <c r="Z66" i="1"/>
  <c r="Z67" i="1"/>
  <c r="Z68" i="1"/>
  <c r="Z70" i="1"/>
  <c r="Z71" i="1"/>
  <c r="N35" i="1"/>
  <c r="M35" i="1"/>
  <c r="L35" i="1"/>
  <c r="K35" i="1"/>
  <c r="J35" i="1"/>
  <c r="I35" i="1"/>
  <c r="G35" i="1"/>
  <c r="P89" i="1"/>
  <c r="P78" i="1"/>
  <c r="P77" i="1"/>
  <c r="P76" i="1"/>
  <c r="P70" i="1"/>
  <c r="C70" i="1" s="1"/>
  <c r="P40" i="1"/>
  <c r="Z102" i="1"/>
  <c r="Z101" i="1"/>
  <c r="Z100" i="1"/>
  <c r="Z103" i="1"/>
  <c r="Z95" i="1"/>
  <c r="Z90" i="1"/>
  <c r="Z89" i="1"/>
  <c r="C89" i="1" s="1"/>
  <c r="Z88" i="1"/>
  <c r="Z87" i="1"/>
  <c r="Z86" i="1"/>
  <c r="Z85" i="1"/>
  <c r="Z84" i="1"/>
  <c r="Z82" i="1"/>
  <c r="Z81" i="1"/>
  <c r="Z80" i="1"/>
  <c r="Z79" i="1"/>
  <c r="Z91" i="1"/>
  <c r="Z78" i="1"/>
  <c r="Z77" i="1"/>
  <c r="Z76" i="1"/>
  <c r="Z72" i="1"/>
  <c r="Z61" i="1"/>
  <c r="Z60" i="1"/>
  <c r="Z62" i="1"/>
  <c r="Z55" i="1"/>
  <c r="Z54" i="1"/>
  <c r="C54" i="1" s="1"/>
  <c r="Z56" i="1"/>
  <c r="Z49" i="1"/>
  <c r="Z48" i="1"/>
  <c r="Z47" i="1"/>
  <c r="Z46" i="1"/>
  <c r="Z50" i="1"/>
  <c r="Z41" i="1"/>
  <c r="Z40" i="1"/>
  <c r="Z39" i="1"/>
  <c r="Z38" i="1"/>
  <c r="Z42" i="1"/>
  <c r="Z31" i="1"/>
  <c r="P34" i="1"/>
  <c r="C34" i="1" s="1"/>
  <c r="E97" i="1"/>
  <c r="E104" i="1"/>
  <c r="P25" i="1"/>
  <c r="C25" i="1" s="1"/>
  <c r="P26" i="1"/>
  <c r="C26" i="1" s="1"/>
  <c r="E73" i="1"/>
  <c r="F35" i="1"/>
  <c r="E35" i="1"/>
  <c r="D104" i="1"/>
  <c r="F104" i="1"/>
  <c r="E27" i="1"/>
  <c r="P41" i="1"/>
  <c r="P46" i="1"/>
  <c r="P48" i="1"/>
  <c r="P56" i="1"/>
  <c r="P60" i="1"/>
  <c r="P67" i="1"/>
  <c r="P91" i="1"/>
  <c r="P80" i="1"/>
  <c r="P82" i="1"/>
  <c r="P83" i="1"/>
  <c r="C83" i="1" s="1"/>
  <c r="P85" i="1"/>
  <c r="P88" i="1"/>
  <c r="P103" i="1"/>
  <c r="C103" i="1" s="1"/>
  <c r="P101" i="1"/>
  <c r="C101" i="1" s="1"/>
  <c r="P39" i="1"/>
  <c r="P50" i="1"/>
  <c r="C50" i="1" s="1"/>
  <c r="P47" i="1"/>
  <c r="P49" i="1"/>
  <c r="P62" i="1"/>
  <c r="P61" i="1"/>
  <c r="P66" i="1"/>
  <c r="C66" i="1" s="1"/>
  <c r="P68" i="1"/>
  <c r="P71" i="1"/>
  <c r="P79" i="1"/>
  <c r="C79" i="1" s="1"/>
  <c r="P81" i="1"/>
  <c r="C81" i="1" s="1"/>
  <c r="P84" i="1"/>
  <c r="P86" i="1"/>
  <c r="C86" i="1" s="1"/>
  <c r="P87" i="1"/>
  <c r="P90" i="1"/>
  <c r="C90" i="1" s="1"/>
  <c r="F97" i="1"/>
  <c r="P95" i="1"/>
  <c r="P100" i="1"/>
  <c r="P102" i="1"/>
  <c r="D73" i="1"/>
  <c r="F73" i="1"/>
  <c r="D97" i="1"/>
  <c r="P38" i="1"/>
  <c r="C38" i="1" s="1"/>
  <c r="P33" i="1"/>
  <c r="C33" i="1" s="1"/>
  <c r="P31" i="1"/>
  <c r="P32" i="1"/>
  <c r="C32" i="1" s="1"/>
  <c r="P30" i="1"/>
  <c r="C30" i="1" s="1"/>
  <c r="P55" i="1"/>
  <c r="P42" i="1"/>
  <c r="F57" i="1"/>
  <c r="E57" i="1"/>
  <c r="F51" i="1"/>
  <c r="E51" i="1"/>
  <c r="F43" i="1"/>
  <c r="E43" i="1"/>
  <c r="F27" i="1"/>
  <c r="D51" i="1"/>
  <c r="D43" i="1"/>
  <c r="D35" i="1"/>
  <c r="D27" i="1"/>
  <c r="D57" i="1"/>
  <c r="Y104" i="1"/>
  <c r="X104" i="1"/>
  <c r="W104" i="1"/>
  <c r="V104" i="1"/>
  <c r="U104" i="1"/>
  <c r="T104" i="1"/>
  <c r="S104" i="1"/>
  <c r="R104" i="1"/>
  <c r="Q104" i="1"/>
  <c r="N104" i="1"/>
  <c r="M104" i="1"/>
  <c r="L104" i="1"/>
  <c r="K104" i="1"/>
  <c r="J104" i="1"/>
  <c r="I104" i="1"/>
  <c r="H104" i="1"/>
  <c r="G104" i="1"/>
  <c r="Y97" i="1"/>
  <c r="X97" i="1"/>
  <c r="W97" i="1"/>
  <c r="V97" i="1"/>
  <c r="U97" i="1"/>
  <c r="T97" i="1"/>
  <c r="S97" i="1"/>
  <c r="R97" i="1"/>
  <c r="Q97" i="1"/>
  <c r="N97" i="1"/>
  <c r="M97" i="1"/>
  <c r="L97" i="1"/>
  <c r="K97" i="1"/>
  <c r="J97" i="1"/>
  <c r="I97" i="1"/>
  <c r="H97" i="1"/>
  <c r="G97" i="1"/>
  <c r="Y73" i="1"/>
  <c r="X73" i="1"/>
  <c r="V73" i="1"/>
  <c r="U73" i="1"/>
  <c r="T73" i="1"/>
  <c r="R73" i="1"/>
  <c r="Q73" i="1"/>
  <c r="M73" i="1"/>
  <c r="K73" i="1"/>
  <c r="J73" i="1"/>
  <c r="I73" i="1"/>
  <c r="G73" i="1"/>
  <c r="Y57" i="1"/>
  <c r="X57" i="1"/>
  <c r="W57" i="1"/>
  <c r="V57" i="1"/>
  <c r="U57" i="1"/>
  <c r="T57" i="1"/>
  <c r="S57" i="1"/>
  <c r="R57" i="1"/>
  <c r="Q57" i="1"/>
  <c r="N57" i="1"/>
  <c r="M57" i="1"/>
  <c r="L57" i="1"/>
  <c r="K57" i="1"/>
  <c r="J57" i="1"/>
  <c r="I57" i="1"/>
  <c r="H57" i="1"/>
  <c r="G57" i="1"/>
  <c r="Y51" i="1"/>
  <c r="X51" i="1"/>
  <c r="W51" i="1"/>
  <c r="V51" i="1"/>
  <c r="U51" i="1"/>
  <c r="T51" i="1"/>
  <c r="S51" i="1"/>
  <c r="R51" i="1"/>
  <c r="Q51" i="1"/>
  <c r="N51" i="1"/>
  <c r="M51" i="1"/>
  <c r="L51" i="1"/>
  <c r="K51" i="1"/>
  <c r="J51" i="1"/>
  <c r="I51" i="1"/>
  <c r="H51" i="1"/>
  <c r="G51" i="1"/>
  <c r="Y43" i="1"/>
  <c r="X43" i="1"/>
  <c r="W43" i="1"/>
  <c r="V43" i="1"/>
  <c r="U43" i="1"/>
  <c r="T43" i="1"/>
  <c r="S43" i="1"/>
  <c r="R43" i="1"/>
  <c r="Q43" i="1"/>
  <c r="N43" i="1"/>
  <c r="M43" i="1"/>
  <c r="L43" i="1"/>
  <c r="K43" i="1"/>
  <c r="J43" i="1"/>
  <c r="I43" i="1"/>
  <c r="H43" i="1"/>
  <c r="G43" i="1"/>
  <c r="Y35" i="1"/>
  <c r="X35" i="1"/>
  <c r="W35" i="1"/>
  <c r="V35" i="1"/>
  <c r="U35" i="1"/>
  <c r="T35" i="1"/>
  <c r="S35" i="1"/>
  <c r="R35" i="1"/>
  <c r="Q35" i="1"/>
  <c r="Y27" i="1"/>
  <c r="X27" i="1"/>
  <c r="W27" i="1"/>
  <c r="V27" i="1"/>
  <c r="U27" i="1"/>
  <c r="T27" i="1"/>
  <c r="S27" i="1"/>
  <c r="R27" i="1"/>
  <c r="Q27" i="1"/>
  <c r="N27" i="1"/>
  <c r="N106" i="1" s="1"/>
  <c r="M27" i="1"/>
  <c r="L27" i="1"/>
  <c r="L106" i="1" s="1"/>
  <c r="K27" i="1"/>
  <c r="K106" i="1" s="1"/>
  <c r="J27" i="1"/>
  <c r="J106" i="1" s="1"/>
  <c r="I27" i="1"/>
  <c r="H27" i="1"/>
  <c r="G27" i="1"/>
  <c r="G106" i="1" s="1"/>
  <c r="AA108" i="1"/>
  <c r="AA107" i="1"/>
  <c r="T106" i="1" l="1"/>
  <c r="X106" i="1"/>
  <c r="C95" i="1"/>
  <c r="C71" i="1"/>
  <c r="C100" i="1"/>
  <c r="P96" i="1"/>
  <c r="C96" i="1" s="1"/>
  <c r="F106" i="1"/>
  <c r="Z104" i="1"/>
  <c r="P57" i="1"/>
  <c r="C85" i="1"/>
  <c r="Z92" i="1"/>
  <c r="C87" i="1"/>
  <c r="P92" i="1"/>
  <c r="C92" i="1" s="1"/>
  <c r="I106" i="1"/>
  <c r="M106" i="1"/>
  <c r="C62" i="1"/>
  <c r="C77" i="1"/>
  <c r="C102" i="1"/>
  <c r="C49" i="1"/>
  <c r="P63" i="1"/>
  <c r="C76" i="1"/>
  <c r="Z63" i="1"/>
  <c r="C67" i="1"/>
  <c r="C82" i="1"/>
  <c r="H106" i="1"/>
  <c r="C91" i="1"/>
  <c r="C48" i="1"/>
  <c r="R107" i="1"/>
  <c r="R108" i="1" s="1"/>
  <c r="R155" i="1" s="1"/>
  <c r="R106" i="1"/>
  <c r="V106" i="1"/>
  <c r="D106" i="1"/>
  <c r="C41" i="1"/>
  <c r="O73" i="1"/>
  <c r="O107" i="1" s="1"/>
  <c r="E106" i="1"/>
  <c r="Q106" i="1"/>
  <c r="U106" i="1"/>
  <c r="Y106" i="1"/>
  <c r="S106" i="1"/>
  <c r="W106" i="1"/>
  <c r="C72" i="1"/>
  <c r="P43" i="1"/>
  <c r="Z51" i="1"/>
  <c r="I107" i="1"/>
  <c r="I108" i="1" s="1"/>
  <c r="I155" i="1" s="1"/>
  <c r="C42" i="1"/>
  <c r="O27" i="1"/>
  <c r="C56" i="1"/>
  <c r="Z69" i="1"/>
  <c r="Z73" i="1" s="1"/>
  <c r="C31" i="1"/>
  <c r="C84" i="1"/>
  <c r="C46" i="1"/>
  <c r="C40" i="1"/>
  <c r="E107" i="1"/>
  <c r="E108" i="1" s="1"/>
  <c r="E155" i="1" s="1"/>
  <c r="C68" i="1"/>
  <c r="C39" i="1"/>
  <c r="C88" i="1"/>
  <c r="C80" i="1"/>
  <c r="C60" i="1"/>
  <c r="C78" i="1"/>
  <c r="P69" i="1"/>
  <c r="M107" i="1"/>
  <c r="M108" i="1" s="1"/>
  <c r="M155" i="1" s="1"/>
  <c r="V107" i="1"/>
  <c r="V108" i="1" s="1"/>
  <c r="V155" i="1" s="1"/>
  <c r="Z97" i="1"/>
  <c r="F107" i="1"/>
  <c r="F108" i="1" s="1"/>
  <c r="F155" i="1" s="1"/>
  <c r="C55" i="1"/>
  <c r="P104" i="1"/>
  <c r="C104" i="1" s="1"/>
  <c r="S107" i="1"/>
  <c r="S108" i="1" s="1"/>
  <c r="S155" i="1" s="1"/>
  <c r="W107" i="1"/>
  <c r="W108" i="1" s="1"/>
  <c r="W155" i="1" s="1"/>
  <c r="H107" i="1"/>
  <c r="H108" i="1" s="1"/>
  <c r="H155" i="1" s="1"/>
  <c r="L107" i="1"/>
  <c r="L108" i="1" s="1"/>
  <c r="L155" i="1" s="1"/>
  <c r="Z57" i="1"/>
  <c r="D107" i="1"/>
  <c r="D108" i="1" s="1"/>
  <c r="D155" i="1" s="1"/>
  <c r="P97" i="1"/>
  <c r="C97" i="1" s="1"/>
  <c r="Z27" i="1"/>
  <c r="Z35" i="1"/>
  <c r="G107" i="1"/>
  <c r="G108" i="1" s="1"/>
  <c r="G155" i="1" s="1"/>
  <c r="K107" i="1"/>
  <c r="K108" i="1" s="1"/>
  <c r="K155" i="1" s="1"/>
  <c r="Q107" i="1"/>
  <c r="Q108" i="1" s="1"/>
  <c r="Q155" i="1" s="1"/>
  <c r="U107" i="1"/>
  <c r="U108" i="1" s="1"/>
  <c r="U155" i="1" s="1"/>
  <c r="Y107" i="1"/>
  <c r="Y108" i="1" s="1"/>
  <c r="Y155" i="1" s="1"/>
  <c r="J107" i="1"/>
  <c r="J108" i="1" s="1"/>
  <c r="J155" i="1" s="1"/>
  <c r="N107" i="1"/>
  <c r="N108" i="1" s="1"/>
  <c r="N155" i="1" s="1"/>
  <c r="X107" i="1"/>
  <c r="X108" i="1" s="1"/>
  <c r="X155" i="1" s="1"/>
  <c r="C61" i="1"/>
  <c r="C47" i="1"/>
  <c r="T107" i="1"/>
  <c r="T108" i="1" s="1"/>
  <c r="T155" i="1" s="1"/>
  <c r="P51" i="1"/>
  <c r="Z43" i="1"/>
  <c r="P35" i="1"/>
  <c r="C57" i="1" l="1"/>
  <c r="Z107" i="1"/>
  <c r="Z108" i="1" s="1"/>
  <c r="Z155" i="1" s="1"/>
  <c r="Z106" i="1"/>
  <c r="C69" i="1"/>
  <c r="O106" i="1"/>
  <c r="C35" i="1"/>
  <c r="C51" i="1"/>
  <c r="O108" i="1"/>
  <c r="O155" i="1" s="1"/>
  <c r="P27" i="1"/>
  <c r="C63" i="1"/>
  <c r="P73" i="1"/>
  <c r="C73" i="1" s="1"/>
  <c r="C43" i="1"/>
  <c r="P107" i="1" l="1"/>
  <c r="C107" i="1" s="1"/>
  <c r="C27" i="1"/>
  <c r="C106" i="1" s="1"/>
  <c r="P106" i="1"/>
  <c r="P108" i="1" l="1"/>
  <c r="C108" i="1" l="1"/>
  <c r="C155" i="1" s="1"/>
  <c r="P155" i="1"/>
</calcChain>
</file>

<file path=xl/sharedStrings.xml><?xml version="1.0" encoding="utf-8"?>
<sst xmlns="http://schemas.openxmlformats.org/spreadsheetml/2006/main" count="142" uniqueCount="139">
  <si>
    <t>Description</t>
  </si>
  <si>
    <t>Segment 4</t>
  </si>
  <si>
    <t>Segment 5</t>
  </si>
  <si>
    <t>Segment 6</t>
  </si>
  <si>
    <t>Segment 7</t>
  </si>
  <si>
    <t>Segment 8</t>
  </si>
  <si>
    <t>Segment 9</t>
  </si>
  <si>
    <t>Segment 10</t>
  </si>
  <si>
    <t>Segment 11</t>
  </si>
  <si>
    <t>Total Segment 4</t>
  </si>
  <si>
    <t>Total Segment 5</t>
  </si>
  <si>
    <t>Total Segment 6</t>
  </si>
  <si>
    <t>Total Segment 7</t>
  </si>
  <si>
    <t>Total Segment 8</t>
  </si>
  <si>
    <t>Total Segment 9</t>
  </si>
  <si>
    <t>Total Segment 10</t>
  </si>
  <si>
    <t>Total Segment 11</t>
  </si>
  <si>
    <t>Grand Total</t>
  </si>
  <si>
    <t>230 kV Transmission Line Between Highwind and Winhub Substations</t>
  </si>
  <si>
    <t>Highwind Substation Construction</t>
  </si>
  <si>
    <t>Total Segment 3B</t>
  </si>
  <si>
    <t>Magunden Relays</t>
  </si>
  <si>
    <t>TRTP: Segment 4 Real Properties</t>
  </si>
  <si>
    <t>Total Segment 3C</t>
  </si>
  <si>
    <t>TRTP: Segment 5 Real Properties</t>
  </si>
  <si>
    <t>TRTP 4-11: Licensing</t>
  </si>
  <si>
    <t>TRTP: Segment 10 Real Properties</t>
  </si>
  <si>
    <t>TRTP SEGMENT 9: ANTELOPE - CONSTRUCT ADDITION TO EXISTING SUBSTATION</t>
  </si>
  <si>
    <t>TRTP SEGMENT 9: WINDHUB - CONSTRUCT 500kV SWITCHYARD &amp; AA TRANSFORMER BANK</t>
  </si>
  <si>
    <t>TRTP SEGMENT 9: WHIRLWIND - CONSTRUCT NEW SUBSTATION</t>
  </si>
  <si>
    <t>TRTP SEGMENT 9: VINCENT - EXTEND 500KV SWITCHRACK ADDING FOUR BAY POSITIONS. EXTEND 220KV SWITCHRACK ADDING ONE BAY POSITION.</t>
  </si>
  <si>
    <t>TRTP SEGMENT 9: VINCENT - EXTEND 500KV SWITCHRACK ADDING FOUR BAY POSITIONS. EXTEND 220KV SWITCHRACK ADDING ONE BAY POSITION. REMOVE MIDWAY NO. 3 SERIES CAPACITOR.</t>
  </si>
  <si>
    <t>TRTP SEGMENT 9: GOULD - ADD CB'S ON TRANSFORMERS TO COMPLY WITH L&amp;B CRITERIA. ADD NEW 220KV LINE POSITION (PART OF SEGMENT 9-1)</t>
  </si>
  <si>
    <t>TRTP SEGMENT 9: CHINO SUB - PROTECTION CHANGES</t>
  </si>
  <si>
    <t>TRTP SEGMENT 9: VINCENT - RAS to support Whirlwind Acceleration</t>
  </si>
  <si>
    <t>Segment 3B</t>
  </si>
  <si>
    <t>Segment 3C</t>
  </si>
  <si>
    <t>TOTAL
 Jan 12 -
Sept 13</t>
  </si>
  <si>
    <t>Total
2012</t>
  </si>
  <si>
    <t>Total Jan -
Sept 2013</t>
  </si>
  <si>
    <t>Operating
 Date</t>
  </si>
  <si>
    <t>Project
PIN/SAP W.O.</t>
  </si>
  <si>
    <t>TRTP Segments 3B and 3C, and 4-11</t>
  </si>
  <si>
    <t>Subtotal Segments 4 - 11</t>
  </si>
  <si>
    <t>Total Segments 3B, 3C, &amp; 4 - 11</t>
  </si>
  <si>
    <t>DCR Project</t>
  </si>
  <si>
    <t xml:space="preserve">DCR: Preliminary Engineering, Licensing </t>
  </si>
  <si>
    <t>Devers - Colorado River #2 500KV T/L: Build 110 mile single circuit 500kV T/L with 2B-2156 ACSR conductor, including OPGW, paralleling the existing Devers - Palo Verde #1 500kV T/L terminating at Colorado River Substation.</t>
  </si>
  <si>
    <t>Devers - Valley #2 500kV T/L: Build a new 42 mile single circuit 500kV T/L, including OPGW, with 2B-2156 KCMIL ACSR conductor, paralleling the existing Devers - Valley 500kV line.</t>
  </si>
  <si>
    <t>Colorado River - Devers #2 500kV T/L Land &amp; Land Rights (CA): Acquire any additional properties or rights-of-way needed to build the Colorado River - Devers #2 500kV T/L.</t>
  </si>
  <si>
    <t>Total DCR</t>
  </si>
  <si>
    <t>I: DCR: Devers: Replace Circuit Breakers</t>
  </si>
  <si>
    <t xml:space="preserve">I: TRTP 6-4: New Vincent-ANF 500kV: Construct 5 miles single-circuit 500kV T/L between Vincent SS and ANF boundary (M0-T1). </t>
  </si>
  <si>
    <t xml:space="preserve">I: TRTP 11-1: Mesa-Vincent #1 500kV: Construct 18.6 miles Mesa-Vincent #1 500kV T/L. Construct approx. 18 miles of new single-circuit 500kV T/L from Vincent SS to the Gould SS area. </t>
  </si>
  <si>
    <t xml:space="preserve">I: TRTP 8-2: MA1-T4 to MA1-T2: Construct 1.33 miles double-circuit 220kV T/L at Rose Hills from MA1-T4 to MA1-T2. </t>
  </si>
  <si>
    <t xml:space="preserve">I: TRTP 8-7: Chino-Mira Loma #1 &amp; #2: Construct 7.26 miles Chino-Mira Loma #1 &amp; #2 220kV T/L.  </t>
  </si>
  <si>
    <t xml:space="preserve">I: TRTP 8-8: Mira Loma-Vincent: Construct new 33 miles 500kV T/L between Mesa and Mira Loma (Section of Mira Loma and Vincent).  </t>
  </si>
  <si>
    <t xml:space="preserve">I: TRTP 8: Chino Hills State Park 500kV reroute alternative 4CM.  </t>
  </si>
  <si>
    <t xml:space="preserve">I: TRTP 7-2: Vincent-Rio Hondo #2: Construct 0.61 mile DC 500kV T/L cutover to connect new 27-miles 500kV T/L to existing Vincent-Rio Hondo #2.  </t>
  </si>
  <si>
    <t xml:space="preserve">I: TRTP 7-3: Antelope-Mesa 230kV T/L: Construct new 16-mile double-circuit 500kV T/L (2B-2156 ACSR)between the City of Duarte and near the Mesa SS.  </t>
  </si>
  <si>
    <t>I: TRTP 8-4: Construct 0.44 miles 220kV T/L at water tank/ Fullerton Rd.</t>
  </si>
  <si>
    <t>Eldorado-Ivanpah Transmission Project</t>
  </si>
  <si>
    <t>EITP, Licensing &amp; Permit</t>
  </si>
  <si>
    <t>Total EITP</t>
  </si>
  <si>
    <t>Lugo-Pisgah Phase II</t>
  </si>
  <si>
    <t>Pisgah Sub: Siting Study for New Substation</t>
  </si>
  <si>
    <t>Total Lugo-Pisgah Phase II</t>
  </si>
  <si>
    <t>Suspended</t>
  </si>
  <si>
    <t>Red Bluff Substation</t>
  </si>
  <si>
    <t>Total Red Bluff</t>
  </si>
  <si>
    <t>CRS Expansion: Licensing effort</t>
  </si>
  <si>
    <t xml:space="preserve">             -</t>
  </si>
  <si>
    <t>Total CRS Expansion</t>
  </si>
  <si>
    <t>Whirlwind Substation Expansion</t>
  </si>
  <si>
    <t>CRE: Siting study for New Substation</t>
  </si>
  <si>
    <t>Whirlwind 2nd and 3rd AA Bank</t>
  </si>
  <si>
    <t>Total Whirlwind Sub Expansion</t>
  </si>
  <si>
    <t>7054/7066-7069</t>
  </si>
  <si>
    <t xml:space="preserve">South of Kramer Transmission </t>
  </si>
  <si>
    <t>Jasper: LGIA Engineer and construct a new interconnection facility</t>
  </si>
  <si>
    <t>I:  Lugo – Pisgah 220KV T/L loop into Jasper Substation.</t>
  </si>
  <si>
    <t>Total South of Kramer</t>
  </si>
  <si>
    <t>West of Devers Transmission</t>
  </si>
  <si>
    <t>Pre-Engineering (Morongo Transmission Relocation Project)</t>
  </si>
  <si>
    <t>Total West of Devers</t>
  </si>
  <si>
    <t>Subtotal Segments 3B &amp; 3C</t>
  </si>
  <si>
    <t>TRTP: Segment 9 Real Properties</t>
  </si>
  <si>
    <t>New Cool Water-Lugo 220 kV Transmission Line</t>
  </si>
  <si>
    <t>I: TRTP 11-2: Mesa-Gould 220kV: String approx. 18 miles of new 220kV conductor on vacant position of existing 220kV double-circuit tower line between Mesa and Gould area.</t>
  </si>
  <si>
    <t xml:space="preserve">I: TRTP 10-1: Whirlwind-Windhub 500kV: Construct approx. 17 miles of new single-circuit 500kV T/L between Whirlwind and Windhub Substations. </t>
  </si>
  <si>
    <t xml:space="preserve">I: TRTP 5-2: Antelope-Vincent-Windhub: Reconfigure T/L. </t>
  </si>
  <si>
    <t>TRTP 4-11 &amp; 3C: Antelope-Vincent #2 500KV T/L: PEA &amp; Preliminary Engineering. Environmental studies and licensing.</t>
  </si>
  <si>
    <t xml:space="preserve">I: TRTP 4-1: Antelope-Whirlwind 500kV T/L: Construct new 14-mile single-circuit 500kV T/L. </t>
  </si>
  <si>
    <t>I: DCR: Devers: Install 2 500kV Shunt Capacitors</t>
  </si>
  <si>
    <t>I: DCR: Devers: Install Line Pos for Devers-Valley #2 500kV T/L.</t>
  </si>
  <si>
    <t>Construct a New Ivanpah 220/115 kV Substation</t>
  </si>
  <si>
    <t>Real Properties</t>
  </si>
  <si>
    <t>Modify Existing CA Series Capacitor Bank, to Provide for 70% Compensation on the D-CRS#1- 500kV Line.</t>
  </si>
  <si>
    <t xml:space="preserve">Devers-Palo Verde 500 kV Line: Loop the existing line in and out of Red Bluff Substation and form the two new Colorado River-Red Bluff and Devers-Red Bluff 500kV T/L's. </t>
  </si>
  <si>
    <t>Devers - Colorado River #2 500 kV T/L:  Loop the DCR #2 line into Red Bluff Substation and form the two new Devers- Red Bluff #2 and Colorado River-Red Bluff #2 500kV T/Ls.</t>
  </si>
  <si>
    <t>Plan of Service Reliability Network Upgrades: Equip one 220kV position at Whirlwind Substation to terminate the Q412 - AV Solar 1.</t>
  </si>
  <si>
    <t>Devers-El Casco, El Casco-San Bernardino 220kV: Rebuild both lines approximately 43 miles 2B-1590 ASCR on double circuit towers. Devers-Vista Line #1 and Devers-Vista Line #2 220kV: Rebuild both lines approximately 45 miles 2B - 1590 ACSR on double circuit towers. (SBRAP).</t>
  </si>
  <si>
    <t>Devers Substation: Extend 500kV BUS two positions.</t>
  </si>
  <si>
    <t>Valley Substation: Equip line position 8X with two 4000A, 63kA, 500kV circuit breakers and other associated equipment to terminate the new Devers - Valley #2 500kV T/L.</t>
  </si>
  <si>
    <t xml:space="preserve">Devers-Colorado River 500KV SERIES CAP (CA): Install an additional 500KV SERIES CAPACITOR BANK for the new Devers - Colorado River No.2 500KV Transmission Line. </t>
  </si>
  <si>
    <t>Colorado River Switchyard: Construct a new 6 position 500kV switchyard.</t>
  </si>
  <si>
    <t>Development of the Material Yards and helicopter assembly yards.</t>
  </si>
  <si>
    <t>Devers - Valley T/L: Relocate approximately 0.25 mile of existing single - circuit 500kV T/L.</t>
  </si>
  <si>
    <t>Devers - Palo Verde 500kV T/L (CA): Loop existing DPV 500kV T/L into Colorado River Switchyard.</t>
  </si>
  <si>
    <t>Devers-Valley #2 500kV T/L Land &amp; Land Rights (CA): Acquire any additional properties or rights-of-way needed to build the Colorado River - Devers #2 500kV T/L.</t>
  </si>
  <si>
    <t>I: TRTP 3B: Land Acquisition.</t>
  </si>
  <si>
    <t xml:space="preserve">I: TRTP Segment 3C: Windhub Sub: Install transformer banks 1AA and 2AA. </t>
  </si>
  <si>
    <t xml:space="preserve">I: TRTP 3C-1: Windhub 500kV Sub upgrade. </t>
  </si>
  <si>
    <t>I: TRTP 3C-5: Antelope 500kV Sub upgrade.</t>
  </si>
  <si>
    <t xml:space="preserve">I: TRTP 3C-3: Vincent 500kV Sub - Equip One Position. </t>
  </si>
  <si>
    <t>I: TRTP 4.4: Midway-Vincent No.3 500kV T/L Ground Clearance Upgrade.</t>
  </si>
  <si>
    <t>I: TRTP 4.5: Antelope-Windhub 500kV Cross-Over Elimination.</t>
  </si>
  <si>
    <t xml:space="preserve">I: TRTP 4-3: Path 26 Loop: Construct approx. 2-miles of new single-circuit 500kV T/L to loop existing Midway-Vincent No.3 500kV. </t>
  </si>
  <si>
    <t>I: TRTP 5-3: Antelope-Vincent #2 500kV: Construct new 18-miles single-circuit T/L on existing right of way.</t>
  </si>
  <si>
    <t xml:space="preserve">I: TRTP 6-2: New Vincent-Duarte 500kV: Construct new 27 miles single-circuit 500kV T/L on existing ROW vacated by Antelope-Mesa line. </t>
  </si>
  <si>
    <t xml:space="preserve">I: TRTP 6-6: Land Acquisition. </t>
  </si>
  <si>
    <t xml:space="preserve">I: TRTP 7-7: Land Acquisition. </t>
  </si>
  <si>
    <t xml:space="preserve">TRTP Segment 8: Licensing efforts associated with the construction of Segment 8 (between Tonner Canyon and Mira Loma Substation) in conjunction with the Assigned Commissioner Ruling (ACR) to review alternate routes of construction.  </t>
  </si>
  <si>
    <t>I: TRTP 8-12: Land Acquisition.</t>
  </si>
  <si>
    <t>I: TRTP 9: Whirlwind SS: Acceleration and Relay Modifications.</t>
  </si>
  <si>
    <t>TRTP SEGMENT 9: MESA SUB - EQUIP 220KV line protection</t>
  </si>
  <si>
    <t>TRTP SEGMENT 9: MIRA LOMA SUB - EQUIP 1 500KV line protection</t>
  </si>
  <si>
    <t>TRTP SEGMENT 9: Replace the protective relays at Lugo Substation for the Mira Loma No.3 500kV transmission line.</t>
  </si>
  <si>
    <t xml:space="preserve">I: TRTP 11-4: Eagle Rock-Pardee 230kV: Construct 2 miles of single-circuit T/L to terminate Eagle Rock-Pardee 230kV T/L into Vincent. Construct approx. 0.2 mile of single-circuit T/L to connect Eagle Rock-Pardee T/L into Gould SS. </t>
  </si>
  <si>
    <t xml:space="preserve">I: TRTP 11-9: Land Acquisition. </t>
  </si>
  <si>
    <t>Eldorado 220 kV Substation: Upgrades</t>
  </si>
  <si>
    <t>Eldorado-Ivanpah 220 kV T/L (California): Construct California portion of new 35 to 39-mile double-circuit 220 kV T/L (2B-1590).</t>
  </si>
  <si>
    <t xml:space="preserve">Eldorado-Ivanpah 220 kV T/L (Nevada): Construct Nevada portion of new 35 to 39-mile double-circuit 220 kV T/L (2B-1590) </t>
  </si>
  <si>
    <t>Red Bluff Substation: Construct a new 500/230kV substation.</t>
  </si>
  <si>
    <t xml:space="preserve">Colorado River Substation Expansion </t>
  </si>
  <si>
    <t>Colorado River Substation: Install Equipment to support Large Generation Interconnections.</t>
  </si>
  <si>
    <t>Whirlwind Substation: Expand existing line positions.</t>
  </si>
  <si>
    <t>Whirlwind (NU): Equip one 220kV position - Solar Star 2</t>
  </si>
  <si>
    <t>Whirlwind (NU): Equip one 220kV position - Solar Star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</si>
</sst>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_);_(@_)"/>
    <numFmt numFmtId="165" formatCode="m\-d\-yy"/>
    <numFmt numFmtId="166" formatCode="_-* #,##0.0_-;\-* #,##0.0_-;_-* &quot;-&quot;??_-;_-@_-"/>
    <numFmt numFmtId="167" formatCode="#,##0.00&quot; $&quot;;\-#,##0.00&quot; $&quot;"/>
    <numFmt numFmtId="168" formatCode="0.00_)"/>
    <numFmt numFmtId="169" formatCode="[$-409]mmm\-yy;@"/>
    <numFmt numFmtId="170" formatCode="_(* #,##0.0_);_(* \(#,##0.0\);_(* &quot;-&quot;_);_(@_)"/>
    <numFmt numFmtId="171" formatCode="_(* #,##0_);_(* \(#,##0\);_(* &quot;-&quot;??_);_(@_)"/>
    <numFmt numFmtId="172" formatCode="_(* #,##0_);_(* \(#,##0\);_(* &quot;-&quot;?_);_(@_)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9"/>
      <color rgb="FF0000FF"/>
      <name val="Arial"/>
      <family val="2"/>
    </font>
    <font>
      <b/>
      <u/>
      <sz val="10"/>
      <color rgb="FF0000FF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1">
    <xf numFmtId="0" fontId="0" fillId="0" borderId="0"/>
    <xf numFmtId="165" fontId="2" fillId="2" borderId="1">
      <alignment horizontal="center" vertical="center"/>
    </xf>
    <xf numFmtId="6" fontId="3" fillId="0" borderId="0">
      <protection locked="0"/>
    </xf>
    <xf numFmtId="166" fontId="1" fillId="0" borderId="0">
      <protection locked="0"/>
    </xf>
    <xf numFmtId="38" fontId="4" fillId="3" borderId="0" applyNumberFormat="0" applyBorder="0" applyAlignment="0" applyProtection="0"/>
    <xf numFmtId="0" fontId="5" fillId="0" borderId="0" applyNumberFormat="0" applyFill="0" applyBorder="0" applyAlignment="0" applyProtection="0"/>
    <xf numFmtId="167" fontId="1" fillId="0" borderId="0">
      <protection locked="0"/>
    </xf>
    <xf numFmtId="167" fontId="1" fillId="0" borderId="0">
      <protection locked="0"/>
    </xf>
    <xf numFmtId="0" fontId="6" fillId="0" borderId="2" applyNumberFormat="0" applyFill="0" applyAlignment="0" applyProtection="0"/>
    <xf numFmtId="10" fontId="4" fillId="4" borderId="3" applyNumberFormat="0" applyBorder="0" applyAlignment="0" applyProtection="0"/>
    <xf numFmtId="37" fontId="7" fillId="0" borderId="0"/>
    <xf numFmtId="168" fontId="8" fillId="0" borderId="0"/>
    <xf numFmtId="0" fontId="4" fillId="5" borderId="0"/>
    <xf numFmtId="0" fontId="12" fillId="0" borderId="0"/>
    <xf numFmtId="0" fontId="9" fillId="0" borderId="0"/>
    <xf numFmtId="10" fontId="1" fillId="0" borderId="0" applyFont="0" applyFill="0" applyBorder="0" applyAlignment="0" applyProtection="0"/>
    <xf numFmtId="167" fontId="1" fillId="0" borderId="4">
      <protection locked="0"/>
    </xf>
    <xf numFmtId="37" fontId="4" fillId="6" borderId="0" applyNumberFormat="0" applyBorder="0" applyAlignment="0" applyProtection="0"/>
    <xf numFmtId="37" fontId="10" fillId="0" borderId="0"/>
    <xf numFmtId="3" fontId="11" fillId="0" borderId="2" applyProtection="0"/>
    <xf numFmtId="43" fontId="1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9" fillId="0" borderId="14" xfId="14" applyFont="1" applyFill="1" applyBorder="1" applyAlignment="1">
      <alignment wrapText="1"/>
    </xf>
    <xf numFmtId="0" fontId="9" fillId="0" borderId="0" xfId="14" applyFont="1" applyFill="1" applyBorder="1" applyAlignment="1">
      <alignment wrapText="1"/>
    </xf>
    <xf numFmtId="0" fontId="9" fillId="0" borderId="15" xfId="14" applyFont="1" applyFill="1" applyBorder="1" applyAlignment="1">
      <alignment wrapText="1"/>
    </xf>
    <xf numFmtId="0" fontId="9" fillId="0" borderId="19" xfId="14" applyFont="1" applyFill="1" applyBorder="1" applyAlignment="1">
      <alignment wrapText="1"/>
    </xf>
    <xf numFmtId="169" fontId="12" fillId="0" borderId="5" xfId="0" applyNumberFormat="1" applyFont="1" applyFill="1" applyBorder="1" applyAlignment="1">
      <alignment horizontal="center"/>
    </xf>
    <xf numFmtId="169" fontId="12" fillId="0" borderId="9" xfId="0" applyNumberFormat="1" applyFont="1" applyFill="1" applyBorder="1" applyAlignment="1">
      <alignment horizontal="center"/>
    </xf>
    <xf numFmtId="0" fontId="14" fillId="0" borderId="18" xfId="14" applyFont="1" applyFill="1" applyBorder="1" applyAlignment="1">
      <alignment horizontal="center"/>
    </xf>
    <xf numFmtId="169" fontId="12" fillId="0" borderId="26" xfId="0" applyNumberFormat="1" applyFont="1" applyFill="1" applyBorder="1" applyAlignment="1">
      <alignment horizontal="center"/>
    </xf>
    <xf numFmtId="169" fontId="12" fillId="0" borderId="6" xfId="0" applyNumberFormat="1" applyFont="1" applyFill="1" applyBorder="1" applyAlignment="1">
      <alignment horizontal="center"/>
    </xf>
    <xf numFmtId="169" fontId="12" fillId="0" borderId="9" xfId="0" applyNumberFormat="1" applyFont="1" applyFill="1" applyBorder="1" applyAlignment="1">
      <alignment horizontal="center" wrapText="1"/>
    </xf>
    <xf numFmtId="0" fontId="14" fillId="0" borderId="0" xfId="0" applyFont="1" applyFill="1" applyBorder="1"/>
    <xf numFmtId="0" fontId="14" fillId="0" borderId="12" xfId="14" applyFont="1" applyFill="1" applyBorder="1" applyAlignment="1">
      <alignment horizontal="center"/>
    </xf>
    <xf numFmtId="0" fontId="14" fillId="0" borderId="14" xfId="14" applyFont="1" applyFill="1" applyBorder="1" applyAlignment="1">
      <alignment wrapText="1"/>
    </xf>
    <xf numFmtId="169" fontId="14" fillId="0" borderId="5" xfId="0" applyNumberFormat="1" applyFont="1" applyFill="1" applyBorder="1" applyAlignment="1">
      <alignment horizontal="center"/>
    </xf>
    <xf numFmtId="41" fontId="12" fillId="0" borderId="11" xfId="0" applyNumberFormat="1" applyFont="1" applyFill="1" applyBorder="1" applyAlignment="1">
      <alignment horizontal="right"/>
    </xf>
    <xf numFmtId="41" fontId="12" fillId="0" borderId="28" xfId="0" applyNumberFormat="1" applyFont="1" applyFill="1" applyBorder="1" applyAlignment="1">
      <alignment horizontal="right"/>
    </xf>
    <xf numFmtId="41" fontId="12" fillId="0" borderId="29" xfId="0" applyNumberFormat="1" applyFont="1" applyFill="1" applyBorder="1" applyAlignment="1">
      <alignment horizontal="right"/>
    </xf>
    <xf numFmtId="41" fontId="2" fillId="0" borderId="10" xfId="0" applyNumberFormat="1" applyFont="1" applyFill="1" applyBorder="1" applyAlignment="1">
      <alignment horizontal="right"/>
    </xf>
    <xf numFmtId="41" fontId="12" fillId="0" borderId="12" xfId="0" applyNumberFormat="1" applyFont="1" applyFill="1" applyBorder="1" applyAlignment="1">
      <alignment horizontal="right"/>
    </xf>
    <xf numFmtId="41" fontId="12" fillId="0" borderId="3" xfId="0" applyNumberFormat="1" applyFont="1" applyFill="1" applyBorder="1" applyAlignment="1">
      <alignment horizontal="right"/>
    </xf>
    <xf numFmtId="41" fontId="12" fillId="0" borderId="23" xfId="0" applyNumberFormat="1" applyFont="1" applyFill="1" applyBorder="1" applyAlignment="1">
      <alignment horizontal="right"/>
    </xf>
    <xf numFmtId="41" fontId="2" fillId="0" borderId="9" xfId="0" applyNumberFormat="1" applyFont="1" applyFill="1" applyBorder="1" applyAlignment="1">
      <alignment horizontal="right"/>
    </xf>
    <xf numFmtId="41" fontId="12" fillId="0" borderId="32" xfId="0" applyNumberFormat="1" applyFont="1" applyFill="1" applyBorder="1" applyAlignment="1">
      <alignment horizontal="right"/>
    </xf>
    <xf numFmtId="41" fontId="12" fillId="0" borderId="33" xfId="0" applyNumberFormat="1" applyFont="1" applyFill="1" applyBorder="1" applyAlignment="1">
      <alignment horizontal="right"/>
    </xf>
    <xf numFmtId="41" fontId="12" fillId="0" borderId="34" xfId="0" applyNumberFormat="1" applyFont="1" applyFill="1" applyBorder="1" applyAlignment="1">
      <alignment horizontal="right"/>
    </xf>
    <xf numFmtId="41" fontId="2" fillId="0" borderId="22" xfId="0" applyNumberFormat="1" applyFont="1" applyFill="1" applyBorder="1" applyAlignment="1">
      <alignment horizontal="right"/>
    </xf>
    <xf numFmtId="41" fontId="2" fillId="0" borderId="37" xfId="0" applyNumberFormat="1" applyFont="1" applyFill="1" applyBorder="1" applyAlignment="1">
      <alignment horizontal="right"/>
    </xf>
    <xf numFmtId="41" fontId="2" fillId="0" borderId="38" xfId="0" applyNumberFormat="1" applyFont="1" applyFill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17" xfId="0" applyNumberFormat="1" applyFont="1" applyFill="1" applyBorder="1" applyAlignment="1">
      <alignment horizontal="right"/>
    </xf>
    <xf numFmtId="41" fontId="2" fillId="0" borderId="13" xfId="0" applyNumberFormat="1" applyFont="1" applyFill="1" applyBorder="1" applyAlignment="1">
      <alignment horizontal="right"/>
    </xf>
    <xf numFmtId="41" fontId="2" fillId="0" borderId="54" xfId="0" applyNumberFormat="1" applyFont="1" applyFill="1" applyBorder="1" applyAlignment="1">
      <alignment horizontal="right"/>
    </xf>
    <xf numFmtId="41" fontId="2" fillId="0" borderId="21" xfId="0" applyNumberFormat="1" applyFont="1" applyFill="1" applyBorder="1" applyAlignment="1">
      <alignment horizontal="right"/>
    </xf>
    <xf numFmtId="41" fontId="15" fillId="0" borderId="5" xfId="0" applyNumberFormat="1" applyFont="1" applyFill="1" applyBorder="1" applyAlignment="1">
      <alignment horizontal="right"/>
    </xf>
    <xf numFmtId="41" fontId="14" fillId="0" borderId="12" xfId="0" applyNumberFormat="1" applyFont="1" applyFill="1" applyBorder="1" applyAlignment="1">
      <alignment horizontal="right"/>
    </xf>
    <xf numFmtId="41" fontId="14" fillId="0" borderId="3" xfId="0" applyNumberFormat="1" applyFont="1" applyFill="1" applyBorder="1" applyAlignment="1">
      <alignment horizontal="right"/>
    </xf>
    <xf numFmtId="41" fontId="14" fillId="0" borderId="31" xfId="0" applyNumberFormat="1" applyFont="1" applyFill="1" applyBorder="1" applyAlignment="1">
      <alignment horizontal="right"/>
    </xf>
    <xf numFmtId="41" fontId="14" fillId="0" borderId="23" xfId="0" applyNumberFormat="1" applyFont="1" applyFill="1" applyBorder="1" applyAlignment="1">
      <alignment horizontal="right"/>
    </xf>
    <xf numFmtId="41" fontId="15" fillId="0" borderId="9" xfId="0" applyNumberFormat="1" applyFont="1" applyFill="1" applyBorder="1" applyAlignment="1">
      <alignment horizontal="right"/>
    </xf>
    <xf numFmtId="41" fontId="12" fillId="0" borderId="20" xfId="0" applyNumberFormat="1" applyFont="1" applyFill="1" applyBorder="1" applyAlignment="1">
      <alignment horizontal="right"/>
    </xf>
    <xf numFmtId="41" fontId="12" fillId="0" borderId="53" xfId="0" applyNumberFormat="1" applyFont="1" applyFill="1" applyBorder="1" applyAlignment="1">
      <alignment horizontal="right"/>
    </xf>
    <xf numFmtId="41" fontId="2" fillId="0" borderId="40" xfId="0" applyNumberFormat="1" applyFont="1" applyFill="1" applyBorder="1" applyAlignment="1">
      <alignment horizontal="right"/>
    </xf>
    <xf numFmtId="41" fontId="2" fillId="0" borderId="28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2" fillId="0" borderId="3" xfId="0" applyFont="1" applyFill="1" applyBorder="1" applyAlignment="1">
      <alignment horizontal="center" wrapText="1"/>
    </xf>
    <xf numFmtId="169" fontId="2" fillId="0" borderId="3" xfId="0" applyNumberFormat="1" applyFont="1" applyFill="1" applyBorder="1" applyAlignment="1">
      <alignment horizontal="center"/>
    </xf>
    <xf numFmtId="169" fontId="2" fillId="0" borderId="3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2" fillId="0" borderId="0" xfId="14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13" fillId="0" borderId="0" xfId="14" applyFont="1" applyFill="1" applyBorder="1" applyAlignment="1">
      <alignment horizontal="left" wrapText="1"/>
    </xf>
    <xf numFmtId="41" fontId="12" fillId="0" borderId="0" xfId="0" applyNumberFormat="1" applyFont="1" applyFill="1" applyBorder="1" applyAlignment="1">
      <alignment horizontal="right"/>
    </xf>
    <xf numFmtId="169" fontId="2" fillId="0" borderId="14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1" fontId="2" fillId="0" borderId="24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169" fontId="2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center" wrapText="1"/>
    </xf>
    <xf numFmtId="41" fontId="2" fillId="0" borderId="56" xfId="0" applyNumberFormat="1" applyFont="1" applyFill="1" applyBorder="1" applyAlignment="1">
      <alignment horizontal="right"/>
    </xf>
    <xf numFmtId="0" fontId="9" fillId="0" borderId="29" xfId="14" applyFont="1" applyFill="1" applyBorder="1" applyAlignment="1">
      <alignment wrapText="1"/>
    </xf>
    <xf numFmtId="41" fontId="12" fillId="0" borderId="30" xfId="0" applyNumberFormat="1" applyFont="1" applyFill="1" applyBorder="1" applyAlignment="1">
      <alignment horizontal="right"/>
    </xf>
    <xf numFmtId="41" fontId="2" fillId="0" borderId="30" xfId="0" applyNumberFormat="1" applyFont="1" applyFill="1" applyBorder="1" applyAlignment="1">
      <alignment horizontal="right"/>
    </xf>
    <xf numFmtId="41" fontId="2" fillId="0" borderId="29" xfId="0" applyNumberFormat="1" applyFont="1" applyFill="1" applyBorder="1" applyAlignment="1">
      <alignment horizontal="right"/>
    </xf>
    <xf numFmtId="0" fontId="9" fillId="0" borderId="11" xfId="13" applyNumberFormat="1" applyFont="1" applyFill="1" applyBorder="1" applyAlignment="1">
      <alignment horizontal="center" wrapText="1"/>
    </xf>
    <xf numFmtId="0" fontId="9" fillId="0" borderId="12" xfId="13" applyNumberFormat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wrapText="1"/>
    </xf>
    <xf numFmtId="0" fontId="12" fillId="0" borderId="34" xfId="0" applyFont="1" applyFill="1" applyBorder="1" applyAlignment="1">
      <alignment wrapText="1"/>
    </xf>
    <xf numFmtId="0" fontId="2" fillId="0" borderId="48" xfId="0" applyFont="1" applyFill="1" applyBorder="1" applyAlignment="1">
      <alignment horizontal="center" wrapText="1"/>
    </xf>
    <xf numFmtId="171" fontId="12" fillId="0" borderId="3" xfId="20" applyNumberFormat="1" applyFont="1" applyFill="1" applyBorder="1" applyAlignment="1">
      <alignment horizontal="center"/>
    </xf>
    <xf numFmtId="171" fontId="12" fillId="0" borderId="23" xfId="20" applyNumberFormat="1" applyFont="1" applyFill="1" applyBorder="1" applyAlignment="1">
      <alignment horizontal="center"/>
    </xf>
    <xf numFmtId="171" fontId="12" fillId="0" borderId="33" xfId="20" applyNumberFormat="1" applyFont="1" applyFill="1" applyBorder="1" applyAlignment="1">
      <alignment horizontal="center"/>
    </xf>
    <xf numFmtId="171" fontId="12" fillId="0" borderId="34" xfId="20" applyNumberFormat="1" applyFont="1" applyFill="1" applyBorder="1" applyAlignment="1">
      <alignment horizontal="center"/>
    </xf>
    <xf numFmtId="171" fontId="2" fillId="0" borderId="36" xfId="20" applyNumberFormat="1" applyFont="1" applyFill="1" applyBorder="1" applyAlignment="1">
      <alignment horizontal="center"/>
    </xf>
    <xf numFmtId="171" fontId="2" fillId="0" borderId="37" xfId="20" applyNumberFormat="1" applyFont="1" applyFill="1" applyBorder="1" applyAlignment="1">
      <alignment horizontal="center"/>
    </xf>
    <xf numFmtId="171" fontId="2" fillId="0" borderId="12" xfId="20" applyNumberFormat="1" applyFont="1" applyFill="1" applyBorder="1" applyAlignment="1">
      <alignment horizontal="center" wrapText="1"/>
    </xf>
    <xf numFmtId="171" fontId="2" fillId="0" borderId="32" xfId="20" applyNumberFormat="1" applyFont="1" applyFill="1" applyBorder="1" applyAlignment="1">
      <alignment horizontal="center" wrapText="1"/>
    </xf>
    <xf numFmtId="171" fontId="2" fillId="0" borderId="12" xfId="0" applyNumberFormat="1" applyFont="1" applyFill="1" applyBorder="1" applyAlignment="1">
      <alignment horizontal="center" wrapText="1"/>
    </xf>
    <xf numFmtId="171" fontId="2" fillId="0" borderId="32" xfId="0" applyNumberFormat="1" applyFont="1" applyFill="1" applyBorder="1" applyAlignment="1">
      <alignment horizontal="center" wrapText="1"/>
    </xf>
    <xf numFmtId="171" fontId="2" fillId="0" borderId="35" xfId="0" applyNumberFormat="1" applyFont="1" applyFill="1" applyBorder="1" applyAlignment="1">
      <alignment horizontal="center" wrapText="1"/>
    </xf>
    <xf numFmtId="169" fontId="12" fillId="0" borderId="10" xfId="0" applyNumberFormat="1" applyFont="1" applyFill="1" applyBorder="1" applyAlignment="1">
      <alignment horizontal="center" wrapText="1"/>
    </xf>
    <xf numFmtId="169" fontId="12" fillId="0" borderId="22" xfId="0" applyNumberFormat="1" applyFont="1" applyFill="1" applyBorder="1" applyAlignment="1">
      <alignment horizontal="center" wrapText="1"/>
    </xf>
    <xf numFmtId="169" fontId="2" fillId="8" borderId="38" xfId="0" applyNumberFormat="1" applyFont="1" applyFill="1" applyBorder="1" applyAlignment="1">
      <alignment horizontal="center" wrapText="1"/>
    </xf>
    <xf numFmtId="0" fontId="12" fillId="0" borderId="28" xfId="0" applyFont="1" applyFill="1" applyBorder="1" applyAlignment="1">
      <alignment horizontal="center" wrapText="1"/>
    </xf>
    <xf numFmtId="0" fontId="12" fillId="0" borderId="29" xfId="0" applyFont="1" applyFill="1" applyBorder="1" applyAlignment="1">
      <alignment wrapText="1"/>
    </xf>
    <xf numFmtId="171" fontId="2" fillId="0" borderId="11" xfId="0" applyNumberFormat="1" applyFont="1" applyFill="1" applyBorder="1" applyAlignment="1">
      <alignment horizontal="center" wrapText="1"/>
    </xf>
    <xf numFmtId="171" fontId="12" fillId="0" borderId="28" xfId="20" applyNumberFormat="1" applyFont="1" applyFill="1" applyBorder="1" applyAlignment="1">
      <alignment horizontal="center"/>
    </xf>
    <xf numFmtId="171" fontId="12" fillId="0" borderId="29" xfId="20" applyNumberFormat="1" applyFont="1" applyFill="1" applyBorder="1" applyAlignment="1">
      <alignment horizontal="center"/>
    </xf>
    <xf numFmtId="171" fontId="2" fillId="0" borderId="11" xfId="20" applyNumberFormat="1" applyFont="1" applyFill="1" applyBorder="1" applyAlignment="1">
      <alignment horizontal="center" wrapText="1"/>
    </xf>
    <xf numFmtId="0" fontId="9" fillId="0" borderId="6" xfId="14" applyFont="1" applyFill="1" applyBorder="1" applyAlignment="1">
      <alignment wrapText="1"/>
    </xf>
    <xf numFmtId="41" fontId="2" fillId="0" borderId="1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71" fontId="12" fillId="0" borderId="3" xfId="20" applyNumberFormat="1" applyFont="1" applyFill="1" applyBorder="1"/>
    <xf numFmtId="171" fontId="12" fillId="0" borderId="28" xfId="20" applyNumberFormat="1" applyFont="1" applyFill="1" applyBorder="1"/>
    <xf numFmtId="0" fontId="12" fillId="0" borderId="12" xfId="0" applyFont="1" applyFill="1" applyBorder="1" applyAlignment="1">
      <alignment horizontal="center"/>
    </xf>
    <xf numFmtId="171" fontId="12" fillId="0" borderId="29" xfId="20" applyNumberFormat="1" applyFont="1" applyFill="1" applyBorder="1"/>
    <xf numFmtId="171" fontId="12" fillId="0" borderId="23" xfId="20" applyNumberFormat="1" applyFont="1" applyFill="1" applyBorder="1"/>
    <xf numFmtId="171" fontId="2" fillId="0" borderId="11" xfId="0" applyNumberFormat="1" applyFont="1" applyFill="1" applyBorder="1"/>
    <xf numFmtId="171" fontId="2" fillId="0" borderId="12" xfId="0" applyNumberFormat="1" applyFont="1" applyFill="1" applyBorder="1"/>
    <xf numFmtId="171" fontId="2" fillId="0" borderId="11" xfId="0" applyNumberFormat="1" applyFont="1" applyFill="1" applyBorder="1" applyAlignment="1">
      <alignment horizontal="left" wrapText="1"/>
    </xf>
    <xf numFmtId="171" fontId="2" fillId="0" borderId="12" xfId="0" applyNumberFormat="1" applyFont="1" applyFill="1" applyBorder="1" applyAlignment="1">
      <alignment horizontal="left" wrapText="1"/>
    </xf>
    <xf numFmtId="171" fontId="2" fillId="0" borderId="49" xfId="0" applyNumberFormat="1" applyFont="1" applyFill="1" applyBorder="1"/>
    <xf numFmtId="171" fontId="2" fillId="0" borderId="60" xfId="0" applyNumberFormat="1" applyFont="1" applyFill="1" applyBorder="1"/>
    <xf numFmtId="169" fontId="12" fillId="0" borderId="10" xfId="0" applyNumberFormat="1" applyFont="1" applyFill="1" applyBorder="1" applyAlignment="1">
      <alignment horizontal="center"/>
    </xf>
    <xf numFmtId="0" fontId="9" fillId="0" borderId="23" xfId="14" applyFont="1" applyFill="1" applyBorder="1" applyAlignment="1">
      <alignment wrapText="1"/>
    </xf>
    <xf numFmtId="41" fontId="12" fillId="0" borderId="31" xfId="0" applyNumberFormat="1" applyFont="1" applyFill="1" applyBorder="1" applyAlignment="1">
      <alignment horizontal="right"/>
    </xf>
    <xf numFmtId="41" fontId="2" fillId="0" borderId="12" xfId="0" applyNumberFormat="1" applyFont="1" applyFill="1" applyBorder="1" applyAlignment="1">
      <alignment horizontal="right"/>
    </xf>
    <xf numFmtId="41" fontId="2" fillId="0" borderId="49" xfId="0" applyNumberFormat="1" applyFont="1" applyFill="1" applyBorder="1" applyAlignment="1">
      <alignment horizontal="right"/>
    </xf>
    <xf numFmtId="41" fontId="2" fillId="0" borderId="60" xfId="0" applyNumberFormat="1" applyFont="1" applyFill="1" applyBorder="1" applyAlignment="1">
      <alignment horizontal="right"/>
    </xf>
    <xf numFmtId="171" fontId="2" fillId="0" borderId="35" xfId="20" applyNumberFormat="1" applyFont="1" applyFill="1" applyBorder="1" applyAlignment="1">
      <alignment horizontal="center"/>
    </xf>
    <xf numFmtId="171" fontId="2" fillId="0" borderId="60" xfId="20" applyNumberFormat="1" applyFont="1" applyFill="1" applyBorder="1" applyAlignment="1">
      <alignment horizontal="center" wrapText="1"/>
    </xf>
    <xf numFmtId="171" fontId="2" fillId="0" borderId="61" xfId="20" applyNumberFormat="1" applyFont="1" applyFill="1" applyBorder="1" applyAlignment="1">
      <alignment horizontal="center" wrapText="1"/>
    </xf>
    <xf numFmtId="171" fontId="12" fillId="0" borderId="30" xfId="20" applyNumberFormat="1" applyFont="1" applyFill="1" applyBorder="1" applyAlignment="1">
      <alignment horizontal="center"/>
    </xf>
    <xf numFmtId="171" fontId="12" fillId="0" borderId="31" xfId="20" applyNumberFormat="1" applyFont="1" applyFill="1" applyBorder="1" applyAlignment="1">
      <alignment horizontal="center"/>
    </xf>
    <xf numFmtId="171" fontId="2" fillId="0" borderId="10" xfId="0" applyNumberFormat="1" applyFont="1" applyFill="1" applyBorder="1" applyAlignment="1">
      <alignment horizontal="left" wrapText="1"/>
    </xf>
    <xf numFmtId="171" fontId="2" fillId="0" borderId="3" xfId="20" applyNumberFormat="1" applyFont="1" applyFill="1" applyBorder="1" applyAlignment="1">
      <alignment horizontal="left" wrapText="1"/>
    </xf>
    <xf numFmtId="171" fontId="2" fillId="0" borderId="28" xfId="20" applyNumberFormat="1" applyFont="1" applyFill="1" applyBorder="1" applyAlignment="1">
      <alignment horizontal="left" wrapText="1"/>
    </xf>
    <xf numFmtId="171" fontId="2" fillId="0" borderId="10" xfId="20" applyNumberFormat="1" applyFont="1" applyFill="1" applyBorder="1" applyAlignment="1">
      <alignment horizontal="left" wrapText="1"/>
    </xf>
    <xf numFmtId="171" fontId="2" fillId="0" borderId="9" xfId="20" applyNumberFormat="1" applyFont="1" applyFill="1" applyBorder="1" applyAlignment="1">
      <alignment horizontal="left" wrapText="1"/>
    </xf>
    <xf numFmtId="171" fontId="12" fillId="0" borderId="33" xfId="20" applyNumberFormat="1" applyFont="1" applyFill="1" applyBorder="1"/>
    <xf numFmtId="171" fontId="12" fillId="0" borderId="34" xfId="20" applyNumberFormat="1" applyFont="1" applyFill="1" applyBorder="1"/>
    <xf numFmtId="171" fontId="2" fillId="0" borderId="32" xfId="0" applyNumberFormat="1" applyFont="1" applyFill="1" applyBorder="1"/>
    <xf numFmtId="0" fontId="2" fillId="0" borderId="48" xfId="0" applyFont="1" applyFill="1" applyBorder="1" applyAlignment="1">
      <alignment horizontal="left" wrapText="1"/>
    </xf>
    <xf numFmtId="171" fontId="2" fillId="0" borderId="36" xfId="0" applyNumberFormat="1" applyFont="1" applyFill="1" applyBorder="1" applyAlignment="1">
      <alignment horizontal="center"/>
    </xf>
    <xf numFmtId="171" fontId="2" fillId="0" borderId="36" xfId="0" applyNumberFormat="1" applyFont="1" applyFill="1" applyBorder="1"/>
    <xf numFmtId="171" fontId="2" fillId="0" borderId="37" xfId="0" applyNumberFormat="1" applyFont="1" applyFill="1" applyBorder="1"/>
    <xf numFmtId="171" fontId="2" fillId="0" borderId="35" xfId="0" applyNumberFormat="1" applyFont="1" applyFill="1" applyBorder="1"/>
    <xf numFmtId="171" fontId="2" fillId="0" borderId="36" xfId="20" applyNumberFormat="1" applyFont="1" applyFill="1" applyBorder="1"/>
    <xf numFmtId="171" fontId="2" fillId="0" borderId="37" xfId="20" applyNumberFormat="1" applyFont="1" applyFill="1" applyBorder="1"/>
    <xf numFmtId="171" fontId="2" fillId="0" borderId="8" xfId="20" applyNumberFormat="1" applyFont="1" applyFill="1" applyBorder="1"/>
    <xf numFmtId="0" fontId="2" fillId="8" borderId="38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left" wrapText="1"/>
    </xf>
    <xf numFmtId="171" fontId="2" fillId="0" borderId="32" xfId="0" applyNumberFormat="1" applyFont="1" applyFill="1" applyBorder="1" applyAlignment="1">
      <alignment horizontal="left" wrapText="1"/>
    </xf>
    <xf numFmtId="171" fontId="2" fillId="0" borderId="61" xfId="0" applyNumberFormat="1" applyFont="1" applyFill="1" applyBorder="1"/>
    <xf numFmtId="169" fontId="12" fillId="0" borderId="22" xfId="0" applyNumberFormat="1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171" fontId="2" fillId="0" borderId="35" xfId="0" applyNumberFormat="1" applyFont="1" applyFill="1" applyBorder="1" applyAlignment="1">
      <alignment horizontal="left" wrapText="1"/>
    </xf>
    <xf numFmtId="171" fontId="2" fillId="0" borderId="8" xfId="0" applyNumberFormat="1" applyFont="1" applyFill="1" applyBorder="1"/>
    <xf numFmtId="0" fontId="2" fillId="8" borderId="38" xfId="0" applyFont="1" applyFill="1" applyBorder="1"/>
    <xf numFmtId="171" fontId="2" fillId="0" borderId="22" xfId="0" applyNumberFormat="1" applyFont="1" applyFill="1" applyBorder="1" applyAlignment="1">
      <alignment horizontal="left" wrapText="1"/>
    </xf>
    <xf numFmtId="171" fontId="12" fillId="0" borderId="55" xfId="20" applyNumberFormat="1" applyFont="1" applyFill="1" applyBorder="1" applyAlignment="1">
      <alignment horizontal="center"/>
    </xf>
    <xf numFmtId="171" fontId="2" fillId="0" borderId="38" xfId="0" applyNumberFormat="1" applyFont="1" applyFill="1" applyBorder="1" applyAlignment="1">
      <alignment horizontal="left" wrapText="1"/>
    </xf>
    <xf numFmtId="171" fontId="2" fillId="0" borderId="39" xfId="0" applyNumberFormat="1" applyFont="1" applyFill="1" applyBorder="1" applyAlignment="1">
      <alignment horizontal="center"/>
    </xf>
    <xf numFmtId="171" fontId="2" fillId="0" borderId="22" xfId="20" applyNumberFormat="1" applyFont="1" applyFill="1" applyBorder="1" applyAlignment="1">
      <alignment horizontal="left" wrapText="1"/>
    </xf>
    <xf numFmtId="171" fontId="2" fillId="0" borderId="38" xfId="20" applyNumberFormat="1" applyFont="1" applyFill="1" applyBorder="1" applyAlignment="1">
      <alignment horizontal="left" wrapText="1"/>
    </xf>
    <xf numFmtId="0" fontId="14" fillId="0" borderId="60" xfId="14" applyFont="1" applyFill="1" applyBorder="1" applyAlignment="1">
      <alignment horizontal="center"/>
    </xf>
    <xf numFmtId="0" fontId="14" fillId="0" borderId="23" xfId="14" applyFont="1" applyFill="1" applyBorder="1" applyAlignment="1">
      <alignment wrapText="1"/>
    </xf>
    <xf numFmtId="0" fontId="12" fillId="0" borderId="14" xfId="14" applyFont="1" applyFill="1" applyBorder="1" applyAlignment="1">
      <alignment horizontal="left"/>
    </xf>
    <xf numFmtId="0" fontId="2" fillId="8" borderId="63" xfId="0" applyFont="1" applyFill="1" applyBorder="1" applyAlignment="1">
      <alignment horizontal="center"/>
    </xf>
    <xf numFmtId="171" fontId="2" fillId="0" borderId="33" xfId="20" applyNumberFormat="1" applyFont="1" applyFill="1" applyBorder="1" applyAlignment="1">
      <alignment horizontal="left" wrapText="1"/>
    </xf>
    <xf numFmtId="171" fontId="2" fillId="0" borderId="36" xfId="20" applyNumberFormat="1" applyFont="1" applyFill="1" applyBorder="1" applyAlignment="1">
      <alignment horizontal="left" wrapText="1"/>
    </xf>
    <xf numFmtId="171" fontId="12" fillId="0" borderId="11" xfId="20" applyNumberFormat="1" applyFont="1" applyFill="1" applyBorder="1" applyAlignment="1">
      <alignment horizontal="center"/>
    </xf>
    <xf numFmtId="171" fontId="2" fillId="0" borderId="49" xfId="20" applyNumberFormat="1" applyFont="1" applyFill="1" applyBorder="1" applyAlignment="1">
      <alignment horizontal="left" wrapText="1"/>
    </xf>
    <xf numFmtId="171" fontId="2" fillId="0" borderId="61" xfId="20" applyNumberFormat="1" applyFont="1" applyFill="1" applyBorder="1" applyAlignment="1">
      <alignment horizontal="left" wrapText="1"/>
    </xf>
    <xf numFmtId="171" fontId="12" fillId="0" borderId="32" xfId="20" applyNumberFormat="1" applyFont="1" applyFill="1" applyBorder="1" applyAlignment="1">
      <alignment horizontal="center"/>
    </xf>
    <xf numFmtId="171" fontId="2" fillId="0" borderId="8" xfId="20" applyNumberFormat="1" applyFont="1" applyFill="1" applyBorder="1" applyAlignment="1">
      <alignment horizontal="left" wrapText="1"/>
    </xf>
    <xf numFmtId="171" fontId="2" fillId="0" borderId="11" xfId="20" applyNumberFormat="1" applyFont="1" applyFill="1" applyBorder="1"/>
    <xf numFmtId="171" fontId="2" fillId="0" borderId="32" xfId="20" applyNumberFormat="1" applyFont="1" applyFill="1" applyBorder="1"/>
    <xf numFmtId="171" fontId="2" fillId="0" borderId="49" xfId="20" applyNumberFormat="1" applyFont="1" applyFill="1" applyBorder="1"/>
    <xf numFmtId="171" fontId="2" fillId="0" borderId="61" xfId="20" applyNumberFormat="1" applyFont="1" applyFill="1" applyBorder="1"/>
    <xf numFmtId="0" fontId="12" fillId="0" borderId="43" xfId="0" applyFont="1" applyFill="1" applyBorder="1" applyAlignment="1">
      <alignment horizontal="center" wrapText="1"/>
    </xf>
    <xf numFmtId="0" fontId="12" fillId="0" borderId="45" xfId="0" applyFont="1" applyFill="1" applyBorder="1" applyAlignment="1">
      <alignment wrapText="1"/>
    </xf>
    <xf numFmtId="171" fontId="2" fillId="0" borderId="18" xfId="0" applyNumberFormat="1" applyFont="1" applyFill="1" applyBorder="1" applyAlignment="1">
      <alignment horizontal="center" wrapText="1"/>
    </xf>
    <xf numFmtId="171" fontId="12" fillId="0" borderId="43" xfId="20" applyNumberFormat="1" applyFont="1" applyFill="1" applyBorder="1" applyAlignment="1">
      <alignment horizontal="center"/>
    </xf>
    <xf numFmtId="171" fontId="12" fillId="0" borderId="45" xfId="20" applyNumberFormat="1" applyFont="1" applyFill="1" applyBorder="1" applyAlignment="1">
      <alignment horizontal="center"/>
    </xf>
    <xf numFmtId="171" fontId="2" fillId="0" borderId="18" xfId="20" applyNumberFormat="1" applyFont="1" applyFill="1" applyBorder="1" applyAlignment="1">
      <alignment horizontal="center" wrapText="1"/>
    </xf>
    <xf numFmtId="171" fontId="2" fillId="0" borderId="17" xfId="20" applyNumberFormat="1" applyFont="1" applyFill="1" applyBorder="1" applyAlignment="1">
      <alignment horizontal="center" wrapText="1"/>
    </xf>
    <xf numFmtId="169" fontId="12" fillId="0" borderId="17" xfId="0" applyNumberFormat="1" applyFont="1" applyFill="1" applyBorder="1" applyAlignment="1">
      <alignment horizontal="center" wrapText="1"/>
    </xf>
    <xf numFmtId="171" fontId="2" fillId="0" borderId="49" xfId="2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14" applyFont="1" applyFill="1" applyBorder="1" applyAlignment="1">
      <alignment horizontal="left" vertical="top"/>
    </xf>
    <xf numFmtId="0" fontId="2" fillId="0" borderId="49" xfId="14" applyFont="1" applyFill="1" applyBorder="1" applyAlignment="1">
      <alignment horizontal="left"/>
    </xf>
    <xf numFmtId="0" fontId="2" fillId="0" borderId="58" xfId="14" applyFont="1" applyFill="1" applyBorder="1" applyAlignment="1">
      <alignment horizontal="left" vertical="top"/>
    </xf>
    <xf numFmtId="0" fontId="2" fillId="0" borderId="59" xfId="14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 wrapText="1"/>
    </xf>
    <xf numFmtId="170" fontId="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Border="1"/>
    <xf numFmtId="169" fontId="12" fillId="0" borderId="0" xfId="0" applyNumberFormat="1" applyFont="1" applyFill="1" applyBorder="1" applyAlignment="1">
      <alignment horizontal="center"/>
    </xf>
    <xf numFmtId="170" fontId="12" fillId="0" borderId="24" xfId="0" applyNumberFormat="1" applyFont="1" applyFill="1" applyBorder="1"/>
    <xf numFmtId="170" fontId="2" fillId="0" borderId="0" xfId="0" applyNumberFormat="1" applyFont="1" applyFill="1" applyBorder="1"/>
    <xf numFmtId="0" fontId="12" fillId="0" borderId="11" xfId="14" applyFont="1" applyFill="1" applyBorder="1" applyAlignment="1">
      <alignment horizontal="center"/>
    </xf>
    <xf numFmtId="41" fontId="2" fillId="0" borderId="6" xfId="0" applyNumberFormat="1" applyFont="1" applyFill="1" applyBorder="1" applyAlignment="1">
      <alignment horizontal="right"/>
    </xf>
    <xf numFmtId="0" fontId="12" fillId="0" borderId="12" xfId="14" applyFont="1" applyFill="1" applyBorder="1" applyAlignment="1">
      <alignment horizontal="center"/>
    </xf>
    <xf numFmtId="41" fontId="2" fillId="0" borderId="5" xfId="0" applyNumberFormat="1" applyFont="1" applyFill="1" applyBorder="1" applyAlignment="1">
      <alignment horizontal="right"/>
    </xf>
    <xf numFmtId="0" fontId="2" fillId="0" borderId="16" xfId="14" applyFont="1" applyFill="1" applyBorder="1" applyAlignment="1">
      <alignment horizontal="center" vertical="top" wrapText="1"/>
    </xf>
    <xf numFmtId="41" fontId="2" fillId="0" borderId="16" xfId="0" applyNumberFormat="1" applyFont="1" applyFill="1" applyBorder="1" applyAlignment="1">
      <alignment horizontal="right"/>
    </xf>
    <xf numFmtId="41" fontId="2" fillId="0" borderId="35" xfId="0" applyNumberFormat="1" applyFont="1" applyFill="1" applyBorder="1" applyAlignment="1">
      <alignment horizontal="right"/>
    </xf>
    <xf numFmtId="41" fontId="2" fillId="0" borderId="36" xfId="0" applyNumberFormat="1" applyFont="1" applyFill="1" applyBorder="1" applyAlignment="1">
      <alignment horizontal="right"/>
    </xf>
    <xf numFmtId="41" fontId="2" fillId="0" borderId="39" xfId="0" applyNumberFormat="1" applyFont="1" applyFill="1" applyBorder="1" applyAlignment="1">
      <alignment horizontal="right"/>
    </xf>
    <xf numFmtId="169" fontId="12" fillId="7" borderId="16" xfId="0" applyNumberFormat="1" applyFont="1" applyFill="1" applyBorder="1" applyAlignment="1">
      <alignment horizontal="center"/>
    </xf>
    <xf numFmtId="0" fontId="12" fillId="0" borderId="0" xfId="14" applyFont="1" applyFill="1" applyBorder="1" applyAlignment="1">
      <alignment horizontal="center"/>
    </xf>
    <xf numFmtId="41" fontId="12" fillId="0" borderId="40" xfId="0" applyNumberFormat="1" applyFont="1" applyFill="1" applyBorder="1" applyAlignment="1">
      <alignment horizontal="right"/>
    </xf>
    <xf numFmtId="41" fontId="12" fillId="0" borderId="24" xfId="0" applyNumberFormat="1" applyFont="1" applyFill="1" applyBorder="1" applyAlignment="1">
      <alignment horizontal="right"/>
    </xf>
    <xf numFmtId="41" fontId="2" fillId="0" borderId="41" xfId="0" applyNumberFormat="1" applyFont="1" applyFill="1" applyBorder="1" applyAlignment="1">
      <alignment horizontal="right"/>
    </xf>
    <xf numFmtId="0" fontId="12" fillId="0" borderId="18" xfId="14" applyFont="1" applyFill="1" applyBorder="1" applyAlignment="1">
      <alignment horizontal="center"/>
    </xf>
    <xf numFmtId="41" fontId="2" fillId="0" borderId="42" xfId="0" applyNumberFormat="1" applyFont="1" applyFill="1" applyBorder="1" applyAlignment="1">
      <alignment horizontal="right"/>
    </xf>
    <xf numFmtId="41" fontId="12" fillId="0" borderId="43" xfId="0" applyNumberFormat="1" applyFont="1" applyFill="1" applyBorder="1" applyAlignment="1">
      <alignment horizontal="right"/>
    </xf>
    <xf numFmtId="41" fontId="12" fillId="0" borderId="44" xfId="0" applyNumberFormat="1" applyFont="1" applyFill="1" applyBorder="1" applyAlignment="1">
      <alignment horizontal="right"/>
    </xf>
    <xf numFmtId="41" fontId="12" fillId="0" borderId="45" xfId="0" applyNumberFormat="1" applyFont="1" applyFill="1" applyBorder="1" applyAlignment="1">
      <alignment horizontal="right"/>
    </xf>
    <xf numFmtId="169" fontId="12" fillId="0" borderId="25" xfId="0" applyNumberFormat="1" applyFont="1" applyFill="1" applyBorder="1" applyAlignment="1">
      <alignment horizontal="center"/>
    </xf>
    <xf numFmtId="41" fontId="2" fillId="0" borderId="46" xfId="0" applyNumberFormat="1" applyFont="1" applyFill="1" applyBorder="1" applyAlignment="1">
      <alignment horizontal="right"/>
    </xf>
    <xf numFmtId="41" fontId="12" fillId="0" borderId="47" xfId="0" applyNumberFormat="1" applyFont="1" applyFill="1" applyBorder="1" applyAlignment="1">
      <alignment horizontal="right"/>
    </xf>
    <xf numFmtId="41" fontId="2" fillId="0" borderId="48" xfId="0" applyNumberFormat="1" applyFont="1" applyFill="1" applyBorder="1" applyAlignment="1">
      <alignment horizontal="right"/>
    </xf>
    <xf numFmtId="41" fontId="12" fillId="0" borderId="50" xfId="0" applyNumberFormat="1" applyFont="1" applyFill="1" applyBorder="1" applyAlignment="1">
      <alignment horizontal="right"/>
    </xf>
    <xf numFmtId="0" fontId="2" fillId="0" borderId="0" xfId="14" applyFont="1" applyFill="1" applyBorder="1" applyAlignment="1">
      <alignment horizontal="center" vertical="top" wrapText="1"/>
    </xf>
    <xf numFmtId="169" fontId="12" fillId="7" borderId="0" xfId="0" applyNumberFormat="1" applyFont="1" applyFill="1" applyBorder="1" applyAlignment="1">
      <alignment horizontal="center"/>
    </xf>
    <xf numFmtId="0" fontId="2" fillId="0" borderId="20" xfId="14" applyFont="1" applyFill="1" applyBorder="1" applyAlignment="1">
      <alignment horizontal="left" vertical="top"/>
    </xf>
    <xf numFmtId="0" fontId="2" fillId="0" borderId="47" xfId="14" applyFont="1" applyFill="1" applyBorder="1" applyAlignment="1">
      <alignment horizontal="center" vertical="top" wrapText="1"/>
    </xf>
    <xf numFmtId="41" fontId="2" fillId="0" borderId="52" xfId="0" applyNumberFormat="1" applyFont="1" applyFill="1" applyBorder="1" applyAlignment="1">
      <alignment horizontal="right"/>
    </xf>
    <xf numFmtId="41" fontId="2" fillId="0" borderId="53" xfId="0" applyNumberFormat="1" applyFont="1" applyFill="1" applyBorder="1" applyAlignment="1">
      <alignment horizontal="right"/>
    </xf>
    <xf numFmtId="41" fontId="2" fillId="0" borderId="47" xfId="0" applyNumberFormat="1" applyFont="1" applyFill="1" applyBorder="1" applyAlignment="1">
      <alignment horizontal="right"/>
    </xf>
    <xf numFmtId="41" fontId="2" fillId="0" borderId="20" xfId="0" applyNumberFormat="1" applyFont="1" applyFill="1" applyBorder="1" applyAlignment="1">
      <alignment horizontal="right"/>
    </xf>
    <xf numFmtId="41" fontId="2" fillId="0" borderId="59" xfId="0" applyNumberFormat="1" applyFont="1" applyFill="1" applyBorder="1" applyAlignment="1">
      <alignment horizontal="right"/>
    </xf>
    <xf numFmtId="169" fontId="12" fillId="7" borderId="13" xfId="0" applyNumberFormat="1" applyFont="1" applyFill="1" applyBorder="1" applyAlignment="1">
      <alignment horizontal="center"/>
    </xf>
    <xf numFmtId="0" fontId="12" fillId="0" borderId="0" xfId="14" applyFont="1" applyFill="1" applyBorder="1" applyAlignment="1">
      <alignment horizontal="left"/>
    </xf>
    <xf numFmtId="41" fontId="12" fillId="0" borderId="42" xfId="0" applyNumberFormat="1" applyFont="1" applyFill="1" applyBorder="1" applyAlignment="1">
      <alignment horizontal="right"/>
    </xf>
    <xf numFmtId="169" fontId="12" fillId="0" borderId="17" xfId="0" applyNumberFormat="1" applyFont="1" applyFill="1" applyBorder="1" applyAlignment="1">
      <alignment horizontal="center"/>
    </xf>
    <xf numFmtId="41" fontId="2" fillId="0" borderId="51" xfId="0" applyNumberFormat="1" applyFont="1" applyFill="1" applyBorder="1" applyAlignment="1">
      <alignment horizontal="right"/>
    </xf>
    <xf numFmtId="170" fontId="2" fillId="7" borderId="16" xfId="0" applyNumberFormat="1" applyFont="1" applyFill="1" applyBorder="1" applyAlignment="1">
      <alignment horizontal="center"/>
    </xf>
    <xf numFmtId="41" fontId="2" fillId="0" borderId="33" xfId="0" applyNumberFormat="1" applyFont="1" applyFill="1" applyBorder="1" applyAlignment="1">
      <alignment horizontal="right"/>
    </xf>
    <xf numFmtId="41" fontId="12" fillId="0" borderId="55" xfId="0" applyNumberFormat="1" applyFont="1" applyFill="1" applyBorder="1" applyAlignment="1">
      <alignment horizontal="right"/>
    </xf>
    <xf numFmtId="169" fontId="12" fillId="0" borderId="7" xfId="0" applyNumberFormat="1" applyFont="1" applyFill="1" applyBorder="1" applyAlignment="1">
      <alignment horizontal="center"/>
    </xf>
    <xf numFmtId="169" fontId="12" fillId="8" borderId="6" xfId="0" applyNumberFormat="1" applyFont="1" applyFill="1" applyBorder="1" applyAlignment="1">
      <alignment horizontal="center"/>
    </xf>
    <xf numFmtId="0" fontId="2" fillId="0" borderId="25" xfId="14" applyFont="1" applyFill="1" applyBorder="1" applyAlignment="1">
      <alignment horizontal="center" vertical="top" wrapText="1"/>
    </xf>
    <xf numFmtId="41" fontId="2" fillId="0" borderId="44" xfId="0" applyNumberFormat="1" applyFont="1" applyFill="1" applyBorder="1" applyAlignment="1">
      <alignment horizontal="right"/>
    </xf>
    <xf numFmtId="41" fontId="2" fillId="0" borderId="43" xfId="0" applyNumberFormat="1" applyFont="1" applyFill="1" applyBorder="1" applyAlignment="1">
      <alignment horizontal="right"/>
    </xf>
    <xf numFmtId="41" fontId="2" fillId="0" borderId="45" xfId="0" applyNumberFormat="1" applyFont="1" applyFill="1" applyBorder="1" applyAlignment="1">
      <alignment horizontal="right"/>
    </xf>
    <xf numFmtId="170" fontId="2" fillId="7" borderId="25" xfId="0" applyNumberFormat="1" applyFont="1" applyFill="1" applyBorder="1" applyAlignment="1">
      <alignment horizontal="center"/>
    </xf>
    <xf numFmtId="0" fontId="2" fillId="0" borderId="27" xfId="14" applyFont="1" applyFill="1" applyBorder="1" applyAlignment="1">
      <alignment horizontal="center" vertical="top" wrapText="1"/>
    </xf>
    <xf numFmtId="170" fontId="2" fillId="7" borderId="27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left" wrapText="1"/>
    </xf>
    <xf numFmtId="171" fontId="2" fillId="0" borderId="11" xfId="0" applyNumberFormat="1" applyFont="1" applyFill="1" applyBorder="1" applyAlignment="1">
      <alignment horizontal="center"/>
    </xf>
    <xf numFmtId="171" fontId="2" fillId="0" borderId="12" xfId="20" applyNumberFormat="1" applyFont="1" applyFill="1" applyBorder="1" applyAlignment="1">
      <alignment horizontal="center"/>
    </xf>
    <xf numFmtId="171" fontId="2" fillId="0" borderId="60" xfId="20" applyNumberFormat="1" applyFont="1" applyFill="1" applyBorder="1"/>
    <xf numFmtId="0" fontId="12" fillId="0" borderId="23" xfId="0" applyFont="1" applyFill="1" applyBorder="1" applyAlignment="1">
      <alignment horizontal="left" wrapText="1"/>
    </xf>
    <xf numFmtId="0" fontId="12" fillId="0" borderId="32" xfId="0" applyFont="1" applyFill="1" applyBorder="1" applyAlignment="1">
      <alignment horizontal="center"/>
    </xf>
    <xf numFmtId="171" fontId="2" fillId="0" borderId="32" xfId="20" applyNumberFormat="1" applyFont="1" applyFill="1" applyBorder="1" applyAlignment="1">
      <alignment horizontal="center"/>
    </xf>
    <xf numFmtId="0" fontId="12" fillId="0" borderId="48" xfId="0" applyFont="1" applyFill="1" applyBorder="1" applyAlignment="1">
      <alignment horizontal="center"/>
    </xf>
    <xf numFmtId="171" fontId="12" fillId="0" borderId="36" xfId="0" applyNumberFormat="1" applyFont="1" applyFill="1" applyBorder="1"/>
    <xf numFmtId="171" fontId="12" fillId="0" borderId="37" xfId="0" applyNumberFormat="1" applyFont="1" applyFill="1" applyBorder="1"/>
    <xf numFmtId="171" fontId="12" fillId="0" borderId="35" xfId="0" applyNumberFormat="1" applyFont="1" applyFill="1" applyBorder="1"/>
    <xf numFmtId="164" fontId="12" fillId="0" borderId="36" xfId="0" applyNumberFormat="1" applyFont="1" applyFill="1" applyBorder="1"/>
    <xf numFmtId="164" fontId="12" fillId="0" borderId="37" xfId="0" applyNumberFormat="1" applyFont="1" applyFill="1" applyBorder="1"/>
    <xf numFmtId="164" fontId="12" fillId="0" borderId="8" xfId="0" applyNumberFormat="1" applyFont="1" applyFill="1" applyBorder="1"/>
    <xf numFmtId="169" fontId="12" fillId="0" borderId="29" xfId="0" applyNumberFormat="1" applyFont="1" applyFill="1" applyBorder="1" applyAlignment="1">
      <alignment horizontal="left" wrapText="1"/>
    </xf>
    <xf numFmtId="169" fontId="12" fillId="0" borderId="34" xfId="0" applyNumberFormat="1" applyFont="1" applyFill="1" applyBorder="1" applyAlignment="1">
      <alignment horizontal="left" wrapText="1"/>
    </xf>
    <xf numFmtId="0" fontId="12" fillId="0" borderId="28" xfId="0" applyFont="1" applyFill="1" applyBorder="1" applyAlignment="1">
      <alignment horizontal="left" wrapText="1"/>
    </xf>
    <xf numFmtId="0" fontId="12" fillId="0" borderId="33" xfId="0" applyFont="1" applyFill="1" applyBorder="1" applyAlignment="1">
      <alignment horizontal="left" wrapText="1"/>
    </xf>
    <xf numFmtId="0" fontId="12" fillId="0" borderId="39" xfId="0" applyFont="1" applyFill="1" applyBorder="1" applyAlignment="1">
      <alignment horizontal="center"/>
    </xf>
    <xf numFmtId="171" fontId="2" fillId="0" borderId="35" xfId="0" applyNumberFormat="1" applyFont="1" applyFill="1" applyBorder="1" applyAlignment="1">
      <alignment horizontal="center"/>
    </xf>
    <xf numFmtId="0" fontId="2" fillId="8" borderId="51" xfId="0" applyFont="1" applyFill="1" applyBorder="1"/>
    <xf numFmtId="0" fontId="12" fillId="0" borderId="57" xfId="14" applyFont="1" applyFill="1" applyBorder="1" applyAlignment="1">
      <alignment horizontal="center"/>
    </xf>
    <xf numFmtId="0" fontId="9" fillId="0" borderId="29" xfId="13" applyFont="1" applyFill="1" applyBorder="1" applyAlignment="1">
      <alignment horizontal="left" wrapText="1"/>
    </xf>
    <xf numFmtId="0" fontId="9" fillId="0" borderId="23" xfId="13" applyFont="1" applyFill="1" applyBorder="1" applyAlignment="1">
      <alignment horizontal="left" wrapText="1"/>
    </xf>
    <xf numFmtId="171" fontId="12" fillId="0" borderId="38" xfId="0" applyNumberFormat="1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indent="1"/>
    </xf>
    <xf numFmtId="0" fontId="16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41" fontId="18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170" fontId="2" fillId="8" borderId="16" xfId="0" applyNumberFormat="1" applyFont="1" applyFill="1" applyBorder="1" applyAlignment="1">
      <alignment horizontal="center"/>
    </xf>
    <xf numFmtId="0" fontId="20" fillId="0" borderId="0" xfId="0" applyFont="1" applyFill="1" applyBorder="1"/>
    <xf numFmtId="0" fontId="21" fillId="0" borderId="0" xfId="0" applyFont="1" applyFill="1" applyBorder="1"/>
    <xf numFmtId="0" fontId="12" fillId="0" borderId="64" xfId="0" applyFont="1" applyFill="1" applyBorder="1" applyAlignment="1">
      <alignment horizontal="center"/>
    </xf>
    <xf numFmtId="0" fontId="12" fillId="0" borderId="50" xfId="0" applyFont="1" applyFill="1" applyBorder="1" applyAlignment="1">
      <alignment horizontal="left"/>
    </xf>
    <xf numFmtId="171" fontId="12" fillId="0" borderId="64" xfId="0" applyNumberFormat="1" applyFont="1" applyFill="1" applyBorder="1" applyAlignment="1">
      <alignment horizontal="left" wrapText="1"/>
    </xf>
    <xf numFmtId="171" fontId="12" fillId="0" borderId="65" xfId="20" applyNumberFormat="1" applyFont="1" applyFill="1" applyBorder="1" applyAlignment="1">
      <alignment horizontal="center"/>
    </xf>
    <xf numFmtId="171" fontId="12" fillId="0" borderId="65" xfId="20" applyNumberFormat="1" applyFont="1" applyFill="1" applyBorder="1"/>
    <xf numFmtId="171" fontId="12" fillId="0" borderId="50" xfId="20" applyNumberFormat="1" applyFont="1" applyFill="1" applyBorder="1"/>
    <xf numFmtId="171" fontId="12" fillId="0" borderId="64" xfId="0" applyNumberFormat="1" applyFont="1" applyFill="1" applyBorder="1"/>
    <xf numFmtId="164" fontId="12" fillId="0" borderId="65" xfId="0" applyNumberFormat="1" applyFont="1" applyFill="1" applyBorder="1"/>
    <xf numFmtId="164" fontId="12" fillId="0" borderId="50" xfId="0" applyNumberFormat="1" applyFont="1" applyFill="1" applyBorder="1"/>
    <xf numFmtId="164" fontId="12" fillId="0" borderId="62" xfId="0" applyNumberFormat="1" applyFont="1" applyFill="1" applyBorder="1"/>
    <xf numFmtId="0" fontId="12" fillId="0" borderId="54" xfId="0" applyFont="1" applyFill="1" applyBorder="1" applyAlignment="1">
      <alignment horizontal="center"/>
    </xf>
    <xf numFmtId="169" fontId="1" fillId="0" borderId="25" xfId="0" applyNumberFormat="1" applyFont="1" applyFill="1" applyBorder="1" applyAlignment="1">
      <alignment horizontal="center" wrapText="1"/>
    </xf>
    <xf numFmtId="169" fontId="1" fillId="0" borderId="5" xfId="0" applyNumberFormat="1" applyFont="1" applyFill="1" applyBorder="1" applyAlignment="1">
      <alignment horizontal="center"/>
    </xf>
    <xf numFmtId="0" fontId="14" fillId="0" borderId="11" xfId="14" applyFont="1" applyFill="1" applyBorder="1" applyAlignment="1">
      <alignment horizontal="center"/>
    </xf>
    <xf numFmtId="172" fontId="2" fillId="0" borderId="12" xfId="0" applyNumberFormat="1" applyFont="1" applyFill="1" applyBorder="1"/>
    <xf numFmtId="169" fontId="1" fillId="0" borderId="9" xfId="0" applyNumberFormat="1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left" wrapText="1"/>
    </xf>
  </cellXfs>
  <cellStyles count="21">
    <cellStyle name="Actual Date" xfId="1"/>
    <cellStyle name="Comma" xfId="20" builtinId="3"/>
    <cellStyle name="Date" xfId="2"/>
    <cellStyle name="Fixed" xfId="3"/>
    <cellStyle name="Grey" xfId="4"/>
    <cellStyle name="HEADER" xfId="5"/>
    <cellStyle name="Heading1" xfId="6"/>
    <cellStyle name="Heading2" xfId="7"/>
    <cellStyle name="HIGHLIGHT" xfId="8"/>
    <cellStyle name="Input [yellow]" xfId="9"/>
    <cellStyle name="no dec" xfId="10"/>
    <cellStyle name="Normal" xfId="0" builtinId="0"/>
    <cellStyle name="Normal - Style1" xfId="11"/>
    <cellStyle name="Normal 18" xfId="12"/>
    <cellStyle name="Normal 18 2" xfId="13"/>
    <cellStyle name="Normal_Capital 2009 FERC 2009 FINAL" xfId="14"/>
    <cellStyle name="Percent [2]" xfId="15"/>
    <cellStyle name="Total" xfId="16" builtinId="25" customBuiltin="1"/>
    <cellStyle name="Unprot" xfId="17"/>
    <cellStyle name="Unprot$" xfId="18"/>
    <cellStyle name="Unprotect" xfId="19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155"/>
  <sheetViews>
    <sheetView showGridLines="0" tabSelected="1" zoomScale="90" zoomScaleNormal="90" zoomScalePageLayoutView="90" workbookViewId="0">
      <selection activeCell="B160" sqref="B160"/>
    </sheetView>
  </sheetViews>
  <sheetFormatPr defaultRowHeight="12.75"/>
  <cols>
    <col min="1" max="1" width="12.7109375" style="50" customWidth="1"/>
    <col min="2" max="2" width="76.7109375" style="50" customWidth="1"/>
    <col min="3" max="3" width="11.140625" style="237" customWidth="1"/>
    <col min="4" max="7" width="8.42578125" style="175" customWidth="1"/>
    <col min="8" max="8" width="9.5703125" style="46" customWidth="1"/>
    <col min="9" max="11" width="8.42578125" style="46" customWidth="1"/>
    <col min="12" max="15" width="9.5703125" style="46" customWidth="1"/>
    <col min="16" max="16" width="11.140625" style="46" customWidth="1"/>
    <col min="17" max="25" width="8.42578125" style="46" customWidth="1"/>
    <col min="26" max="26" width="10.42578125" style="46" customWidth="1"/>
    <col min="27" max="27" width="15.28515625" style="1" customWidth="1"/>
    <col min="28" max="28" width="16.28515625" style="270" bestFit="1" customWidth="1"/>
    <col min="29" max="29" width="2.42578125" style="46" customWidth="1"/>
    <col min="30" max="16384" width="9.140625" style="46"/>
  </cols>
  <sheetData>
    <row r="1" spans="1:34" ht="38.25">
      <c r="A1" s="52" t="s">
        <v>41</v>
      </c>
      <c r="B1" s="47" t="s">
        <v>0</v>
      </c>
      <c r="C1" s="47" t="s">
        <v>37</v>
      </c>
      <c r="D1" s="48">
        <v>40939</v>
      </c>
      <c r="E1" s="48">
        <v>40968</v>
      </c>
      <c r="F1" s="48">
        <v>40999</v>
      </c>
      <c r="G1" s="48">
        <v>41029</v>
      </c>
      <c r="H1" s="48">
        <v>41060</v>
      </c>
      <c r="I1" s="48">
        <v>41090</v>
      </c>
      <c r="J1" s="48">
        <v>41121</v>
      </c>
      <c r="K1" s="48">
        <v>41152</v>
      </c>
      <c r="L1" s="48">
        <v>41182</v>
      </c>
      <c r="M1" s="48">
        <v>41213</v>
      </c>
      <c r="N1" s="48">
        <v>41243</v>
      </c>
      <c r="O1" s="48">
        <v>41255</v>
      </c>
      <c r="P1" s="49" t="s">
        <v>38</v>
      </c>
      <c r="Q1" s="48">
        <v>41305</v>
      </c>
      <c r="R1" s="48">
        <v>41333</v>
      </c>
      <c r="S1" s="48">
        <v>41364</v>
      </c>
      <c r="T1" s="48">
        <v>41394</v>
      </c>
      <c r="U1" s="48">
        <v>41425</v>
      </c>
      <c r="V1" s="48">
        <v>41455</v>
      </c>
      <c r="W1" s="48">
        <v>41486</v>
      </c>
      <c r="X1" s="48">
        <v>41517</v>
      </c>
      <c r="Y1" s="48">
        <v>41547</v>
      </c>
      <c r="Z1" s="49" t="s">
        <v>39</v>
      </c>
      <c r="AA1" s="55" t="s">
        <v>40</v>
      </c>
      <c r="AB1" s="264"/>
    </row>
    <row r="2" spans="1:34">
      <c r="A2" s="2"/>
      <c r="B2" s="58"/>
      <c r="C2" s="5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59"/>
      <c r="R2" s="59"/>
      <c r="S2" s="59"/>
      <c r="T2" s="59"/>
      <c r="U2" s="59"/>
      <c r="V2" s="59"/>
      <c r="W2" s="59"/>
      <c r="X2" s="59"/>
      <c r="Y2" s="59"/>
      <c r="Z2" s="60"/>
      <c r="AA2" s="60"/>
      <c r="AB2" s="265"/>
    </row>
    <row r="3" spans="1:34" ht="13.5" thickBot="1">
      <c r="A3" s="2">
        <v>4847</v>
      </c>
      <c r="B3" s="2" t="s">
        <v>45</v>
      </c>
      <c r="C3" s="58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  <c r="Q3" s="59"/>
      <c r="R3" s="59"/>
      <c r="S3" s="59"/>
      <c r="T3" s="59"/>
      <c r="U3" s="59"/>
      <c r="V3" s="59"/>
      <c r="W3" s="59"/>
      <c r="X3" s="59"/>
      <c r="Y3" s="59"/>
      <c r="Z3" s="60"/>
      <c r="AA3" s="60"/>
      <c r="AB3" s="265"/>
    </row>
    <row r="4" spans="1:34">
      <c r="A4" s="87">
        <v>800062522</v>
      </c>
      <c r="B4" s="88" t="s">
        <v>46</v>
      </c>
      <c r="C4" s="89">
        <f>+P4+Z4</f>
        <v>3903.25432</v>
      </c>
      <c r="D4" s="90">
        <v>26.984999999999999</v>
      </c>
      <c r="E4" s="90">
        <v>59.426830000000002</v>
      </c>
      <c r="F4" s="90">
        <v>48.762999999999998</v>
      </c>
      <c r="G4" s="90">
        <v>160.65799999999999</v>
      </c>
      <c r="H4" s="90">
        <v>255.268</v>
      </c>
      <c r="I4" s="90">
        <v>243.66446999999999</v>
      </c>
      <c r="J4" s="90">
        <v>243.66446999999999</v>
      </c>
      <c r="K4" s="90">
        <v>266.87061</v>
      </c>
      <c r="L4" s="90">
        <v>220.45832999999999</v>
      </c>
      <c r="M4" s="90">
        <v>255.26754</v>
      </c>
      <c r="N4" s="90">
        <v>164.22807</v>
      </c>
      <c r="O4" s="91">
        <v>458</v>
      </c>
      <c r="P4" s="92">
        <f>SUM(D4:O4)</f>
        <v>2403.25432</v>
      </c>
      <c r="Q4" s="90">
        <v>200</v>
      </c>
      <c r="R4" s="90">
        <v>200</v>
      </c>
      <c r="S4" s="90">
        <v>200</v>
      </c>
      <c r="T4" s="90">
        <v>200</v>
      </c>
      <c r="U4" s="90">
        <v>200</v>
      </c>
      <c r="V4" s="90">
        <v>200</v>
      </c>
      <c r="W4" s="90">
        <v>100</v>
      </c>
      <c r="X4" s="90">
        <v>100</v>
      </c>
      <c r="Y4" s="91">
        <v>100</v>
      </c>
      <c r="Z4" s="172">
        <f>SUM(Q4:Y4)</f>
        <v>1500</v>
      </c>
      <c r="AA4" s="84">
        <v>41518</v>
      </c>
      <c r="AB4" s="265"/>
    </row>
    <row r="5" spans="1:34" ht="38.25">
      <c r="A5" s="164">
        <v>800062494</v>
      </c>
      <c r="B5" s="165" t="s">
        <v>47</v>
      </c>
      <c r="C5" s="166">
        <f t="shared" ref="C5:C18" si="0">+P5+Z5</f>
        <v>250150.22339</v>
      </c>
      <c r="D5" s="167">
        <v>4495.7619999999997</v>
      </c>
      <c r="E5" s="167">
        <v>3615.877</v>
      </c>
      <c r="F5" s="167">
        <v>11101.691000000001</v>
      </c>
      <c r="G5" s="167">
        <v>4361.6313899999996</v>
      </c>
      <c r="H5" s="167">
        <v>16941.539860000001</v>
      </c>
      <c r="I5" s="167">
        <v>7138.42706</v>
      </c>
      <c r="J5" s="167">
        <v>7211.3209400000005</v>
      </c>
      <c r="K5" s="167">
        <v>22896.133949999999</v>
      </c>
      <c r="L5" s="167">
        <v>22377.85601</v>
      </c>
      <c r="M5" s="167">
        <v>22145.605350000002</v>
      </c>
      <c r="N5" s="167">
        <v>19872.205190000001</v>
      </c>
      <c r="O5" s="168">
        <v>20750.209169999998</v>
      </c>
      <c r="P5" s="169">
        <f t="shared" ref="P5:P10" si="1">SUM(D5:O5)</f>
        <v>162908.25891999999</v>
      </c>
      <c r="Q5" s="167">
        <v>17650.578719999998</v>
      </c>
      <c r="R5" s="167">
        <v>12875.767890000001</v>
      </c>
      <c r="S5" s="167">
        <v>12150.38654</v>
      </c>
      <c r="T5" s="167">
        <v>10386.808800000001</v>
      </c>
      <c r="U5" s="167">
        <v>9731.7792699999991</v>
      </c>
      <c r="V5" s="167">
        <v>7647.0659100000003</v>
      </c>
      <c r="W5" s="167">
        <v>6867.6162000000004</v>
      </c>
      <c r="X5" s="167">
        <v>4830.0185199999996</v>
      </c>
      <c r="Y5" s="168">
        <v>5101.9426199999998</v>
      </c>
      <c r="Z5" s="170">
        <f>SUM(Q5:Y5)</f>
        <v>87241.964470000006</v>
      </c>
      <c r="AA5" s="171">
        <v>41518</v>
      </c>
      <c r="AB5" s="265"/>
    </row>
    <row r="6" spans="1:34" ht="38.25">
      <c r="A6" s="68">
        <v>800062527</v>
      </c>
      <c r="B6" s="70" t="s">
        <v>48</v>
      </c>
      <c r="C6" s="81">
        <f t="shared" si="0"/>
        <v>170517.79667000001</v>
      </c>
      <c r="D6" s="73">
        <v>3948.3580000000002</v>
      </c>
      <c r="E6" s="73">
        <v>3328.4189999999999</v>
      </c>
      <c r="F6" s="73">
        <v>7516.982</v>
      </c>
      <c r="G6" s="73">
        <v>2884.5932900000003</v>
      </c>
      <c r="H6" s="73">
        <v>7591.2942599999997</v>
      </c>
      <c r="I6" s="73">
        <v>6470.2430999999997</v>
      </c>
      <c r="J6" s="73">
        <v>3730.1948700000003</v>
      </c>
      <c r="K6" s="73">
        <v>15466.97768</v>
      </c>
      <c r="L6" s="73">
        <v>15058.51873</v>
      </c>
      <c r="M6" s="73">
        <v>14151.910449999999</v>
      </c>
      <c r="N6" s="73">
        <v>12772.297460000002</v>
      </c>
      <c r="O6" s="74">
        <v>12775.544379999999</v>
      </c>
      <c r="P6" s="79">
        <f t="shared" si="1"/>
        <v>105695.33322</v>
      </c>
      <c r="Q6" s="73">
        <v>12915.92203</v>
      </c>
      <c r="R6" s="73">
        <v>9442.9649300000001</v>
      </c>
      <c r="S6" s="73">
        <v>8841.2817899999991</v>
      </c>
      <c r="T6" s="73">
        <v>7563.6612800000003</v>
      </c>
      <c r="U6" s="73">
        <v>7124.9195300000001</v>
      </c>
      <c r="V6" s="73">
        <v>5750.01145</v>
      </c>
      <c r="W6" s="73">
        <v>5348.8351299999995</v>
      </c>
      <c r="X6" s="73">
        <v>3621.9692700000001</v>
      </c>
      <c r="Y6" s="74">
        <v>4212.89804</v>
      </c>
      <c r="Z6" s="114">
        <f>SUM(Q6:Y6)</f>
        <v>64822.463449999996</v>
      </c>
      <c r="AA6" s="12">
        <v>41518</v>
      </c>
      <c r="AB6" s="265"/>
    </row>
    <row r="7" spans="1:34">
      <c r="A7" s="68">
        <v>800062846</v>
      </c>
      <c r="B7" s="70" t="s">
        <v>51</v>
      </c>
      <c r="C7" s="81">
        <f t="shared" si="0"/>
        <v>3493.241</v>
      </c>
      <c r="D7" s="73">
        <v>37.683</v>
      </c>
      <c r="E7" s="73">
        <v>5.0119999999999996</v>
      </c>
      <c r="F7" s="73">
        <v>20.946000000000002</v>
      </c>
      <c r="G7" s="73">
        <v>252</v>
      </c>
      <c r="H7" s="73">
        <v>264</v>
      </c>
      <c r="I7" s="73">
        <v>252</v>
      </c>
      <c r="J7" s="73">
        <v>252</v>
      </c>
      <c r="K7" s="73">
        <v>276</v>
      </c>
      <c r="L7" s="73">
        <v>228</v>
      </c>
      <c r="M7" s="73">
        <v>264</v>
      </c>
      <c r="N7" s="73">
        <v>228</v>
      </c>
      <c r="O7" s="74">
        <v>228</v>
      </c>
      <c r="P7" s="79">
        <f t="shared" si="1"/>
        <v>2307.6410000000001</v>
      </c>
      <c r="Q7" s="73">
        <v>137.28</v>
      </c>
      <c r="R7" s="73">
        <v>118.56</v>
      </c>
      <c r="S7" s="73">
        <v>131.04</v>
      </c>
      <c r="T7" s="73">
        <v>137.28</v>
      </c>
      <c r="U7" s="73">
        <v>137.28</v>
      </c>
      <c r="V7" s="73">
        <v>124.8</v>
      </c>
      <c r="W7" s="73">
        <v>137.28</v>
      </c>
      <c r="X7" s="73">
        <v>137.28</v>
      </c>
      <c r="Y7" s="74">
        <v>124.8</v>
      </c>
      <c r="Z7" s="114">
        <f>SUM(Q7:Y7)</f>
        <v>1185.5999999999999</v>
      </c>
      <c r="AA7" s="12">
        <v>41518</v>
      </c>
      <c r="AB7" s="265"/>
    </row>
    <row r="8" spans="1:34">
      <c r="A8" s="68">
        <v>800062850</v>
      </c>
      <c r="B8" s="70" t="s">
        <v>102</v>
      </c>
      <c r="C8" s="81">
        <f t="shared" si="0"/>
        <v>20226.320009999999</v>
      </c>
      <c r="D8" s="73">
        <v>672.34299999999996</v>
      </c>
      <c r="E8" s="73">
        <v>2108.6390000000001</v>
      </c>
      <c r="F8" s="73">
        <v>618</v>
      </c>
      <c r="G8" s="73">
        <v>279</v>
      </c>
      <c r="H8" s="73">
        <v>1659</v>
      </c>
      <c r="I8" s="73">
        <v>67</v>
      </c>
      <c r="J8" s="73">
        <v>1158</v>
      </c>
      <c r="K8" s="73">
        <v>1158</v>
      </c>
      <c r="L8" s="73">
        <v>1158</v>
      </c>
      <c r="M8" s="73">
        <v>1158</v>
      </c>
      <c r="N8" s="73">
        <v>1083</v>
      </c>
      <c r="O8" s="74">
        <v>1727</v>
      </c>
      <c r="P8" s="79">
        <f t="shared" si="1"/>
        <v>12845.982</v>
      </c>
      <c r="Q8" s="73">
        <v>2145.4991</v>
      </c>
      <c r="R8" s="73">
        <v>1011.2795500000001</v>
      </c>
      <c r="S8" s="73">
        <v>513.73261000000002</v>
      </c>
      <c r="T8" s="73">
        <v>509.61651000000001</v>
      </c>
      <c r="U8" s="73">
        <v>645.68100000000004</v>
      </c>
      <c r="V8" s="73">
        <v>774.62224000000003</v>
      </c>
      <c r="W8" s="73">
        <v>848.05362000000002</v>
      </c>
      <c r="X8" s="73">
        <v>593.30232999999998</v>
      </c>
      <c r="Y8" s="74">
        <v>338.55104999999998</v>
      </c>
      <c r="Z8" s="114">
        <f>SUM(Q8:Y8)</f>
        <v>7380.3380099999995</v>
      </c>
      <c r="AA8" s="12">
        <v>41518</v>
      </c>
      <c r="AB8" s="265"/>
      <c r="AH8" s="274"/>
    </row>
    <row r="9" spans="1:34">
      <c r="A9" s="68">
        <v>800062855</v>
      </c>
      <c r="B9" s="70" t="s">
        <v>94</v>
      </c>
      <c r="C9" s="81">
        <f t="shared" si="0"/>
        <v>-43.613</v>
      </c>
      <c r="D9" s="73"/>
      <c r="E9" s="73">
        <v>-43.613</v>
      </c>
      <c r="F9" s="73"/>
      <c r="G9" s="73"/>
      <c r="H9" s="73"/>
      <c r="I9" s="73"/>
      <c r="J9" s="73"/>
      <c r="K9" s="73"/>
      <c r="L9" s="73"/>
      <c r="M9" s="73"/>
      <c r="N9" s="73"/>
      <c r="O9" s="74"/>
      <c r="P9" s="79">
        <f t="shared" si="1"/>
        <v>-43.613</v>
      </c>
      <c r="Q9" s="73"/>
      <c r="R9" s="73"/>
      <c r="S9" s="73"/>
      <c r="T9" s="73"/>
      <c r="U9" s="73"/>
      <c r="V9" s="73"/>
      <c r="W9" s="73"/>
      <c r="X9" s="73"/>
      <c r="Y9" s="74"/>
      <c r="Z9" s="114">
        <f t="shared" ref="Z9:Z10" si="2">SUM(Q9:Y9)</f>
        <v>0</v>
      </c>
      <c r="AA9" s="12">
        <v>41518</v>
      </c>
      <c r="AB9" s="266"/>
      <c r="AH9" s="273"/>
    </row>
    <row r="10" spans="1:34">
      <c r="A10" s="68">
        <v>800062856</v>
      </c>
      <c r="B10" s="70" t="s">
        <v>93</v>
      </c>
      <c r="C10" s="81">
        <f t="shared" si="0"/>
        <v>0</v>
      </c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4"/>
      <c r="P10" s="79">
        <f t="shared" si="1"/>
        <v>0</v>
      </c>
      <c r="Q10" s="73"/>
      <c r="R10" s="73"/>
      <c r="S10" s="73"/>
      <c r="T10" s="73"/>
      <c r="U10" s="73"/>
      <c r="V10" s="73"/>
      <c r="W10" s="73"/>
      <c r="X10" s="73"/>
      <c r="Y10" s="74"/>
      <c r="Z10" s="114">
        <f t="shared" si="2"/>
        <v>0</v>
      </c>
      <c r="AA10" s="12">
        <v>41518</v>
      </c>
      <c r="AB10" s="266"/>
      <c r="AH10" s="273"/>
    </row>
    <row r="11" spans="1:34" ht="25.5">
      <c r="A11" s="68">
        <v>800062902</v>
      </c>
      <c r="B11" s="70" t="s">
        <v>103</v>
      </c>
      <c r="C11" s="81">
        <f t="shared" si="0"/>
        <v>9684.682499999999</v>
      </c>
      <c r="D11" s="73">
        <v>19.846</v>
      </c>
      <c r="E11" s="73">
        <v>85.138000000000005</v>
      </c>
      <c r="F11" s="73">
        <v>840.45799999999997</v>
      </c>
      <c r="G11" s="73">
        <v>355</v>
      </c>
      <c r="H11" s="73">
        <v>135</v>
      </c>
      <c r="I11" s="73">
        <v>647</v>
      </c>
      <c r="J11" s="73">
        <v>68</v>
      </c>
      <c r="K11" s="73">
        <v>68</v>
      </c>
      <c r="L11" s="73">
        <v>68</v>
      </c>
      <c r="M11" s="73">
        <v>69</v>
      </c>
      <c r="N11" s="73">
        <v>69</v>
      </c>
      <c r="O11" s="74">
        <v>1139</v>
      </c>
      <c r="P11" s="79">
        <f t="shared" ref="P11:P18" si="3">SUM(D11:O11)</f>
        <v>3563.442</v>
      </c>
      <c r="Q11" s="73">
        <v>938.07881999999995</v>
      </c>
      <c r="R11" s="73">
        <v>837.20137999999997</v>
      </c>
      <c r="S11" s="73">
        <v>982.21705000000009</v>
      </c>
      <c r="T11" s="73">
        <v>773.77787000000001</v>
      </c>
      <c r="U11" s="73">
        <v>866.11113999999998</v>
      </c>
      <c r="V11" s="73">
        <v>775.75193000000002</v>
      </c>
      <c r="W11" s="73">
        <v>451.73235999999997</v>
      </c>
      <c r="X11" s="73">
        <v>316.03409999999997</v>
      </c>
      <c r="Y11" s="74">
        <v>180.33584999999999</v>
      </c>
      <c r="Z11" s="114">
        <f t="shared" ref="Z11:Z18" si="4">SUM(Q11:Y11)</f>
        <v>6121.2404999999999</v>
      </c>
      <c r="AA11" s="12">
        <v>41518</v>
      </c>
      <c r="AB11" s="265"/>
    </row>
    <row r="12" spans="1:34" ht="25.5">
      <c r="A12" s="68">
        <v>800063033</v>
      </c>
      <c r="B12" s="70" t="s">
        <v>104</v>
      </c>
      <c r="C12" s="81">
        <f t="shared" si="0"/>
        <v>33532.147839999998</v>
      </c>
      <c r="D12" s="73">
        <v>148.71100000000001</v>
      </c>
      <c r="E12" s="73">
        <v>174.173</v>
      </c>
      <c r="F12" s="73">
        <v>75</v>
      </c>
      <c r="G12" s="73">
        <v>3279</v>
      </c>
      <c r="H12" s="73">
        <v>2953</v>
      </c>
      <c r="I12" s="73">
        <v>597</v>
      </c>
      <c r="J12" s="73">
        <v>175</v>
      </c>
      <c r="K12" s="73">
        <v>1346</v>
      </c>
      <c r="L12" s="73">
        <v>1977</v>
      </c>
      <c r="M12" s="73">
        <v>3328</v>
      </c>
      <c r="N12" s="73">
        <v>175</v>
      </c>
      <c r="O12" s="74">
        <v>1009</v>
      </c>
      <c r="P12" s="79">
        <f t="shared" si="3"/>
        <v>15236.884</v>
      </c>
      <c r="Q12" s="73">
        <v>3610.9964</v>
      </c>
      <c r="R12" s="73">
        <v>3036.5690299999997</v>
      </c>
      <c r="S12" s="73">
        <v>2521.5187999999998</v>
      </c>
      <c r="T12" s="73">
        <v>2262.2585800000002</v>
      </c>
      <c r="U12" s="73">
        <v>2079.68217</v>
      </c>
      <c r="V12" s="73">
        <v>1583.8652999999999</v>
      </c>
      <c r="W12" s="73">
        <v>1593.9440400000001</v>
      </c>
      <c r="X12" s="73">
        <v>1122.4161899999999</v>
      </c>
      <c r="Y12" s="74">
        <v>484.01333</v>
      </c>
      <c r="Z12" s="114">
        <f t="shared" si="4"/>
        <v>18295.26384</v>
      </c>
      <c r="AA12" s="12">
        <v>41518</v>
      </c>
      <c r="AB12" s="265"/>
    </row>
    <row r="13" spans="1:34">
      <c r="A13" s="68">
        <v>800403645</v>
      </c>
      <c r="B13" s="70" t="s">
        <v>105</v>
      </c>
      <c r="C13" s="81">
        <f t="shared" si="0"/>
        <v>101553.24788000001</v>
      </c>
      <c r="D13" s="73">
        <v>2527.8580000000002</v>
      </c>
      <c r="E13" s="73">
        <v>5082.076</v>
      </c>
      <c r="F13" s="73">
        <v>10934.305</v>
      </c>
      <c r="G13" s="73">
        <v>6470</v>
      </c>
      <c r="H13" s="73">
        <v>6362</v>
      </c>
      <c r="I13" s="73">
        <v>9361</v>
      </c>
      <c r="J13" s="73">
        <v>6357</v>
      </c>
      <c r="K13" s="73">
        <v>5318</v>
      </c>
      <c r="L13" s="73">
        <v>5248</v>
      </c>
      <c r="M13" s="73">
        <v>2248</v>
      </c>
      <c r="N13" s="73">
        <v>2248</v>
      </c>
      <c r="O13" s="74">
        <v>2646</v>
      </c>
      <c r="P13" s="79">
        <f t="shared" si="3"/>
        <v>64802.239000000001</v>
      </c>
      <c r="Q13" s="73">
        <v>6254.5202599999993</v>
      </c>
      <c r="R13" s="73">
        <v>5043.8131599999997</v>
      </c>
      <c r="S13" s="73">
        <v>4589.8932400000003</v>
      </c>
      <c r="T13" s="73">
        <v>4178.1016399999999</v>
      </c>
      <c r="U13" s="73">
        <v>4443.68444</v>
      </c>
      <c r="V13" s="73">
        <v>4223.8633300000001</v>
      </c>
      <c r="W13" s="73">
        <v>4011.0248099999999</v>
      </c>
      <c r="X13" s="73">
        <v>2600.99154</v>
      </c>
      <c r="Y13" s="74">
        <v>1405.11646</v>
      </c>
      <c r="Z13" s="114">
        <f t="shared" si="4"/>
        <v>36751.008880000001</v>
      </c>
      <c r="AA13" s="12">
        <v>41518</v>
      </c>
      <c r="AB13" s="265"/>
    </row>
    <row r="14" spans="1:34">
      <c r="A14" s="68">
        <v>800418261</v>
      </c>
      <c r="B14" s="70" t="s">
        <v>106</v>
      </c>
      <c r="C14" s="81">
        <f t="shared" si="0"/>
        <v>19728.408159999999</v>
      </c>
      <c r="D14" s="73">
        <v>172.62100000000001</v>
      </c>
      <c r="E14" s="73">
        <v>648.47299999999996</v>
      </c>
      <c r="F14" s="73">
        <v>272.24900000000002</v>
      </c>
      <c r="G14" s="73">
        <v>840</v>
      </c>
      <c r="H14" s="73">
        <v>921</v>
      </c>
      <c r="I14" s="73">
        <v>886</v>
      </c>
      <c r="J14" s="73">
        <v>886</v>
      </c>
      <c r="K14" s="73">
        <v>978</v>
      </c>
      <c r="L14" s="73">
        <v>1009</v>
      </c>
      <c r="M14" s="73">
        <v>1037</v>
      </c>
      <c r="N14" s="73">
        <v>1009</v>
      </c>
      <c r="O14" s="74">
        <v>1712</v>
      </c>
      <c r="P14" s="79">
        <f t="shared" si="3"/>
        <v>10371.343000000001</v>
      </c>
      <c r="Q14" s="73">
        <v>958.1313100000001</v>
      </c>
      <c r="R14" s="73">
        <v>839.53460999999993</v>
      </c>
      <c r="S14" s="73">
        <v>969.24256000000003</v>
      </c>
      <c r="T14" s="73">
        <v>1126.2386899999999</v>
      </c>
      <c r="U14" s="73">
        <v>1264.857</v>
      </c>
      <c r="V14" s="73">
        <v>1270.61582</v>
      </c>
      <c r="W14" s="73">
        <v>1397.6773999999998</v>
      </c>
      <c r="X14" s="73">
        <v>1213.71145</v>
      </c>
      <c r="Y14" s="74">
        <v>317.05632000000003</v>
      </c>
      <c r="Z14" s="114">
        <f t="shared" si="4"/>
        <v>9357.0651600000001</v>
      </c>
      <c r="AA14" s="12">
        <v>41518</v>
      </c>
      <c r="AB14" s="265"/>
    </row>
    <row r="15" spans="1:34" ht="25.5">
      <c r="A15" s="68">
        <v>800504834</v>
      </c>
      <c r="B15" s="70" t="s">
        <v>107</v>
      </c>
      <c r="C15" s="81">
        <f t="shared" si="0"/>
        <v>6268.5478000000003</v>
      </c>
      <c r="D15" s="73">
        <v>391.15899999999999</v>
      </c>
      <c r="E15" s="73">
        <v>354.93599999999998</v>
      </c>
      <c r="F15" s="73">
        <v>556.78300000000002</v>
      </c>
      <c r="G15" s="73">
        <v>2644</v>
      </c>
      <c r="H15" s="73">
        <v>94</v>
      </c>
      <c r="I15" s="73">
        <v>250</v>
      </c>
      <c r="J15" s="73">
        <v>250</v>
      </c>
      <c r="K15" s="73">
        <v>250</v>
      </c>
      <c r="L15" s="73">
        <v>250</v>
      </c>
      <c r="M15" s="73">
        <v>252</v>
      </c>
      <c r="N15" s="73">
        <v>410</v>
      </c>
      <c r="O15" s="74">
        <v>0</v>
      </c>
      <c r="P15" s="79">
        <f t="shared" si="3"/>
        <v>5702.8780000000006</v>
      </c>
      <c r="Q15" s="73">
        <v>5.1379999999999999</v>
      </c>
      <c r="R15" s="73">
        <v>11.98868</v>
      </c>
      <c r="S15" s="73">
        <v>28.87069</v>
      </c>
      <c r="T15" s="73">
        <v>56.762709999999998</v>
      </c>
      <c r="U15" s="73">
        <v>90.526740000000004</v>
      </c>
      <c r="V15" s="73">
        <v>112.54675999999999</v>
      </c>
      <c r="W15" s="73">
        <v>123.80144</v>
      </c>
      <c r="X15" s="73">
        <v>86.612070000000003</v>
      </c>
      <c r="Y15" s="74">
        <v>49.422710000000002</v>
      </c>
      <c r="Z15" s="114">
        <f t="shared" si="4"/>
        <v>565.66980000000001</v>
      </c>
      <c r="AA15" s="12">
        <v>41518</v>
      </c>
      <c r="AB15" s="265"/>
    </row>
    <row r="16" spans="1:34" ht="25.5">
      <c r="A16" s="69">
        <v>800504836</v>
      </c>
      <c r="B16" s="71" t="s">
        <v>108</v>
      </c>
      <c r="C16" s="82">
        <f t="shared" si="0"/>
        <v>9012.6678300000003</v>
      </c>
      <c r="D16" s="75">
        <v>270.322</v>
      </c>
      <c r="E16" s="75">
        <v>276.16899999999998</v>
      </c>
      <c r="F16" s="75">
        <v>1904.5429999999999</v>
      </c>
      <c r="G16" s="75">
        <v>1600</v>
      </c>
      <c r="H16" s="75">
        <v>2500</v>
      </c>
      <c r="I16" s="75">
        <v>0</v>
      </c>
      <c r="J16" s="75">
        <v>0</v>
      </c>
      <c r="K16" s="75">
        <v>0</v>
      </c>
      <c r="L16" s="75">
        <v>0</v>
      </c>
      <c r="M16" s="75">
        <v>700</v>
      </c>
      <c r="N16" s="75">
        <v>600</v>
      </c>
      <c r="O16" s="76">
        <v>210</v>
      </c>
      <c r="P16" s="80">
        <f t="shared" si="3"/>
        <v>8061.0339999999997</v>
      </c>
      <c r="Q16" s="75">
        <v>25.983160000000002</v>
      </c>
      <c r="R16" s="75">
        <v>33.711370000000002</v>
      </c>
      <c r="S16" s="75">
        <v>60.575000000000003</v>
      </c>
      <c r="T16" s="75">
        <v>103.04012</v>
      </c>
      <c r="U16" s="75">
        <v>144.25796</v>
      </c>
      <c r="V16" s="75">
        <v>176.29545999999999</v>
      </c>
      <c r="W16" s="75">
        <v>193.92501000000001</v>
      </c>
      <c r="X16" s="75">
        <v>138.41478000000001</v>
      </c>
      <c r="Y16" s="76">
        <v>75.430970000000002</v>
      </c>
      <c r="Z16" s="115">
        <f t="shared" si="4"/>
        <v>951.6338300000001</v>
      </c>
      <c r="AA16" s="85">
        <v>41518</v>
      </c>
      <c r="AB16" s="265"/>
    </row>
    <row r="17" spans="1:28" ht="25.5">
      <c r="A17" s="68">
        <v>800051690</v>
      </c>
      <c r="B17" s="70" t="s">
        <v>49</v>
      </c>
      <c r="C17" s="81">
        <f t="shared" si="0"/>
        <v>279.798</v>
      </c>
      <c r="D17" s="73">
        <v>15.72</v>
      </c>
      <c r="E17" s="73">
        <v>-0.42299999999999999</v>
      </c>
      <c r="F17" s="73">
        <v>3.5009999999999999</v>
      </c>
      <c r="G17" s="73">
        <v>15</v>
      </c>
      <c r="H17" s="73">
        <v>20</v>
      </c>
      <c r="I17" s="73">
        <v>20</v>
      </c>
      <c r="J17" s="73">
        <v>20</v>
      </c>
      <c r="K17" s="73">
        <v>20</v>
      </c>
      <c r="L17" s="73">
        <v>20</v>
      </c>
      <c r="M17" s="73">
        <v>20</v>
      </c>
      <c r="N17" s="73">
        <v>20</v>
      </c>
      <c r="O17" s="74">
        <v>16</v>
      </c>
      <c r="P17" s="79">
        <f t="shared" si="3"/>
        <v>189.798</v>
      </c>
      <c r="Q17" s="73">
        <v>10</v>
      </c>
      <c r="R17" s="73">
        <v>10</v>
      </c>
      <c r="S17" s="73">
        <v>10</v>
      </c>
      <c r="T17" s="73">
        <v>10</v>
      </c>
      <c r="U17" s="73">
        <v>10</v>
      </c>
      <c r="V17" s="73">
        <v>10</v>
      </c>
      <c r="W17" s="73">
        <v>10</v>
      </c>
      <c r="X17" s="73">
        <v>10</v>
      </c>
      <c r="Y17" s="74">
        <v>10</v>
      </c>
      <c r="Z17" s="114">
        <f t="shared" si="4"/>
        <v>90</v>
      </c>
      <c r="AA17" s="12">
        <v>41518</v>
      </c>
      <c r="AB17" s="265"/>
    </row>
    <row r="18" spans="1:28" ht="26.25" thickBot="1">
      <c r="A18" s="68">
        <v>800051691</v>
      </c>
      <c r="B18" s="70" t="s">
        <v>109</v>
      </c>
      <c r="C18" s="81">
        <f t="shared" si="0"/>
        <v>32.450000000000003</v>
      </c>
      <c r="D18" s="73">
        <v>0.35799999999999998</v>
      </c>
      <c r="E18" s="73">
        <v>3.3639999999999999</v>
      </c>
      <c r="F18" s="73">
        <v>2.7280000000000002</v>
      </c>
      <c r="G18" s="73">
        <v>3</v>
      </c>
      <c r="H18" s="73">
        <v>3</v>
      </c>
      <c r="I18" s="73">
        <v>3</v>
      </c>
      <c r="J18" s="73">
        <v>3</v>
      </c>
      <c r="K18" s="73">
        <v>3</v>
      </c>
      <c r="L18" s="73">
        <v>3</v>
      </c>
      <c r="M18" s="73">
        <v>3</v>
      </c>
      <c r="N18" s="73">
        <v>3</v>
      </c>
      <c r="O18" s="74">
        <v>2</v>
      </c>
      <c r="P18" s="79">
        <f t="shared" si="3"/>
        <v>32.450000000000003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4">
        <v>0</v>
      </c>
      <c r="Z18" s="114">
        <f t="shared" si="4"/>
        <v>0</v>
      </c>
      <c r="AA18" s="12">
        <v>41518</v>
      </c>
      <c r="AB18" s="265"/>
    </row>
    <row r="19" spans="1:28" ht="13.5" thickBot="1">
      <c r="A19" s="173" t="s">
        <v>50</v>
      </c>
      <c r="B19" s="72"/>
      <c r="C19" s="83">
        <f t="shared" ref="C19" si="5">+P19+Z19</f>
        <v>628339.17240000004</v>
      </c>
      <c r="D19" s="77">
        <f>SUM(D4:D18)</f>
        <v>12727.725999999999</v>
      </c>
      <c r="E19" s="77">
        <f t="shared" ref="E19:Z19" si="6">SUM(E4:E18)</f>
        <v>15697.66683</v>
      </c>
      <c r="F19" s="77">
        <f t="shared" si="6"/>
        <v>33895.949000000001</v>
      </c>
      <c r="G19" s="77">
        <f t="shared" si="6"/>
        <v>23143.882680000002</v>
      </c>
      <c r="H19" s="77">
        <f t="shared" si="6"/>
        <v>39699.102119999996</v>
      </c>
      <c r="I19" s="77">
        <f t="shared" si="6"/>
        <v>25935.334629999998</v>
      </c>
      <c r="J19" s="77">
        <f t="shared" si="6"/>
        <v>20354.18028</v>
      </c>
      <c r="K19" s="77">
        <f t="shared" si="6"/>
        <v>48046.982239999998</v>
      </c>
      <c r="L19" s="77">
        <f t="shared" si="6"/>
        <v>47617.833070000001</v>
      </c>
      <c r="M19" s="77">
        <f t="shared" si="6"/>
        <v>45631.783340000002</v>
      </c>
      <c r="N19" s="77">
        <f t="shared" si="6"/>
        <v>38653.730720000007</v>
      </c>
      <c r="O19" s="78">
        <f t="shared" si="6"/>
        <v>42672.753549999994</v>
      </c>
      <c r="P19" s="113">
        <f t="shared" si="6"/>
        <v>394076.92446000007</v>
      </c>
      <c r="Q19" s="77">
        <f t="shared" si="6"/>
        <v>44852.127800000002</v>
      </c>
      <c r="R19" s="77">
        <f t="shared" si="6"/>
        <v>33461.390599999999</v>
      </c>
      <c r="S19" s="77">
        <f t="shared" si="6"/>
        <v>30998.758279999998</v>
      </c>
      <c r="T19" s="77">
        <f t="shared" si="6"/>
        <v>27307.546200000001</v>
      </c>
      <c r="U19" s="77">
        <f t="shared" si="6"/>
        <v>26738.77925</v>
      </c>
      <c r="V19" s="77">
        <f t="shared" si="6"/>
        <v>22649.438200000001</v>
      </c>
      <c r="W19" s="77">
        <f t="shared" si="6"/>
        <v>21083.890009999999</v>
      </c>
      <c r="X19" s="77">
        <f t="shared" si="6"/>
        <v>14770.750249999999</v>
      </c>
      <c r="Y19" s="78">
        <f t="shared" si="6"/>
        <v>12399.567349999998</v>
      </c>
      <c r="Z19" s="113">
        <f t="shared" si="6"/>
        <v>234262.24794</v>
      </c>
      <c r="AA19" s="86"/>
      <c r="AB19" s="265"/>
    </row>
    <row r="20" spans="1:28">
      <c r="A20" s="58"/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Q20" s="59"/>
      <c r="R20" s="59"/>
      <c r="S20" s="59"/>
      <c r="T20" s="59"/>
      <c r="U20" s="59"/>
      <c r="V20" s="59"/>
      <c r="W20" s="59"/>
      <c r="X20" s="59"/>
      <c r="Y20" s="59"/>
      <c r="Z20" s="60"/>
      <c r="AA20" s="60"/>
      <c r="AB20" s="265"/>
    </row>
    <row r="21" spans="1:28">
      <c r="A21" s="51" t="s">
        <v>42</v>
      </c>
      <c r="B21" s="4"/>
      <c r="C21" s="182"/>
      <c r="D21" s="182"/>
      <c r="E21" s="182"/>
      <c r="F21" s="182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4"/>
      <c r="AB21" s="267"/>
    </row>
    <row r="22" spans="1:28">
      <c r="A22" s="51"/>
      <c r="B22" s="4"/>
      <c r="C22" s="182"/>
      <c r="D22" s="182"/>
      <c r="E22" s="182"/>
      <c r="F22" s="182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4"/>
      <c r="AB22" s="267"/>
    </row>
    <row r="23" spans="1:28" ht="13.5" thickBot="1">
      <c r="A23" s="51">
        <v>7183</v>
      </c>
      <c r="B23" s="56" t="s">
        <v>35</v>
      </c>
      <c r="C23" s="182"/>
      <c r="D23" s="182"/>
      <c r="E23" s="182"/>
      <c r="F23" s="182"/>
      <c r="G23" s="183"/>
      <c r="H23" s="183"/>
      <c r="I23" s="183"/>
      <c r="J23" s="183"/>
      <c r="K23" s="183"/>
      <c r="L23" s="183"/>
      <c r="M23" s="183"/>
      <c r="N23" s="183"/>
      <c r="O23" s="185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6"/>
      <c r="AA23" s="50"/>
      <c r="AB23" s="267"/>
    </row>
    <row r="24" spans="1:28">
      <c r="A24" s="187">
        <v>800062547</v>
      </c>
      <c r="B24" s="5" t="s">
        <v>18</v>
      </c>
      <c r="C24" s="188">
        <f>P24+Z24</f>
        <v>17694.100000000002</v>
      </c>
      <c r="D24" s="17">
        <v>334.66789</v>
      </c>
      <c r="E24" s="18">
        <v>356.65623999999997</v>
      </c>
      <c r="F24" s="19">
        <v>794.44578000000001</v>
      </c>
      <c r="G24" s="18">
        <v>1663.7</v>
      </c>
      <c r="H24" s="18">
        <v>2156</v>
      </c>
      <c r="I24" s="18">
        <v>2635</v>
      </c>
      <c r="J24" s="18">
        <v>2778</v>
      </c>
      <c r="K24" s="18">
        <v>3198</v>
      </c>
      <c r="L24" s="18">
        <v>1726</v>
      </c>
      <c r="M24" s="18">
        <v>1210</v>
      </c>
      <c r="N24" s="18">
        <v>542</v>
      </c>
      <c r="O24" s="19">
        <f>298.23009+1.4</f>
        <v>299.63009</v>
      </c>
      <c r="P24" s="20">
        <f>O24+N24+M24+L24+K24+J24+I24+H24+G24+F24+E24+D24</f>
        <v>17694.100000000002</v>
      </c>
      <c r="Q24" s="63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9">
        <v>0</v>
      </c>
      <c r="X24" s="19">
        <v>0</v>
      </c>
      <c r="Y24" s="19">
        <v>0</v>
      </c>
      <c r="Z24" s="20">
        <v>0</v>
      </c>
      <c r="AA24" s="11">
        <v>41274</v>
      </c>
      <c r="AB24" s="267"/>
    </row>
    <row r="25" spans="1:28">
      <c r="A25" s="189">
        <v>800063658</v>
      </c>
      <c r="B25" s="3" t="s">
        <v>19</v>
      </c>
      <c r="C25" s="190">
        <f>P25+Z25</f>
        <v>7400.6960000000008</v>
      </c>
      <c r="D25" s="21">
        <v>144.93691000000001</v>
      </c>
      <c r="E25" s="22">
        <v>34.936269999999993</v>
      </c>
      <c r="F25" s="23">
        <v>62.123959999999997</v>
      </c>
      <c r="G25" s="22">
        <v>531.31500000000005</v>
      </c>
      <c r="H25" s="22">
        <v>1015.466</v>
      </c>
      <c r="I25" s="22">
        <v>1005.263</v>
      </c>
      <c r="J25" s="22">
        <v>1271.732</v>
      </c>
      <c r="K25" s="22">
        <v>970.55399999999997</v>
      </c>
      <c r="L25" s="22">
        <v>651.21199999999999</v>
      </c>
      <c r="M25" s="22">
        <v>709.822</v>
      </c>
      <c r="N25" s="22">
        <v>622.74</v>
      </c>
      <c r="O25" s="23">
        <v>380.59485999999998</v>
      </c>
      <c r="P25" s="24">
        <f>O25+N25+M25+L25+K25+J25+I25+H25+G25+F25+E25+D25</f>
        <v>7400.6960000000008</v>
      </c>
      <c r="Q25" s="109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3">
        <v>0</v>
      </c>
      <c r="X25" s="23">
        <v>0</v>
      </c>
      <c r="Y25" s="23">
        <v>0</v>
      </c>
      <c r="Z25" s="24">
        <v>0</v>
      </c>
      <c r="AA25" s="7">
        <v>41274</v>
      </c>
      <c r="AB25" s="267"/>
    </row>
    <row r="26" spans="1:28" ht="13.5" thickBot="1">
      <c r="A26" s="189">
        <v>800452215</v>
      </c>
      <c r="B26" s="3" t="s">
        <v>110</v>
      </c>
      <c r="C26" s="190">
        <f>P26+Z26</f>
        <v>120.17200000000001</v>
      </c>
      <c r="D26" s="25">
        <v>3.5871900000000001</v>
      </c>
      <c r="E26" s="26">
        <v>0.71721000000000001</v>
      </c>
      <c r="F26" s="27">
        <v>0.25574999999999998</v>
      </c>
      <c r="G26" s="22">
        <v>15</v>
      </c>
      <c r="H26" s="22">
        <v>15</v>
      </c>
      <c r="I26" s="22">
        <v>15</v>
      </c>
      <c r="J26" s="22">
        <v>12</v>
      </c>
      <c r="K26" s="22">
        <v>9</v>
      </c>
      <c r="L26" s="22">
        <v>10</v>
      </c>
      <c r="M26" s="22">
        <v>10</v>
      </c>
      <c r="N26" s="22">
        <v>9.4</v>
      </c>
      <c r="O26" s="27">
        <f>0.0118499999999999+0.1+5.4+14.7</f>
        <v>20.211849999999998</v>
      </c>
      <c r="P26" s="28">
        <f>O26+N26+M26+L26+K26+J26+I26+H26+G26+F26+E26+D26</f>
        <v>120.17200000000001</v>
      </c>
      <c r="Q26" s="109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3">
        <v>0</v>
      </c>
      <c r="X26" s="23">
        <v>0</v>
      </c>
      <c r="Y26" s="23">
        <v>0</v>
      </c>
      <c r="Z26" s="24">
        <v>0</v>
      </c>
      <c r="AA26" s="7">
        <v>41274</v>
      </c>
      <c r="AB26" s="267"/>
    </row>
    <row r="27" spans="1:28" ht="13.5" thickBot="1">
      <c r="A27" s="176" t="s">
        <v>20</v>
      </c>
      <c r="B27" s="191"/>
      <c r="C27" s="192">
        <f>P27+Z27</f>
        <v>25214.968000000001</v>
      </c>
      <c r="D27" s="193">
        <f t="shared" ref="D27:O27" si="7">SUM(D24:D26)</f>
        <v>483.19199000000003</v>
      </c>
      <c r="E27" s="194">
        <f t="shared" si="7"/>
        <v>392.30971999999997</v>
      </c>
      <c r="F27" s="29">
        <f t="shared" si="7"/>
        <v>856.82549000000006</v>
      </c>
      <c r="G27" s="194">
        <f t="shared" si="7"/>
        <v>2210.0150000000003</v>
      </c>
      <c r="H27" s="194">
        <f t="shared" si="7"/>
        <v>3186.4659999999999</v>
      </c>
      <c r="I27" s="194">
        <f t="shared" si="7"/>
        <v>3655.2629999999999</v>
      </c>
      <c r="J27" s="194">
        <f t="shared" si="7"/>
        <v>4061.732</v>
      </c>
      <c r="K27" s="194">
        <f t="shared" si="7"/>
        <v>4177.5540000000001</v>
      </c>
      <c r="L27" s="194">
        <f t="shared" si="7"/>
        <v>2387.212</v>
      </c>
      <c r="M27" s="194">
        <f t="shared" si="7"/>
        <v>1929.8220000000001</v>
      </c>
      <c r="N27" s="194">
        <f t="shared" si="7"/>
        <v>1174.1400000000001</v>
      </c>
      <c r="O27" s="29">
        <f t="shared" si="7"/>
        <v>700.43680000000006</v>
      </c>
      <c r="P27" s="30">
        <f>O27+N27+M27+L27+K27+J27+I27+H27+G27+F27+E27+D27</f>
        <v>25214.968000000001</v>
      </c>
      <c r="Q27" s="195">
        <f t="shared" ref="Q27:Y27" si="8">SUM(Q24:Q26)</f>
        <v>0</v>
      </c>
      <c r="R27" s="194">
        <f t="shared" si="8"/>
        <v>0</v>
      </c>
      <c r="S27" s="194">
        <f t="shared" si="8"/>
        <v>0</v>
      </c>
      <c r="T27" s="194">
        <f t="shared" si="8"/>
        <v>0</v>
      </c>
      <c r="U27" s="194">
        <f t="shared" si="8"/>
        <v>0</v>
      </c>
      <c r="V27" s="194">
        <f t="shared" si="8"/>
        <v>0</v>
      </c>
      <c r="W27" s="29">
        <f t="shared" si="8"/>
        <v>0</v>
      </c>
      <c r="X27" s="29">
        <f t="shared" si="8"/>
        <v>0</v>
      </c>
      <c r="Y27" s="29">
        <f t="shared" si="8"/>
        <v>0</v>
      </c>
      <c r="Z27" s="30">
        <f>SUM(Q27:Y27)</f>
        <v>0</v>
      </c>
      <c r="AA27" s="196"/>
      <c r="AB27" s="267"/>
    </row>
    <row r="28" spans="1:28">
      <c r="A28" s="197"/>
      <c r="B28" s="4"/>
      <c r="C28" s="31"/>
      <c r="D28" s="31"/>
      <c r="E28" s="31"/>
      <c r="F28" s="31"/>
      <c r="G28" s="54"/>
      <c r="H28" s="54"/>
      <c r="I28" s="54"/>
      <c r="J28" s="54"/>
      <c r="K28" s="54"/>
      <c r="L28" s="54"/>
      <c r="M28" s="54"/>
      <c r="N28" s="54"/>
      <c r="O28" s="198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31"/>
      <c r="AA28" s="184"/>
      <c r="AB28" s="267"/>
    </row>
    <row r="29" spans="1:28" ht="13.5" thickBot="1">
      <c r="A29" s="51">
        <v>7014</v>
      </c>
      <c r="B29" s="2" t="s">
        <v>36</v>
      </c>
      <c r="C29" s="31"/>
      <c r="D29" s="31"/>
      <c r="E29" s="31"/>
      <c r="F29" s="31"/>
      <c r="G29" s="54"/>
      <c r="H29" s="54"/>
      <c r="I29" s="54"/>
      <c r="J29" s="54"/>
      <c r="K29" s="54"/>
      <c r="L29" s="54"/>
      <c r="M29" s="54"/>
      <c r="N29" s="54"/>
      <c r="O29" s="199"/>
      <c r="P29" s="199"/>
      <c r="Q29" s="54"/>
      <c r="R29" s="54"/>
      <c r="S29" s="54"/>
      <c r="T29" s="54"/>
      <c r="U29" s="54"/>
      <c r="V29" s="54"/>
      <c r="W29" s="54"/>
      <c r="X29" s="54"/>
      <c r="Y29" s="54"/>
      <c r="Z29" s="31"/>
      <c r="AA29" s="50"/>
      <c r="AB29" s="267"/>
    </row>
    <row r="30" spans="1:28">
      <c r="A30" s="187">
        <v>800219424</v>
      </c>
      <c r="B30" s="5" t="s">
        <v>112</v>
      </c>
      <c r="C30" s="200">
        <f>P30+Z30</f>
        <v>1743.9</v>
      </c>
      <c r="D30" s="17">
        <v>-28.65531</v>
      </c>
      <c r="E30" s="18">
        <v>1214.8428100000001</v>
      </c>
      <c r="F30" s="19">
        <v>115.65444000000001</v>
      </c>
      <c r="G30" s="18">
        <v>208</v>
      </c>
      <c r="H30" s="18">
        <f>234+0.0580600000000686</f>
        <v>234.05806000000007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9">
        <v>0</v>
      </c>
      <c r="P30" s="20">
        <f>O30+N30+M30+L30+K30+J30+I30+H30+G30+F30+E30+D30</f>
        <v>1743.9</v>
      </c>
      <c r="Q30" s="63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9">
        <v>0</v>
      </c>
      <c r="X30" s="19">
        <v>0</v>
      </c>
      <c r="Y30" s="19">
        <v>0</v>
      </c>
      <c r="Z30" s="20">
        <v>0</v>
      </c>
      <c r="AA30" s="11">
        <v>41030</v>
      </c>
      <c r="AB30" s="267"/>
    </row>
    <row r="31" spans="1:28">
      <c r="A31" s="201">
        <v>800219436</v>
      </c>
      <c r="B31" s="6" t="s">
        <v>111</v>
      </c>
      <c r="C31" s="202">
        <f>P31+Z31</f>
        <v>36632.969000000005</v>
      </c>
      <c r="D31" s="21">
        <v>557.53069999999991</v>
      </c>
      <c r="E31" s="22">
        <v>1012.2919499999999</v>
      </c>
      <c r="F31" s="23">
        <v>2337.2066</v>
      </c>
      <c r="G31" s="203">
        <v>3299.8409999999999</v>
      </c>
      <c r="H31" s="203">
        <v>7127.1409999999996</v>
      </c>
      <c r="I31" s="203">
        <v>7428.1409999999996</v>
      </c>
      <c r="J31" s="203">
        <v>3306.1410000000001</v>
      </c>
      <c r="K31" s="203">
        <v>3668.1410000000001</v>
      </c>
      <c r="L31" s="203">
        <v>2973.1410000000001</v>
      </c>
      <c r="M31" s="203">
        <v>2507.1410000000001</v>
      </c>
      <c r="N31" s="203">
        <v>1008.141</v>
      </c>
      <c r="O31" s="23">
        <f>1008.41175-0.3</f>
        <v>1008.11175</v>
      </c>
      <c r="P31" s="24">
        <f>O31+N31+M31+L31+K31+J31+I31+H31+G31+F31+E31+D31</f>
        <v>36232.969000000005</v>
      </c>
      <c r="Q31" s="204">
        <v>185</v>
      </c>
      <c r="R31" s="203">
        <v>185</v>
      </c>
      <c r="S31" s="203">
        <v>30</v>
      </c>
      <c r="T31" s="203">
        <v>0</v>
      </c>
      <c r="U31" s="203">
        <v>0</v>
      </c>
      <c r="V31" s="203">
        <v>0</v>
      </c>
      <c r="W31" s="205">
        <v>0</v>
      </c>
      <c r="X31" s="205">
        <v>0</v>
      </c>
      <c r="Y31" s="205">
        <v>0</v>
      </c>
      <c r="Z31" s="32">
        <f>SUM(Q31:Y31)</f>
        <v>400</v>
      </c>
      <c r="AA31" s="206">
        <v>41244</v>
      </c>
      <c r="AB31" s="267"/>
    </row>
    <row r="32" spans="1:28">
      <c r="A32" s="201">
        <v>800219505</v>
      </c>
      <c r="B32" s="6" t="s">
        <v>113</v>
      </c>
      <c r="C32" s="202">
        <f>P32+Z32</f>
        <v>3629.5399999999995</v>
      </c>
      <c r="D32" s="21">
        <v>-216.30824999999999</v>
      </c>
      <c r="E32" s="22">
        <v>795.95670999999993</v>
      </c>
      <c r="F32" s="23">
        <v>587.88300000000004</v>
      </c>
      <c r="G32" s="203">
        <v>584</v>
      </c>
      <c r="H32" s="203">
        <v>803</v>
      </c>
      <c r="I32" s="203">
        <v>783</v>
      </c>
      <c r="J32" s="203">
        <v>152</v>
      </c>
      <c r="K32" s="203">
        <v>140</v>
      </c>
      <c r="L32" s="203">
        <v>0</v>
      </c>
      <c r="M32" s="203">
        <v>0</v>
      </c>
      <c r="N32" s="203">
        <v>0</v>
      </c>
      <c r="O32" s="23">
        <v>8.5400000000390719E-3</v>
      </c>
      <c r="P32" s="24">
        <f>O32+N32+M32+L32+K32+J32+I32+H32+G32+F32+E32+D32</f>
        <v>3629.5399999999995</v>
      </c>
      <c r="Q32" s="204">
        <v>0</v>
      </c>
      <c r="R32" s="203">
        <v>0</v>
      </c>
      <c r="S32" s="203">
        <v>0</v>
      </c>
      <c r="T32" s="203">
        <v>0</v>
      </c>
      <c r="U32" s="203">
        <v>0</v>
      </c>
      <c r="V32" s="203">
        <v>0</v>
      </c>
      <c r="W32" s="205">
        <v>0</v>
      </c>
      <c r="X32" s="205">
        <v>0</v>
      </c>
      <c r="Y32" s="205">
        <v>0</v>
      </c>
      <c r="Z32" s="32">
        <v>0</v>
      </c>
      <c r="AA32" s="206">
        <v>41091</v>
      </c>
      <c r="AB32" s="267"/>
    </row>
    <row r="33" spans="1:28">
      <c r="A33" s="201">
        <v>800219631</v>
      </c>
      <c r="B33" s="6" t="s">
        <v>114</v>
      </c>
      <c r="C33" s="202">
        <f>P33+Z33</f>
        <v>8.6</v>
      </c>
      <c r="D33" s="21">
        <v>4.5897299999999994</v>
      </c>
      <c r="E33" s="22">
        <v>0.23815999999999998</v>
      </c>
      <c r="F33" s="23">
        <v>3.5588000000000002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203">
        <v>0</v>
      </c>
      <c r="N33" s="203">
        <v>0</v>
      </c>
      <c r="O33" s="23">
        <v>0.21330999999999989</v>
      </c>
      <c r="P33" s="24">
        <f>O33+N33+M33+L33+K33+J33+I33+H33+G33+F33+E33+D33</f>
        <v>8.6</v>
      </c>
      <c r="Q33" s="204">
        <v>0</v>
      </c>
      <c r="R33" s="203">
        <v>0</v>
      </c>
      <c r="S33" s="203">
        <v>0</v>
      </c>
      <c r="T33" s="203">
        <v>0</v>
      </c>
      <c r="U33" s="203">
        <v>0</v>
      </c>
      <c r="V33" s="203">
        <v>0</v>
      </c>
      <c r="W33" s="205">
        <v>0</v>
      </c>
      <c r="X33" s="205">
        <v>0</v>
      </c>
      <c r="Y33" s="205">
        <v>0</v>
      </c>
      <c r="Z33" s="32">
        <v>0</v>
      </c>
      <c r="AA33" s="206">
        <v>40878</v>
      </c>
      <c r="AB33" s="267"/>
    </row>
    <row r="34" spans="1:28" ht="13.5" thickBot="1">
      <c r="A34" s="189">
        <v>900692988</v>
      </c>
      <c r="B34" s="3" t="s">
        <v>21</v>
      </c>
      <c r="C34" s="207">
        <f>P34+Z34</f>
        <v>100</v>
      </c>
      <c r="D34" s="25">
        <v>0</v>
      </c>
      <c r="E34" s="26">
        <v>0</v>
      </c>
      <c r="F34" s="27">
        <v>0</v>
      </c>
      <c r="G34" s="22">
        <v>0</v>
      </c>
      <c r="H34" s="22">
        <v>5</v>
      </c>
      <c r="I34" s="22">
        <v>5</v>
      </c>
      <c r="J34" s="22">
        <v>5</v>
      </c>
      <c r="K34" s="22">
        <v>5</v>
      </c>
      <c r="L34" s="22">
        <v>35</v>
      </c>
      <c r="M34" s="22">
        <v>35</v>
      </c>
      <c r="N34" s="22">
        <v>10</v>
      </c>
      <c r="O34" s="208">
        <v>0</v>
      </c>
      <c r="P34" s="33">
        <f>O34+N34+M34+L34+K34+J34+I34+H34+G34+F34+E34+D34</f>
        <v>100</v>
      </c>
      <c r="Q34" s="109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3">
        <v>0</v>
      </c>
      <c r="X34" s="23">
        <v>0</v>
      </c>
      <c r="Y34" s="23">
        <v>0</v>
      </c>
      <c r="Z34" s="24">
        <v>0</v>
      </c>
      <c r="AA34" s="10">
        <v>41121</v>
      </c>
      <c r="AB34" s="267"/>
    </row>
    <row r="35" spans="1:28" ht="13.5" thickBot="1">
      <c r="A35" s="176" t="s">
        <v>23</v>
      </c>
      <c r="B35" s="191"/>
      <c r="C35" s="209">
        <f t="shared" ref="C35" si="9">P35+Z35</f>
        <v>42115.009000000005</v>
      </c>
      <c r="D35" s="193">
        <f t="shared" ref="D35:Y35" si="10">SUM(D30:D34)</f>
        <v>317.15686999999991</v>
      </c>
      <c r="E35" s="194">
        <f t="shared" si="10"/>
        <v>3023.3296299999997</v>
      </c>
      <c r="F35" s="29">
        <f t="shared" si="10"/>
        <v>3044.3028399999994</v>
      </c>
      <c r="G35" s="194">
        <f t="shared" si="10"/>
        <v>4091.8409999999999</v>
      </c>
      <c r="H35" s="194">
        <f t="shared" si="10"/>
        <v>8169.1990599999999</v>
      </c>
      <c r="I35" s="194">
        <f t="shared" si="10"/>
        <v>8216.1409999999996</v>
      </c>
      <c r="J35" s="194">
        <f t="shared" si="10"/>
        <v>3463.1410000000001</v>
      </c>
      <c r="K35" s="194">
        <f t="shared" si="10"/>
        <v>3813.1410000000001</v>
      </c>
      <c r="L35" s="194">
        <f t="shared" si="10"/>
        <v>3008.1410000000001</v>
      </c>
      <c r="M35" s="194">
        <f t="shared" si="10"/>
        <v>2542.1410000000001</v>
      </c>
      <c r="N35" s="194">
        <f t="shared" si="10"/>
        <v>1018.141</v>
      </c>
      <c r="O35" s="29">
        <f t="shared" si="10"/>
        <v>1008.3336</v>
      </c>
      <c r="P35" s="30">
        <f t="shared" si="10"/>
        <v>41715.009000000005</v>
      </c>
      <c r="Q35" s="195">
        <f t="shared" si="10"/>
        <v>185</v>
      </c>
      <c r="R35" s="194">
        <f t="shared" si="10"/>
        <v>185</v>
      </c>
      <c r="S35" s="194">
        <f t="shared" si="10"/>
        <v>30</v>
      </c>
      <c r="T35" s="194">
        <f t="shared" si="10"/>
        <v>0</v>
      </c>
      <c r="U35" s="194">
        <f t="shared" si="10"/>
        <v>0</v>
      </c>
      <c r="V35" s="194">
        <f t="shared" si="10"/>
        <v>0</v>
      </c>
      <c r="W35" s="29">
        <f t="shared" si="10"/>
        <v>0</v>
      </c>
      <c r="X35" s="29">
        <f t="shared" si="10"/>
        <v>0</v>
      </c>
      <c r="Y35" s="29">
        <f t="shared" si="10"/>
        <v>0</v>
      </c>
      <c r="Z35" s="30">
        <f>SUM(Q35:Y35)</f>
        <v>400</v>
      </c>
      <c r="AA35" s="196"/>
      <c r="AB35" s="267"/>
    </row>
    <row r="36" spans="1:28">
      <c r="A36" s="174"/>
      <c r="B36" s="53"/>
      <c r="C36" s="31"/>
      <c r="D36" s="31"/>
      <c r="E36" s="31"/>
      <c r="F36" s="31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31"/>
      <c r="AA36" s="184"/>
      <c r="AB36" s="267"/>
    </row>
    <row r="37" spans="1:28" ht="13.5" thickBot="1">
      <c r="A37" s="51">
        <v>6435</v>
      </c>
      <c r="B37" s="2" t="s">
        <v>1</v>
      </c>
      <c r="C37" s="31"/>
      <c r="D37" s="31"/>
      <c r="E37" s="31"/>
      <c r="F37" s="31"/>
      <c r="G37" s="54"/>
      <c r="H37" s="54"/>
      <c r="I37" s="54"/>
      <c r="J37" s="54"/>
      <c r="K37" s="54"/>
      <c r="L37" s="54"/>
      <c r="M37" s="54"/>
      <c r="N37" s="54"/>
      <c r="O37" s="199"/>
      <c r="P37" s="199"/>
      <c r="Q37" s="54"/>
      <c r="R37" s="54"/>
      <c r="S37" s="54"/>
      <c r="T37" s="54"/>
      <c r="U37" s="54"/>
      <c r="V37" s="54"/>
      <c r="W37" s="54"/>
      <c r="X37" s="54"/>
      <c r="Y37" s="54"/>
      <c r="Z37" s="31"/>
      <c r="AA37" s="50"/>
      <c r="AB37" s="267"/>
    </row>
    <row r="38" spans="1:28" ht="25.5">
      <c r="A38" s="187">
        <v>800217116</v>
      </c>
      <c r="B38" s="5" t="s">
        <v>92</v>
      </c>
      <c r="C38" s="200">
        <f t="shared" ref="C38:C42" si="11">P38+Z38</f>
        <v>17748.724295</v>
      </c>
      <c r="D38" s="17">
        <v>-33.849080000000001</v>
      </c>
      <c r="E38" s="18">
        <v>3413.0702500000002</v>
      </c>
      <c r="F38" s="18">
        <v>1683.6561299999998</v>
      </c>
      <c r="G38" s="63">
        <v>115.70999999999981</v>
      </c>
      <c r="H38" s="18">
        <v>2372.7950000000001</v>
      </c>
      <c r="I38" s="18">
        <v>2372.7950000000001</v>
      </c>
      <c r="J38" s="18">
        <v>1443.1944550000001</v>
      </c>
      <c r="K38" s="18">
        <v>751.29500000000007</v>
      </c>
      <c r="L38" s="18">
        <v>751.29500000000007</v>
      </c>
      <c r="M38" s="18">
        <v>751.29500000000007</v>
      </c>
      <c r="N38" s="18">
        <v>751.29500000000007</v>
      </c>
      <c r="O38" s="19">
        <v>647.33254000000011</v>
      </c>
      <c r="P38" s="20">
        <f t="shared" ref="P38:P42" si="12">O38+N38+M38+L38+K38+J38+I38+H38+G38+F38+E38+D38</f>
        <v>15019.884295</v>
      </c>
      <c r="Q38" s="63">
        <v>509.64</v>
      </c>
      <c r="R38" s="18">
        <v>509.64</v>
      </c>
      <c r="S38" s="18">
        <v>263.04000000000002</v>
      </c>
      <c r="T38" s="18">
        <v>263.04000000000002</v>
      </c>
      <c r="U38" s="18">
        <v>263.04000000000002</v>
      </c>
      <c r="V38" s="18">
        <v>263.04000000000002</v>
      </c>
      <c r="W38" s="19">
        <v>219.2</v>
      </c>
      <c r="X38" s="19">
        <v>219.2</v>
      </c>
      <c r="Y38" s="19">
        <v>219</v>
      </c>
      <c r="Z38" s="20">
        <f t="shared" ref="Z38:Z42" si="13">SUM(Q38:Y38)</f>
        <v>2728.8399999999997</v>
      </c>
      <c r="AA38" s="11">
        <v>41010</v>
      </c>
      <c r="AB38" s="267"/>
    </row>
    <row r="39" spans="1:28" ht="25.5">
      <c r="A39" s="201">
        <v>800217211</v>
      </c>
      <c r="B39" s="6" t="s">
        <v>117</v>
      </c>
      <c r="C39" s="202">
        <f t="shared" si="11"/>
        <v>2308.1779999999999</v>
      </c>
      <c r="D39" s="21">
        <v>528.28512999999998</v>
      </c>
      <c r="E39" s="22">
        <v>140.44970000000001</v>
      </c>
      <c r="F39" s="22">
        <v>53.174099999999996</v>
      </c>
      <c r="G39" s="204">
        <v>-369.81499999999994</v>
      </c>
      <c r="H39" s="203">
        <v>378.35</v>
      </c>
      <c r="I39" s="203">
        <v>331.86916200000002</v>
      </c>
      <c r="J39" s="203">
        <v>268.24690699999996</v>
      </c>
      <c r="K39" s="203">
        <v>335.53807599999993</v>
      </c>
      <c r="L39" s="203">
        <v>108.1</v>
      </c>
      <c r="M39" s="203">
        <v>108.1</v>
      </c>
      <c r="N39" s="203">
        <v>108.1</v>
      </c>
      <c r="O39" s="23">
        <v>98.579925000000244</v>
      </c>
      <c r="P39" s="24">
        <f t="shared" si="12"/>
        <v>2088.9780000000001</v>
      </c>
      <c r="Q39" s="204">
        <v>109.6</v>
      </c>
      <c r="R39" s="203">
        <v>109.6</v>
      </c>
      <c r="S39" s="203">
        <v>0</v>
      </c>
      <c r="T39" s="203">
        <v>0</v>
      </c>
      <c r="U39" s="203">
        <v>0</v>
      </c>
      <c r="V39" s="203">
        <v>0</v>
      </c>
      <c r="W39" s="205">
        <v>0</v>
      </c>
      <c r="X39" s="205">
        <v>0</v>
      </c>
      <c r="Y39" s="205">
        <v>0</v>
      </c>
      <c r="Z39" s="32">
        <f t="shared" si="13"/>
        <v>219.2</v>
      </c>
      <c r="AA39" s="8">
        <v>41228</v>
      </c>
      <c r="AB39" s="267"/>
    </row>
    <row r="40" spans="1:28">
      <c r="A40" s="201">
        <v>900269206</v>
      </c>
      <c r="B40" s="6" t="s">
        <v>116</v>
      </c>
      <c r="C40" s="202">
        <f t="shared" si="11"/>
        <v>0</v>
      </c>
      <c r="D40" s="21">
        <v>0</v>
      </c>
      <c r="E40" s="22">
        <v>0</v>
      </c>
      <c r="F40" s="22">
        <v>0</v>
      </c>
      <c r="G40" s="204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03">
        <v>0</v>
      </c>
      <c r="O40" s="23">
        <v>0</v>
      </c>
      <c r="P40" s="24">
        <f t="shared" si="12"/>
        <v>0</v>
      </c>
      <c r="Q40" s="204">
        <v>0</v>
      </c>
      <c r="R40" s="203">
        <v>0</v>
      </c>
      <c r="S40" s="203">
        <v>0</v>
      </c>
      <c r="T40" s="203">
        <v>0</v>
      </c>
      <c r="U40" s="203">
        <v>0</v>
      </c>
      <c r="V40" s="203">
        <v>0</v>
      </c>
      <c r="W40" s="205">
        <v>0</v>
      </c>
      <c r="X40" s="205">
        <v>0</v>
      </c>
      <c r="Y40" s="205">
        <v>0</v>
      </c>
      <c r="Z40" s="32">
        <f t="shared" si="13"/>
        <v>0</v>
      </c>
      <c r="AA40" s="286">
        <v>41061</v>
      </c>
      <c r="AB40" s="267"/>
    </row>
    <row r="41" spans="1:28">
      <c r="A41" s="189">
        <v>900271208</v>
      </c>
      <c r="B41" s="3" t="s">
        <v>115</v>
      </c>
      <c r="C41" s="207">
        <f t="shared" si="11"/>
        <v>0</v>
      </c>
      <c r="D41" s="21">
        <v>8.0879999999999994E-2</v>
      </c>
      <c r="E41" s="22">
        <v>-7.4800000000000005E-3</v>
      </c>
      <c r="F41" s="22">
        <v>0</v>
      </c>
      <c r="G41" s="109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3">
        <v>-7.3399999999999993E-2</v>
      </c>
      <c r="P41" s="24">
        <f t="shared" si="12"/>
        <v>0</v>
      </c>
      <c r="Q41" s="109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3">
        <v>0</v>
      </c>
      <c r="X41" s="23">
        <v>0</v>
      </c>
      <c r="Y41" s="23">
        <v>0</v>
      </c>
      <c r="Z41" s="24">
        <f t="shared" si="13"/>
        <v>0</v>
      </c>
      <c r="AA41" s="287">
        <v>41153</v>
      </c>
      <c r="AB41" s="267"/>
    </row>
    <row r="42" spans="1:28" ht="13.5" thickBot="1">
      <c r="A42" s="189">
        <v>800051900</v>
      </c>
      <c r="B42" s="3" t="s">
        <v>22</v>
      </c>
      <c r="C42" s="207">
        <f t="shared" si="11"/>
        <v>270.22766000000001</v>
      </c>
      <c r="D42" s="25">
        <v>78.357439999999997</v>
      </c>
      <c r="E42" s="26">
        <v>72.572980000000001</v>
      </c>
      <c r="F42" s="26">
        <v>73.771979999999999</v>
      </c>
      <c r="G42" s="109">
        <v>5.1000000000000005</v>
      </c>
      <c r="H42" s="22">
        <v>5.1000000000000005</v>
      </c>
      <c r="I42" s="22">
        <v>5.1000000000000005</v>
      </c>
      <c r="J42" s="22">
        <v>5.1000000000000005</v>
      </c>
      <c r="K42" s="22">
        <v>5.1000000000000005</v>
      </c>
      <c r="L42" s="22">
        <v>5.1000000000000005</v>
      </c>
      <c r="M42" s="22">
        <v>5.1000000000000005</v>
      </c>
      <c r="N42" s="22">
        <v>5.1000000000000005</v>
      </c>
      <c r="O42" s="208">
        <f>4.62526+0.1</f>
        <v>4.7252599999999996</v>
      </c>
      <c r="P42" s="33">
        <f t="shared" si="12"/>
        <v>270.22766000000001</v>
      </c>
      <c r="Q42" s="109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3">
        <v>0</v>
      </c>
      <c r="X42" s="23">
        <v>0</v>
      </c>
      <c r="Y42" s="23">
        <v>0</v>
      </c>
      <c r="Z42" s="24">
        <f t="shared" si="13"/>
        <v>0</v>
      </c>
      <c r="AA42" s="10">
        <v>41365</v>
      </c>
      <c r="AB42" s="267"/>
    </row>
    <row r="43" spans="1:28" ht="13.5" thickBot="1">
      <c r="A43" s="176" t="s">
        <v>9</v>
      </c>
      <c r="B43" s="191"/>
      <c r="C43" s="209">
        <f t="shared" ref="C43" si="14">P43+Z43</f>
        <v>20327.129955</v>
      </c>
      <c r="D43" s="193">
        <f t="shared" ref="D43:Y43" si="15">SUM(D38:D42)</f>
        <v>572.87437</v>
      </c>
      <c r="E43" s="194">
        <f t="shared" si="15"/>
        <v>3626.08545</v>
      </c>
      <c r="F43" s="194">
        <f t="shared" si="15"/>
        <v>1810.6022099999998</v>
      </c>
      <c r="G43" s="195">
        <f t="shared" si="15"/>
        <v>-249.00500000000014</v>
      </c>
      <c r="H43" s="194">
        <f t="shared" si="15"/>
        <v>2756.2449999999999</v>
      </c>
      <c r="I43" s="194">
        <f t="shared" si="15"/>
        <v>2709.7641619999999</v>
      </c>
      <c r="J43" s="194">
        <f t="shared" si="15"/>
        <v>1716.5413619999999</v>
      </c>
      <c r="K43" s="194">
        <f t="shared" si="15"/>
        <v>1091.9330759999998</v>
      </c>
      <c r="L43" s="194">
        <f t="shared" si="15"/>
        <v>864.49500000000012</v>
      </c>
      <c r="M43" s="194">
        <f t="shared" si="15"/>
        <v>864.49500000000012</v>
      </c>
      <c r="N43" s="194">
        <f t="shared" si="15"/>
        <v>864.49500000000012</v>
      </c>
      <c r="O43" s="29">
        <f t="shared" si="15"/>
        <v>750.56432500000039</v>
      </c>
      <c r="P43" s="30">
        <f t="shared" si="15"/>
        <v>17379.089954999999</v>
      </c>
      <c r="Q43" s="195">
        <f t="shared" si="15"/>
        <v>619.24</v>
      </c>
      <c r="R43" s="194">
        <f t="shared" si="15"/>
        <v>619.24</v>
      </c>
      <c r="S43" s="194">
        <f t="shared" si="15"/>
        <v>263.04000000000002</v>
      </c>
      <c r="T43" s="194">
        <f t="shared" si="15"/>
        <v>263.04000000000002</v>
      </c>
      <c r="U43" s="194">
        <f t="shared" si="15"/>
        <v>263.04000000000002</v>
      </c>
      <c r="V43" s="194">
        <f t="shared" si="15"/>
        <v>263.04000000000002</v>
      </c>
      <c r="W43" s="29">
        <f t="shared" si="15"/>
        <v>219.2</v>
      </c>
      <c r="X43" s="29">
        <f t="shared" si="15"/>
        <v>219.2</v>
      </c>
      <c r="Y43" s="29">
        <f t="shared" si="15"/>
        <v>219</v>
      </c>
      <c r="Z43" s="30">
        <f t="shared" ref="Z43" si="16">SUM(Q43:Y43)</f>
        <v>2948.0399999999995</v>
      </c>
      <c r="AA43" s="196"/>
      <c r="AB43" s="267"/>
    </row>
    <row r="44" spans="1:28">
      <c r="A44" s="197"/>
      <c r="B44" s="4"/>
      <c r="C44" s="31"/>
      <c r="D44" s="31"/>
      <c r="E44" s="31"/>
      <c r="F44" s="31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31"/>
      <c r="AA44" s="184"/>
      <c r="AB44" s="267"/>
    </row>
    <row r="45" spans="1:28" ht="13.5" thickBot="1">
      <c r="A45" s="51">
        <v>5472</v>
      </c>
      <c r="B45" s="2" t="s">
        <v>2</v>
      </c>
      <c r="C45" s="31"/>
      <c r="D45" s="31"/>
      <c r="E45" s="31"/>
      <c r="F45" s="31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31"/>
      <c r="AA45" s="50"/>
      <c r="AB45" s="267"/>
    </row>
    <row r="46" spans="1:28" ht="25.5">
      <c r="A46" s="187">
        <v>800062539</v>
      </c>
      <c r="B46" s="5" t="s">
        <v>91</v>
      </c>
      <c r="C46" s="200">
        <f>P46+Z46</f>
        <v>800.98400000000004</v>
      </c>
      <c r="D46" s="17">
        <v>58.230330000000002</v>
      </c>
      <c r="E46" s="18">
        <v>155.8536</v>
      </c>
      <c r="F46" s="18">
        <v>3.28959</v>
      </c>
      <c r="G46" s="63">
        <v>64.86</v>
      </c>
      <c r="H46" s="18">
        <v>64.86</v>
      </c>
      <c r="I46" s="18">
        <v>64.86</v>
      </c>
      <c r="J46" s="18">
        <v>64.86</v>
      </c>
      <c r="K46" s="18">
        <v>64.86</v>
      </c>
      <c r="L46" s="18">
        <v>64.86</v>
      </c>
      <c r="M46" s="18">
        <v>64.86</v>
      </c>
      <c r="N46" s="18">
        <v>64.86</v>
      </c>
      <c r="O46" s="19">
        <v>64.73048</v>
      </c>
      <c r="P46" s="20">
        <f>O46+N46+M46+L46+K46+J46+I46+H46+G46+F46+E46+D46</f>
        <v>800.98400000000004</v>
      </c>
      <c r="Q46" s="63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9">
        <v>0</v>
      </c>
      <c r="X46" s="19">
        <v>0</v>
      </c>
      <c r="Y46" s="19">
        <v>0</v>
      </c>
      <c r="Z46" s="20">
        <f>SUM(Q46:Y46)</f>
        <v>0</v>
      </c>
      <c r="AA46" s="11">
        <v>42036</v>
      </c>
      <c r="AB46" s="267"/>
    </row>
    <row r="47" spans="1:28">
      <c r="A47" s="201">
        <v>800217225</v>
      </c>
      <c r="B47" s="6" t="s">
        <v>90</v>
      </c>
      <c r="C47" s="202">
        <f>P47+Z47</f>
        <v>225.864</v>
      </c>
      <c r="D47" s="21">
        <v>3.0503499999999999</v>
      </c>
      <c r="E47" s="22">
        <v>107.08880000000001</v>
      </c>
      <c r="F47" s="22">
        <v>1.18221</v>
      </c>
      <c r="G47" s="204">
        <v>-257.70600000000002</v>
      </c>
      <c r="H47" s="203">
        <v>156.745</v>
      </c>
      <c r="I47" s="203">
        <v>150.64275499999999</v>
      </c>
      <c r="J47" s="203">
        <v>10.81</v>
      </c>
      <c r="K47" s="203">
        <v>10.81</v>
      </c>
      <c r="L47" s="203">
        <v>10.81</v>
      </c>
      <c r="M47" s="203">
        <v>10.81</v>
      </c>
      <c r="N47" s="203">
        <v>10.81</v>
      </c>
      <c r="O47" s="23">
        <v>10.810884999999999</v>
      </c>
      <c r="P47" s="24">
        <f>O47+N47+M47+L47+K47+J47+I47+H47+G47+F47+E47+D47</f>
        <v>225.864</v>
      </c>
      <c r="Q47" s="204">
        <v>0</v>
      </c>
      <c r="R47" s="203">
        <v>0</v>
      </c>
      <c r="S47" s="203">
        <v>0</v>
      </c>
      <c r="T47" s="203">
        <v>0</v>
      </c>
      <c r="U47" s="203">
        <v>0</v>
      </c>
      <c r="V47" s="203">
        <v>0</v>
      </c>
      <c r="W47" s="205">
        <v>0</v>
      </c>
      <c r="X47" s="205">
        <v>0</v>
      </c>
      <c r="Y47" s="205">
        <v>0</v>
      </c>
      <c r="Z47" s="32">
        <f>SUM(Q47:Y47)</f>
        <v>0</v>
      </c>
      <c r="AA47" s="206">
        <v>41228</v>
      </c>
      <c r="AB47" s="267"/>
    </row>
    <row r="48" spans="1:28" ht="25.5">
      <c r="A48" s="201">
        <v>800217232</v>
      </c>
      <c r="B48" s="6" t="s">
        <v>118</v>
      </c>
      <c r="C48" s="202">
        <f>P48+Z48</f>
        <v>49628.911</v>
      </c>
      <c r="D48" s="21">
        <v>3967.0399700000003</v>
      </c>
      <c r="E48" s="22">
        <v>7044.2877500000004</v>
      </c>
      <c r="F48" s="22">
        <v>5097.6827699999994</v>
      </c>
      <c r="G48" s="204">
        <v>1439.6106850000006</v>
      </c>
      <c r="H48" s="203">
        <v>4235.0088370000003</v>
      </c>
      <c r="I48" s="203">
        <v>4156.4449999999997</v>
      </c>
      <c r="J48" s="203">
        <v>4204.0933180000002</v>
      </c>
      <c r="K48" s="203">
        <v>891.82500000000005</v>
      </c>
      <c r="L48" s="203">
        <v>3864.5749999999998</v>
      </c>
      <c r="M48" s="203">
        <v>3859.1094640000001</v>
      </c>
      <c r="N48" s="203">
        <v>3621.35</v>
      </c>
      <c r="O48" s="23">
        <v>3635.8832059999982</v>
      </c>
      <c r="P48" s="24">
        <f>O48+N48+M48+L48+K48+J48+I48+H48+G48+F48+E48+D48</f>
        <v>46016.911</v>
      </c>
      <c r="Q48" s="204">
        <v>663.07999999999993</v>
      </c>
      <c r="R48" s="203">
        <v>663.07999999999993</v>
      </c>
      <c r="S48" s="203">
        <v>411</v>
      </c>
      <c r="T48" s="203">
        <v>328.8</v>
      </c>
      <c r="U48" s="203">
        <v>328.8</v>
      </c>
      <c r="V48" s="203">
        <v>328.8</v>
      </c>
      <c r="W48" s="205">
        <v>295.92</v>
      </c>
      <c r="X48" s="205">
        <v>295.92</v>
      </c>
      <c r="Y48" s="205">
        <v>296.60000000000002</v>
      </c>
      <c r="Z48" s="32">
        <f>SUM(Q48:Y48)</f>
        <v>3612.0000000000005</v>
      </c>
      <c r="AA48" s="206">
        <v>41228</v>
      </c>
      <c r="AB48" s="267"/>
    </row>
    <row r="49" spans="1:28">
      <c r="A49" s="201">
        <v>800433760</v>
      </c>
      <c r="B49" s="6" t="s">
        <v>25</v>
      </c>
      <c r="C49" s="202">
        <f>P49+Z49</f>
        <v>1299.5160000000001</v>
      </c>
      <c r="D49" s="21">
        <v>109.82066999999999</v>
      </c>
      <c r="E49" s="22">
        <v>155.56038000000001</v>
      </c>
      <c r="F49" s="22">
        <v>480.46861000000001</v>
      </c>
      <c r="G49" s="204">
        <v>121.62899999999999</v>
      </c>
      <c r="H49" s="203">
        <v>54.05</v>
      </c>
      <c r="I49" s="203">
        <v>54.05</v>
      </c>
      <c r="J49" s="203">
        <v>54.05</v>
      </c>
      <c r="K49" s="203">
        <v>54.05</v>
      </c>
      <c r="L49" s="203">
        <v>54.05</v>
      </c>
      <c r="M49" s="203">
        <v>54.05</v>
      </c>
      <c r="N49" s="203">
        <v>54.05</v>
      </c>
      <c r="O49" s="23">
        <v>53.687339999999942</v>
      </c>
      <c r="P49" s="24">
        <f>O49+N49+M49+L49+K49+J49+I49+H49+G49+F49+E49+D49</f>
        <v>1299.5160000000001</v>
      </c>
      <c r="Q49" s="204">
        <v>0</v>
      </c>
      <c r="R49" s="203">
        <v>0</v>
      </c>
      <c r="S49" s="203">
        <v>0</v>
      </c>
      <c r="T49" s="203">
        <v>0</v>
      </c>
      <c r="U49" s="203">
        <v>0</v>
      </c>
      <c r="V49" s="203">
        <v>0</v>
      </c>
      <c r="W49" s="205">
        <v>0</v>
      </c>
      <c r="X49" s="205">
        <v>0</v>
      </c>
      <c r="Y49" s="205">
        <v>0</v>
      </c>
      <c r="Z49" s="32">
        <f>SUM(Q49:Y49)</f>
        <v>0</v>
      </c>
      <c r="AA49" s="206">
        <v>42036</v>
      </c>
      <c r="AB49" s="267"/>
    </row>
    <row r="50" spans="1:28" ht="13.5" thickBot="1">
      <c r="A50" s="189">
        <v>800051902</v>
      </c>
      <c r="B50" s="3" t="s">
        <v>24</v>
      </c>
      <c r="C50" s="207">
        <f>P50+Z50</f>
        <v>182.70215013000001</v>
      </c>
      <c r="D50" s="25">
        <v>20.452009999999998</v>
      </c>
      <c r="E50" s="26">
        <v>4.1835000000000004</v>
      </c>
      <c r="F50" s="26">
        <v>0.31758999999999998</v>
      </c>
      <c r="G50" s="109">
        <v>116.96199999999999</v>
      </c>
      <c r="H50" s="22">
        <v>5.1000000000000005</v>
      </c>
      <c r="I50" s="22">
        <v>5.1000000000000005</v>
      </c>
      <c r="J50" s="22">
        <v>5.1000000000000005</v>
      </c>
      <c r="K50" s="22">
        <v>5.1000000000000005</v>
      </c>
      <c r="L50" s="22">
        <v>5.1000000000000005</v>
      </c>
      <c r="M50" s="22">
        <v>5.1000000000000005</v>
      </c>
      <c r="N50" s="22">
        <v>5.1000000000000005</v>
      </c>
      <c r="O50" s="208">
        <v>5.0870501300000015</v>
      </c>
      <c r="P50" s="33">
        <f>O50+N50+M50+L50+K50+J50+I50+H50+G50+F50+E50+D50</f>
        <v>182.70215013000001</v>
      </c>
      <c r="Q50" s="109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3">
        <v>0</v>
      </c>
      <c r="X50" s="23">
        <v>0</v>
      </c>
      <c r="Y50" s="23">
        <v>0</v>
      </c>
      <c r="Z50" s="24">
        <f>SUM(Q50:Y50)</f>
        <v>0</v>
      </c>
      <c r="AA50" s="7">
        <v>41244</v>
      </c>
      <c r="AB50" s="267"/>
    </row>
    <row r="51" spans="1:28" ht="13.5" thickBot="1">
      <c r="A51" s="176" t="s">
        <v>10</v>
      </c>
      <c r="B51" s="191"/>
      <c r="C51" s="209">
        <f t="shared" ref="C51" si="17">P51+Z51</f>
        <v>52137.977150129998</v>
      </c>
      <c r="D51" s="193">
        <f t="shared" ref="D51:Y51" si="18">SUM(D46:D50)</f>
        <v>4158.5933299999997</v>
      </c>
      <c r="E51" s="194">
        <f t="shared" si="18"/>
        <v>7466.9740300000003</v>
      </c>
      <c r="F51" s="194">
        <f t="shared" si="18"/>
        <v>5582.9407699999992</v>
      </c>
      <c r="G51" s="195">
        <f t="shared" si="18"/>
        <v>1485.3556850000004</v>
      </c>
      <c r="H51" s="194">
        <f t="shared" si="18"/>
        <v>4515.7638370000013</v>
      </c>
      <c r="I51" s="194">
        <f t="shared" si="18"/>
        <v>4431.0977549999998</v>
      </c>
      <c r="J51" s="194">
        <f t="shared" si="18"/>
        <v>4338.9133180000008</v>
      </c>
      <c r="K51" s="194">
        <f t="shared" si="18"/>
        <v>1026.645</v>
      </c>
      <c r="L51" s="194">
        <f t="shared" si="18"/>
        <v>3999.395</v>
      </c>
      <c r="M51" s="194">
        <f t="shared" si="18"/>
        <v>3993.9294640000003</v>
      </c>
      <c r="N51" s="194">
        <f t="shared" si="18"/>
        <v>3756.17</v>
      </c>
      <c r="O51" s="29">
        <f t="shared" si="18"/>
        <v>3770.1989611299982</v>
      </c>
      <c r="P51" s="30">
        <f t="shared" si="18"/>
        <v>48525.977150129998</v>
      </c>
      <c r="Q51" s="195">
        <f t="shared" si="18"/>
        <v>663.07999999999993</v>
      </c>
      <c r="R51" s="194">
        <f t="shared" si="18"/>
        <v>663.07999999999993</v>
      </c>
      <c r="S51" s="194">
        <f t="shared" si="18"/>
        <v>411</v>
      </c>
      <c r="T51" s="194">
        <f t="shared" si="18"/>
        <v>328.8</v>
      </c>
      <c r="U51" s="194">
        <f t="shared" si="18"/>
        <v>328.8</v>
      </c>
      <c r="V51" s="194">
        <f t="shared" si="18"/>
        <v>328.8</v>
      </c>
      <c r="W51" s="29">
        <f t="shared" si="18"/>
        <v>295.92</v>
      </c>
      <c r="X51" s="29">
        <f t="shared" si="18"/>
        <v>295.92</v>
      </c>
      <c r="Y51" s="29">
        <f t="shared" si="18"/>
        <v>296.60000000000002</v>
      </c>
      <c r="Z51" s="30">
        <f t="shared" ref="Z51" si="19">SUM(Q51:Y51)</f>
        <v>3612.0000000000005</v>
      </c>
      <c r="AA51" s="196"/>
      <c r="AB51" s="267"/>
    </row>
    <row r="52" spans="1:28">
      <c r="A52" s="197"/>
      <c r="B52" s="4"/>
      <c r="C52" s="31"/>
      <c r="D52" s="31"/>
      <c r="E52" s="31"/>
      <c r="F52" s="31"/>
      <c r="G52" s="54"/>
      <c r="H52" s="54"/>
      <c r="I52" s="54"/>
      <c r="J52" s="54"/>
      <c r="K52" s="54"/>
      <c r="L52" s="54"/>
      <c r="M52" s="54"/>
      <c r="N52" s="198"/>
      <c r="O52" s="198"/>
      <c r="P52" s="198"/>
      <c r="Q52" s="198"/>
      <c r="R52" s="54"/>
      <c r="S52" s="54"/>
      <c r="T52" s="54"/>
      <c r="U52" s="54"/>
      <c r="V52" s="54"/>
      <c r="W52" s="54"/>
      <c r="X52" s="54"/>
      <c r="Y52" s="54"/>
      <c r="Z52" s="31"/>
      <c r="AA52" s="184"/>
      <c r="AB52" s="267"/>
    </row>
    <row r="53" spans="1:28" ht="13.5" thickBot="1">
      <c r="A53" s="51">
        <v>5243</v>
      </c>
      <c r="B53" s="2" t="s">
        <v>3</v>
      </c>
      <c r="C53" s="31"/>
      <c r="D53" s="31"/>
      <c r="E53" s="31"/>
      <c r="F53" s="31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31"/>
      <c r="AA53" s="50"/>
      <c r="AB53" s="267"/>
    </row>
    <row r="54" spans="1:28" ht="25.5">
      <c r="A54" s="189">
        <v>800217316</v>
      </c>
      <c r="B54" s="3" t="s">
        <v>119</v>
      </c>
      <c r="C54" s="111">
        <f>P54+Z54</f>
        <v>92524</v>
      </c>
      <c r="D54" s="17">
        <v>863.42653000000007</v>
      </c>
      <c r="E54" s="18">
        <v>1768.51614</v>
      </c>
      <c r="F54" s="18">
        <v>2494.7262099999998</v>
      </c>
      <c r="G54" s="63">
        <v>841</v>
      </c>
      <c r="H54" s="18">
        <v>863</v>
      </c>
      <c r="I54" s="18">
        <v>8476</v>
      </c>
      <c r="J54" s="18">
        <v>1316</v>
      </c>
      <c r="K54" s="18">
        <v>937</v>
      </c>
      <c r="L54" s="18">
        <v>4684</v>
      </c>
      <c r="M54" s="18">
        <v>7873</v>
      </c>
      <c r="N54" s="18">
        <v>6479</v>
      </c>
      <c r="O54" s="210">
        <v>4044.3311200000007</v>
      </c>
      <c r="P54" s="34">
        <f>O54+N54+M54+L54+K54+J54+I54+H54+G54+F54+E54+D54</f>
        <v>40640</v>
      </c>
      <c r="Q54" s="63">
        <v>10429</v>
      </c>
      <c r="R54" s="18">
        <v>9342</v>
      </c>
      <c r="S54" s="18">
        <v>7197</v>
      </c>
      <c r="T54" s="18">
        <v>6052</v>
      </c>
      <c r="U54" s="18">
        <v>5170</v>
      </c>
      <c r="V54" s="18">
        <v>2579</v>
      </c>
      <c r="W54" s="19">
        <v>3025</v>
      </c>
      <c r="X54" s="19">
        <v>5902</v>
      </c>
      <c r="Y54" s="19">
        <v>2188</v>
      </c>
      <c r="Z54" s="20">
        <f>SUM(Q54:Y54)</f>
        <v>51884</v>
      </c>
      <c r="AA54" s="11">
        <v>41671</v>
      </c>
      <c r="AB54" s="267"/>
    </row>
    <row r="55" spans="1:28" ht="25.5">
      <c r="A55" s="189">
        <v>800217330</v>
      </c>
      <c r="B55" s="3" t="s">
        <v>52</v>
      </c>
      <c r="C55" s="207">
        <f>P55+Z55</f>
        <v>16787</v>
      </c>
      <c r="D55" s="21">
        <v>112.98519999999999</v>
      </c>
      <c r="E55" s="22">
        <v>695.54763000000003</v>
      </c>
      <c r="F55" s="22">
        <v>422.19562999999999</v>
      </c>
      <c r="G55" s="109">
        <v>274</v>
      </c>
      <c r="H55" s="22">
        <v>296</v>
      </c>
      <c r="I55" s="22">
        <v>566</v>
      </c>
      <c r="J55" s="22">
        <v>566</v>
      </c>
      <c r="K55" s="22">
        <v>583</v>
      </c>
      <c r="L55" s="22">
        <v>548</v>
      </c>
      <c r="M55" s="22">
        <v>601</v>
      </c>
      <c r="N55" s="22">
        <v>566</v>
      </c>
      <c r="O55" s="23">
        <v>873.27153999999996</v>
      </c>
      <c r="P55" s="24">
        <f>O55+N55+M55+L55+K55+J55+I55+H55+G55+F55+E55+D55</f>
        <v>6104</v>
      </c>
      <c r="Q55" s="109">
        <v>907</v>
      </c>
      <c r="R55" s="22">
        <v>620</v>
      </c>
      <c r="S55" s="22">
        <v>593</v>
      </c>
      <c r="T55" s="22">
        <v>1749</v>
      </c>
      <c r="U55" s="22">
        <v>2280</v>
      </c>
      <c r="V55" s="22">
        <v>2210</v>
      </c>
      <c r="W55" s="23">
        <v>1512</v>
      </c>
      <c r="X55" s="23">
        <v>406</v>
      </c>
      <c r="Y55" s="23">
        <v>406</v>
      </c>
      <c r="Z55" s="24">
        <f>SUM(Q55:Y55)</f>
        <v>10683</v>
      </c>
      <c r="AA55" s="7">
        <v>41671</v>
      </c>
      <c r="AB55" s="267"/>
    </row>
    <row r="56" spans="1:28" ht="13.5" thickBot="1">
      <c r="A56" s="189">
        <v>800051930</v>
      </c>
      <c r="B56" s="3" t="s">
        <v>120</v>
      </c>
      <c r="C56" s="207">
        <f>P56+Z56</f>
        <v>31</v>
      </c>
      <c r="D56" s="25">
        <v>1.8468</v>
      </c>
      <c r="E56" s="26">
        <v>1.7627899999999999</v>
      </c>
      <c r="F56" s="26">
        <v>0.16474</v>
      </c>
      <c r="G56" s="109">
        <v>3</v>
      </c>
      <c r="H56" s="22">
        <v>3</v>
      </c>
      <c r="I56" s="22">
        <v>3</v>
      </c>
      <c r="J56" s="22">
        <v>3</v>
      </c>
      <c r="K56" s="22">
        <v>3</v>
      </c>
      <c r="L56" s="22">
        <v>3</v>
      </c>
      <c r="M56" s="22">
        <v>3</v>
      </c>
      <c r="N56" s="22">
        <v>3</v>
      </c>
      <c r="O56" s="205">
        <v>3.22567</v>
      </c>
      <c r="P56" s="35">
        <f>O56+N56+M56+L56+K56+J56+I56+H56+G56+F56+E56+D56</f>
        <v>31</v>
      </c>
      <c r="Q56" s="109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3">
        <v>0</v>
      </c>
      <c r="X56" s="23">
        <v>0</v>
      </c>
      <c r="Y56" s="23">
        <v>0</v>
      </c>
      <c r="Z56" s="24">
        <f>SUM(Q56:Y56)</f>
        <v>0</v>
      </c>
      <c r="AA56" s="7">
        <v>41061</v>
      </c>
      <c r="AB56" s="267"/>
    </row>
    <row r="57" spans="1:28" ht="13.5" thickBot="1">
      <c r="A57" s="176" t="s">
        <v>11</v>
      </c>
      <c r="B57" s="191"/>
      <c r="C57" s="209">
        <f>P57+Z57</f>
        <v>109342</v>
      </c>
      <c r="D57" s="193">
        <f t="shared" ref="D57:Y57" si="20">SUM(D54:D56)</f>
        <v>978.25853000000006</v>
      </c>
      <c r="E57" s="194">
        <f t="shared" si="20"/>
        <v>2465.82656</v>
      </c>
      <c r="F57" s="194">
        <f t="shared" si="20"/>
        <v>2917.0865800000001</v>
      </c>
      <c r="G57" s="195">
        <f t="shared" si="20"/>
        <v>1118</v>
      </c>
      <c r="H57" s="194">
        <f t="shared" si="20"/>
        <v>1162</v>
      </c>
      <c r="I57" s="194">
        <f t="shared" si="20"/>
        <v>9045</v>
      </c>
      <c r="J57" s="194">
        <f t="shared" si="20"/>
        <v>1885</v>
      </c>
      <c r="K57" s="194">
        <f t="shared" si="20"/>
        <v>1523</v>
      </c>
      <c r="L57" s="194">
        <f t="shared" si="20"/>
        <v>5235</v>
      </c>
      <c r="M57" s="194">
        <f t="shared" si="20"/>
        <v>8477</v>
      </c>
      <c r="N57" s="194">
        <f t="shared" si="20"/>
        <v>7048</v>
      </c>
      <c r="O57" s="29">
        <f t="shared" si="20"/>
        <v>4920.8283300000003</v>
      </c>
      <c r="P57" s="30">
        <f t="shared" si="20"/>
        <v>46775</v>
      </c>
      <c r="Q57" s="195">
        <f t="shared" si="20"/>
        <v>11336</v>
      </c>
      <c r="R57" s="194">
        <f t="shared" si="20"/>
        <v>9962</v>
      </c>
      <c r="S57" s="194">
        <f t="shared" si="20"/>
        <v>7790</v>
      </c>
      <c r="T57" s="194">
        <f t="shared" si="20"/>
        <v>7801</v>
      </c>
      <c r="U57" s="194">
        <f t="shared" si="20"/>
        <v>7450</v>
      </c>
      <c r="V57" s="194">
        <f t="shared" si="20"/>
        <v>4789</v>
      </c>
      <c r="W57" s="29">
        <f t="shared" si="20"/>
        <v>4537</v>
      </c>
      <c r="X57" s="29">
        <f t="shared" si="20"/>
        <v>6308</v>
      </c>
      <c r="Y57" s="29">
        <f t="shared" si="20"/>
        <v>2594</v>
      </c>
      <c r="Z57" s="30">
        <f>SUM(Q57:Y57)</f>
        <v>62567</v>
      </c>
      <c r="AA57" s="196"/>
      <c r="AB57" s="267"/>
    </row>
    <row r="58" spans="1:28">
      <c r="A58" s="211"/>
      <c r="B58" s="21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54"/>
      <c r="P58" s="54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212"/>
      <c r="AB58" s="267"/>
    </row>
    <row r="59" spans="1:28" ht="13.5" thickBot="1">
      <c r="A59" s="51">
        <v>6438</v>
      </c>
      <c r="B59" s="2" t="s">
        <v>4</v>
      </c>
      <c r="C59" s="31"/>
      <c r="D59" s="31"/>
      <c r="E59" s="31"/>
      <c r="F59" s="31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31"/>
      <c r="AA59" s="50"/>
      <c r="AB59" s="267"/>
    </row>
    <row r="60" spans="1:28" ht="25.5">
      <c r="A60" s="187">
        <v>800218130</v>
      </c>
      <c r="B60" s="62" t="s">
        <v>58</v>
      </c>
      <c r="C60" s="20">
        <f>P60+Z60</f>
        <v>10622.783576719998</v>
      </c>
      <c r="D60" s="63">
        <v>-35.517940000000003</v>
      </c>
      <c r="E60" s="18">
        <v>719.27364</v>
      </c>
      <c r="F60" s="18">
        <v>4146.0117900000005</v>
      </c>
      <c r="G60" s="18">
        <v>4.64907</v>
      </c>
      <c r="H60" s="18">
        <v>95.9</v>
      </c>
      <c r="I60" s="18">
        <v>415</v>
      </c>
      <c r="J60" s="18">
        <v>215.8</v>
      </c>
      <c r="K60" s="18">
        <v>4.64907</v>
      </c>
      <c r="L60" s="18">
        <v>760.2</v>
      </c>
      <c r="M60" s="18">
        <v>1339.7</v>
      </c>
      <c r="N60" s="18">
        <v>1325.2</v>
      </c>
      <c r="O60" s="19">
        <v>280.47259671999689</v>
      </c>
      <c r="P60" s="94">
        <f>O60+N60+M60+L60+K60+J60+I60+H60+G60+F60+E60+D60</f>
        <v>9271.3382267199977</v>
      </c>
      <c r="Q60" s="18">
        <v>16.899999999999999</v>
      </c>
      <c r="R60" s="18">
        <v>253.5</v>
      </c>
      <c r="S60" s="18">
        <v>4.64907</v>
      </c>
      <c r="T60" s="18">
        <v>4.64907</v>
      </c>
      <c r="U60" s="18">
        <v>462.7</v>
      </c>
      <c r="V60" s="18">
        <v>595.1</v>
      </c>
      <c r="W60" s="18">
        <v>4.64907</v>
      </c>
      <c r="X60" s="18">
        <v>4.64907</v>
      </c>
      <c r="Y60" s="19">
        <v>4.64907</v>
      </c>
      <c r="Z60" s="111">
        <f>SUM(Q60:Y60)</f>
        <v>1351.44535</v>
      </c>
      <c r="AA60" s="107">
        <v>41883</v>
      </c>
      <c r="AB60" s="267"/>
    </row>
    <row r="61" spans="1:28" ht="25.5">
      <c r="A61" s="189">
        <v>800218138</v>
      </c>
      <c r="B61" s="108" t="s">
        <v>59</v>
      </c>
      <c r="C61" s="24">
        <f>P61+Z61</f>
        <v>51542.232300488031</v>
      </c>
      <c r="D61" s="109">
        <v>1568.62815</v>
      </c>
      <c r="E61" s="22">
        <v>4787.6766900000002</v>
      </c>
      <c r="F61" s="22">
        <v>1600.3950300000001</v>
      </c>
      <c r="G61" s="22">
        <v>4666.5</v>
      </c>
      <c r="H61" s="22">
        <v>2993.9</v>
      </c>
      <c r="I61" s="22">
        <v>1669.9</v>
      </c>
      <c r="J61" s="22">
        <v>844.1</v>
      </c>
      <c r="K61" s="22">
        <v>691.3</v>
      </c>
      <c r="L61" s="22">
        <v>1592.2</v>
      </c>
      <c r="M61" s="22">
        <v>2239.8000000000002</v>
      </c>
      <c r="N61" s="22">
        <v>1773.1</v>
      </c>
      <c r="O61" s="23">
        <v>4671.8324595399999</v>
      </c>
      <c r="P61" s="110">
        <f>O61+N61+M61+L61+K61+J61+I61+H61+G61+F61+E61+D61</f>
        <v>29099.332329540001</v>
      </c>
      <c r="Q61" s="22">
        <v>4437.8</v>
      </c>
      <c r="R61" s="22">
        <v>3463.2975068186424</v>
      </c>
      <c r="S61" s="22">
        <v>3224.4215754576348</v>
      </c>
      <c r="T61" s="22">
        <v>3787.0224599754929</v>
      </c>
      <c r="U61" s="22">
        <v>3508.4522054900235</v>
      </c>
      <c r="V61" s="22">
        <v>1946.1824935161444</v>
      </c>
      <c r="W61" s="22">
        <v>644.45459982456123</v>
      </c>
      <c r="X61" s="22">
        <v>644.45459982456123</v>
      </c>
      <c r="Y61" s="23">
        <f>786.514530040974+0.3</f>
        <v>786.81453004097398</v>
      </c>
      <c r="Z61" s="112">
        <f>SUM(Q61:Y61)</f>
        <v>22442.899970948034</v>
      </c>
      <c r="AA61" s="8">
        <v>41913</v>
      </c>
      <c r="AB61" s="267"/>
    </row>
    <row r="62" spans="1:28">
      <c r="A62" s="189">
        <v>800051909</v>
      </c>
      <c r="B62" s="108" t="s">
        <v>121</v>
      </c>
      <c r="C62" s="24">
        <f>P62+Z62</f>
        <v>24.991367309186067</v>
      </c>
      <c r="D62" s="109">
        <v>-0.25923000000000002</v>
      </c>
      <c r="E62" s="22">
        <v>0.15784999999999999</v>
      </c>
      <c r="F62" s="22">
        <v>2.0978600000000003</v>
      </c>
      <c r="G62" s="22">
        <v>1.1419233333333334</v>
      </c>
      <c r="H62" s="22">
        <v>1.0472377777777779</v>
      </c>
      <c r="I62" s="22">
        <v>1.3455037037037039</v>
      </c>
      <c r="J62" s="22">
        <v>1.1782216049382719</v>
      </c>
      <c r="K62" s="22">
        <v>1.1903210288065846</v>
      </c>
      <c r="L62" s="22">
        <v>1.2380154458161869</v>
      </c>
      <c r="M62" s="22">
        <v>1.2021860265203475</v>
      </c>
      <c r="N62" s="22">
        <v>1.210174167047706</v>
      </c>
      <c r="O62" s="23">
        <f>2.64608187979475+1.1</f>
        <v>3.7460818797947502</v>
      </c>
      <c r="P62" s="110">
        <f>O62+N62+M62+L62+K62+J62+I62+H62+G62+F62+E62+D62</f>
        <v>15.296144967738661</v>
      </c>
      <c r="Q62" s="22">
        <v>1.2097173577876004</v>
      </c>
      <c r="R62" s="22">
        <v>1.212227801543351</v>
      </c>
      <c r="S62" s="22">
        <v>1.2129123463752325</v>
      </c>
      <c r="T62" s="22">
        <v>1.2116191685687279</v>
      </c>
      <c r="U62" s="22">
        <v>1.2122531054957704</v>
      </c>
      <c r="V62" s="22">
        <v>1.2122615401465768</v>
      </c>
      <c r="W62" s="22">
        <v>1.212044604737025</v>
      </c>
      <c r="X62" s="22">
        <v>1.212186416793124</v>
      </c>
      <c r="Y62" s="23">
        <v>0</v>
      </c>
      <c r="Z62" s="112">
        <f>SUM(Q62:Y62)</f>
        <v>9.6952223414474066</v>
      </c>
      <c r="AA62" s="8">
        <v>41609</v>
      </c>
      <c r="AB62" s="267"/>
    </row>
    <row r="63" spans="1:28" ht="13.5" thickBot="1">
      <c r="A63" s="213" t="s">
        <v>12</v>
      </c>
      <c r="B63" s="214"/>
      <c r="C63" s="33">
        <f>P63+Z63</f>
        <v>62190.007244517219</v>
      </c>
      <c r="D63" s="215">
        <f>SUM(D60:D62)</f>
        <v>1532.8509800000002</v>
      </c>
      <c r="E63" s="216">
        <f t="shared" ref="E63:O63" si="21">SUM(E60:E62)</f>
        <v>5507.1081800000002</v>
      </c>
      <c r="F63" s="216">
        <f t="shared" si="21"/>
        <v>5748.50468</v>
      </c>
      <c r="G63" s="216">
        <f t="shared" si="21"/>
        <v>4672.290993333334</v>
      </c>
      <c r="H63" s="216">
        <f t="shared" si="21"/>
        <v>3090.847237777778</v>
      </c>
      <c r="I63" s="216">
        <f t="shared" si="21"/>
        <v>2086.2455037037039</v>
      </c>
      <c r="J63" s="216">
        <f t="shared" si="21"/>
        <v>1061.0782216049383</v>
      </c>
      <c r="K63" s="216">
        <f t="shared" si="21"/>
        <v>697.13939102880659</v>
      </c>
      <c r="L63" s="216">
        <f t="shared" si="21"/>
        <v>2353.6380154458161</v>
      </c>
      <c r="M63" s="216">
        <f t="shared" si="21"/>
        <v>3580.7021860265204</v>
      </c>
      <c r="N63" s="216">
        <f t="shared" si="21"/>
        <v>3099.5101741670478</v>
      </c>
      <c r="O63" s="217">
        <f t="shared" si="21"/>
        <v>4956.051138139791</v>
      </c>
      <c r="P63" s="218">
        <f t="shared" ref="P63" si="22">SUM(P60:P62)</f>
        <v>38385.966701227735</v>
      </c>
      <c r="Q63" s="216">
        <f t="shared" ref="Q63" si="23">SUM(Q60:Q62)</f>
        <v>4455.9097173577875</v>
      </c>
      <c r="R63" s="216">
        <f t="shared" ref="R63" si="24">SUM(R60:R62)</f>
        <v>3718.009734620186</v>
      </c>
      <c r="S63" s="216">
        <f t="shared" ref="S63" si="25">SUM(S60:S62)</f>
        <v>3230.2835578040099</v>
      </c>
      <c r="T63" s="216">
        <f t="shared" ref="T63" si="26">SUM(T60:T62)</f>
        <v>3792.8831491440615</v>
      </c>
      <c r="U63" s="216">
        <f t="shared" ref="U63" si="27">SUM(U60:U62)</f>
        <v>3972.364458595519</v>
      </c>
      <c r="V63" s="216">
        <f t="shared" ref="V63" si="28">SUM(V60:V62)</f>
        <v>2542.4947550562911</v>
      </c>
      <c r="W63" s="216">
        <f t="shared" ref="W63" si="29">SUM(W60:W62)</f>
        <v>650.31571442929828</v>
      </c>
      <c r="X63" s="216">
        <f t="shared" ref="X63" si="30">SUM(X60:X62)</f>
        <v>650.31585624135437</v>
      </c>
      <c r="Y63" s="217">
        <f t="shared" ref="Y63" si="31">SUM(Y60:Y62)</f>
        <v>791.46360004097403</v>
      </c>
      <c r="Z63" s="219">
        <f t="shared" ref="Z63" si="32">SUM(Z60:Z62)</f>
        <v>23804.040543289484</v>
      </c>
      <c r="AA63" s="220"/>
      <c r="AB63" s="267"/>
    </row>
    <row r="64" spans="1:28">
      <c r="A64" s="221"/>
      <c r="B64" s="4"/>
      <c r="C64" s="31"/>
      <c r="D64" s="31"/>
      <c r="E64" s="31"/>
      <c r="F64" s="31"/>
      <c r="G64" s="54"/>
      <c r="H64" s="54"/>
      <c r="I64" s="54"/>
      <c r="J64" s="54"/>
      <c r="K64" s="54"/>
      <c r="L64" s="54"/>
      <c r="M64" s="54"/>
      <c r="N64" s="54"/>
      <c r="O64" s="54"/>
      <c r="P64" s="61"/>
      <c r="Q64" s="54"/>
      <c r="R64" s="54"/>
      <c r="S64" s="54"/>
      <c r="T64" s="54"/>
      <c r="U64" s="54"/>
      <c r="V64" s="54"/>
      <c r="W64" s="54"/>
      <c r="X64" s="54"/>
      <c r="Y64" s="54"/>
      <c r="Z64" s="31"/>
      <c r="AA64" s="184"/>
      <c r="AB64" s="267"/>
    </row>
    <row r="65" spans="1:28" ht="13.5" thickBot="1">
      <c r="A65" s="51">
        <v>6439</v>
      </c>
      <c r="B65" s="53" t="s">
        <v>5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54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50"/>
      <c r="AB65" s="267"/>
    </row>
    <row r="66" spans="1:28" ht="25.5">
      <c r="A66" s="187">
        <v>800218522</v>
      </c>
      <c r="B66" s="5" t="s">
        <v>54</v>
      </c>
      <c r="C66" s="188">
        <f t="shared" ref="C66:C72" si="33">P66+Z66</f>
        <v>1101.8536681654355</v>
      </c>
      <c r="D66" s="17">
        <v>344.38720000000001</v>
      </c>
      <c r="E66" s="18">
        <v>481.65803000000005</v>
      </c>
      <c r="F66" s="18">
        <v>135.00297</v>
      </c>
      <c r="G66" s="63">
        <v>38.597829657536572</v>
      </c>
      <c r="H66" s="18">
        <v>3.9628199999999998</v>
      </c>
      <c r="I66" s="18">
        <v>3.9628199999999998</v>
      </c>
      <c r="J66" s="18">
        <v>3.9628199999999998</v>
      </c>
      <c r="K66" s="18">
        <v>3.9628199999999998</v>
      </c>
      <c r="L66" s="18">
        <v>3.9628199999999998</v>
      </c>
      <c r="M66" s="18">
        <v>3.9628199999999998</v>
      </c>
      <c r="N66" s="18">
        <v>21.940202500996591</v>
      </c>
      <c r="O66" s="19">
        <v>20.825136006902341</v>
      </c>
      <c r="P66" s="34">
        <f t="shared" ref="P66:P72" si="34">O66+N66+M66+L66+K66+J66+I66+H66+G66+F66+E66+D66</f>
        <v>1066.1882881654356</v>
      </c>
      <c r="Q66" s="63">
        <v>3.9628199999999998</v>
      </c>
      <c r="R66" s="18">
        <v>3.9628199999999998</v>
      </c>
      <c r="S66" s="18">
        <v>3.9628199999999998</v>
      </c>
      <c r="T66" s="18">
        <v>3.9628199999999998</v>
      </c>
      <c r="U66" s="18">
        <v>3.9628199999999998</v>
      </c>
      <c r="V66" s="18">
        <v>3.9628199999999998</v>
      </c>
      <c r="W66" s="19">
        <v>3.9628199999999998</v>
      </c>
      <c r="X66" s="19">
        <v>3.9628199999999998</v>
      </c>
      <c r="Y66" s="19">
        <v>3.9628199999999998</v>
      </c>
      <c r="Z66" s="20">
        <f t="shared" ref="Z66:Z72" si="35">SUM(Q66:Y66)</f>
        <v>35.665379999999999</v>
      </c>
      <c r="AA66" s="11">
        <v>41699</v>
      </c>
      <c r="AB66" s="267"/>
    </row>
    <row r="67" spans="1:28">
      <c r="A67" s="189">
        <v>800218551</v>
      </c>
      <c r="B67" s="151" t="s">
        <v>60</v>
      </c>
      <c r="C67" s="190">
        <f t="shared" si="33"/>
        <v>55.889730700000001</v>
      </c>
      <c r="D67" s="21">
        <v>-119.73596000000001</v>
      </c>
      <c r="E67" s="22">
        <v>71.716789999999989</v>
      </c>
      <c r="F67" s="22">
        <v>104.75779</v>
      </c>
      <c r="G67" s="109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3">
        <v>-0.84888929999999618</v>
      </c>
      <c r="P67" s="24">
        <f t="shared" si="34"/>
        <v>55.889730700000001</v>
      </c>
      <c r="Q67" s="109">
        <v>0</v>
      </c>
      <c r="R67" s="22">
        <v>0</v>
      </c>
      <c r="S67" s="22">
        <v>0</v>
      </c>
      <c r="T67" s="22">
        <v>0</v>
      </c>
      <c r="U67" s="22">
        <v>0</v>
      </c>
      <c r="V67" s="38">
        <v>0</v>
      </c>
      <c r="W67" s="23">
        <v>0</v>
      </c>
      <c r="X67" s="23">
        <v>0</v>
      </c>
      <c r="Y67" s="23">
        <v>0</v>
      </c>
      <c r="Z67" s="24">
        <f t="shared" si="35"/>
        <v>0</v>
      </c>
      <c r="AA67" s="7">
        <v>40848</v>
      </c>
      <c r="AB67" s="267"/>
    </row>
    <row r="68" spans="1:28" ht="25.5">
      <c r="A68" s="149">
        <v>800218618</v>
      </c>
      <c r="B68" s="150" t="s">
        <v>55</v>
      </c>
      <c r="C68" s="41">
        <f t="shared" si="33"/>
        <v>548.33934999999985</v>
      </c>
      <c r="D68" s="37">
        <v>-97.147770000000008</v>
      </c>
      <c r="E68" s="38">
        <v>89.603300000000004</v>
      </c>
      <c r="F68" s="38">
        <v>555.8838199999999</v>
      </c>
      <c r="G68" s="39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40">
        <v>0</v>
      </c>
      <c r="P68" s="41">
        <f t="shared" si="34"/>
        <v>548.33934999999985</v>
      </c>
      <c r="Q68" s="39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40">
        <v>0</v>
      </c>
      <c r="X68" s="40">
        <v>0</v>
      </c>
      <c r="Y68" s="40">
        <v>0</v>
      </c>
      <c r="Z68" s="41">
        <f t="shared" si="35"/>
        <v>0</v>
      </c>
      <c r="AA68" s="16">
        <v>40718</v>
      </c>
      <c r="AB68" s="267"/>
    </row>
    <row r="69" spans="1:28" s="13" customFormat="1" ht="25.5">
      <c r="A69" s="14">
        <v>800218645</v>
      </c>
      <c r="B69" s="15" t="s">
        <v>56</v>
      </c>
      <c r="C69" s="36">
        <f t="shared" si="33"/>
        <v>118981.6550968746</v>
      </c>
      <c r="D69" s="37">
        <v>3620.07089</v>
      </c>
      <c r="E69" s="38">
        <v>2313.3171000000002</v>
      </c>
      <c r="F69" s="38">
        <v>3473.7596800000001</v>
      </c>
      <c r="G69" s="39">
        <f>1088.8739868519+8.3</f>
        <v>1097.1739868519001</v>
      </c>
      <c r="H69" s="38">
        <f>5929.56995715454+8.3</f>
        <v>5937.8699571545403</v>
      </c>
      <c r="I69" s="38">
        <f>4170.15803408796+8.3</f>
        <v>4178.4580340879602</v>
      </c>
      <c r="J69" s="38">
        <f>3201.61652314435+8.3</f>
        <v>3209.9165231443503</v>
      </c>
      <c r="K69" s="38">
        <f>3286.56301610381+8.3</f>
        <v>3294.86301610381</v>
      </c>
      <c r="L69" s="38">
        <f>11284.4555648552+8.3</f>
        <v>11292.755564855199</v>
      </c>
      <c r="M69" s="38">
        <f>2934.33547094492+8.3</f>
        <v>2942.6354709449201</v>
      </c>
      <c r="N69" s="38">
        <f>5483.85938186698+8.3</f>
        <v>5492.1593818669799</v>
      </c>
      <c r="O69" s="40">
        <f>17095.9685754765+15.6</f>
        <v>17111.5685754765</v>
      </c>
      <c r="P69" s="41">
        <f t="shared" si="34"/>
        <v>63964.548180486156</v>
      </c>
      <c r="Q69" s="39">
        <f>8722.13176627807+8.3</f>
        <v>8730.4317662780686</v>
      </c>
      <c r="R69" s="38">
        <f>7901.58937942526+8.3</f>
        <v>7909.8893794252599</v>
      </c>
      <c r="S69" s="38">
        <f>8613.90149898801+8.3</f>
        <v>8622.2014989880099</v>
      </c>
      <c r="T69" s="38">
        <f>5703.40470798125+8.3</f>
        <v>5711.7047079812501</v>
      </c>
      <c r="U69" s="38">
        <f>5732.09269323871+8.3</f>
        <v>5740.3926932387103</v>
      </c>
      <c r="V69" s="38">
        <v>3897.5274333607904</v>
      </c>
      <c r="W69" s="40">
        <f>4629.57112729401+8.3</f>
        <v>4637.87112729401</v>
      </c>
      <c r="X69" s="40">
        <f>5239.33720800754+8.3</f>
        <v>5247.6372080075398</v>
      </c>
      <c r="Y69" s="40">
        <f>4511.15110181482+8.3</f>
        <v>4519.4511018148205</v>
      </c>
      <c r="Z69" s="41">
        <f t="shared" si="35"/>
        <v>55017.106916388453</v>
      </c>
      <c r="AA69" s="16">
        <v>41883</v>
      </c>
      <c r="AB69" s="267"/>
    </row>
    <row r="70" spans="1:28" s="13" customFormat="1">
      <c r="A70" s="189">
        <v>800375079</v>
      </c>
      <c r="B70" s="3" t="s">
        <v>57</v>
      </c>
      <c r="C70" s="190">
        <f t="shared" si="33"/>
        <v>0</v>
      </c>
      <c r="D70" s="21">
        <v>0</v>
      </c>
      <c r="E70" s="22">
        <v>0</v>
      </c>
      <c r="F70" s="22">
        <v>0</v>
      </c>
      <c r="G70" s="109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3">
        <v>0</v>
      </c>
      <c r="P70" s="24">
        <f t="shared" si="34"/>
        <v>0</v>
      </c>
      <c r="Q70" s="109">
        <v>0</v>
      </c>
      <c r="R70" s="22">
        <v>0</v>
      </c>
      <c r="S70" s="22">
        <v>0</v>
      </c>
      <c r="T70" s="22">
        <v>0</v>
      </c>
      <c r="U70" s="22">
        <v>0</v>
      </c>
      <c r="V70" s="54">
        <v>0</v>
      </c>
      <c r="W70" s="22">
        <v>0</v>
      </c>
      <c r="X70" s="22">
        <v>0</v>
      </c>
      <c r="Y70" s="23">
        <v>0</v>
      </c>
      <c r="Z70" s="24">
        <f t="shared" si="35"/>
        <v>0</v>
      </c>
      <c r="AA70" s="7">
        <v>41609</v>
      </c>
      <c r="AB70" s="267"/>
    </row>
    <row r="71" spans="1:28" ht="38.25">
      <c r="A71" s="189">
        <v>900610533</v>
      </c>
      <c r="B71" s="3" t="s">
        <v>122</v>
      </c>
      <c r="C71" s="190">
        <f t="shared" si="33"/>
        <v>1144.2047556600003</v>
      </c>
      <c r="D71" s="21">
        <v>54.758499999999998</v>
      </c>
      <c r="E71" s="22">
        <v>183.18223</v>
      </c>
      <c r="F71" s="22">
        <v>12.512169999999999</v>
      </c>
      <c r="G71" s="109">
        <v>49.729146666666665</v>
      </c>
      <c r="H71" s="22">
        <v>49.729146666666665</v>
      </c>
      <c r="I71" s="22">
        <v>49.729146666666665</v>
      </c>
      <c r="J71" s="22">
        <v>49.729146666666665</v>
      </c>
      <c r="K71" s="22">
        <v>49.729146666666665</v>
      </c>
      <c r="L71" s="22">
        <v>49.729146666666665</v>
      </c>
      <c r="M71" s="22">
        <v>49.729146666666665</v>
      </c>
      <c r="N71" s="22">
        <v>49.729146666666665</v>
      </c>
      <c r="O71" s="23">
        <v>48.256362326666661</v>
      </c>
      <c r="P71" s="24">
        <f t="shared" si="34"/>
        <v>696.54243566000014</v>
      </c>
      <c r="Q71" s="109">
        <v>49.729146666666665</v>
      </c>
      <c r="R71" s="22">
        <v>49.729146666666665</v>
      </c>
      <c r="S71" s="22">
        <v>49.729146666666665</v>
      </c>
      <c r="T71" s="22">
        <v>49.729146666666665</v>
      </c>
      <c r="U71" s="22">
        <v>49.729146666666665</v>
      </c>
      <c r="V71" s="22">
        <v>49.729146666666665</v>
      </c>
      <c r="W71" s="23">
        <v>49.729146666666665</v>
      </c>
      <c r="X71" s="23">
        <v>49.729146666666665</v>
      </c>
      <c r="Y71" s="23">
        <f>49.7291466666667+0.1</f>
        <v>49.829146666666702</v>
      </c>
      <c r="Z71" s="24">
        <f t="shared" si="35"/>
        <v>447.66232000000008</v>
      </c>
      <c r="AA71" s="7">
        <v>41609</v>
      </c>
      <c r="AB71" s="267"/>
    </row>
    <row r="72" spans="1:28" ht="13.5" thickBot="1">
      <c r="A72" s="189">
        <v>800051911</v>
      </c>
      <c r="B72" s="3" t="s">
        <v>123</v>
      </c>
      <c r="C72" s="190">
        <f t="shared" si="33"/>
        <v>2903.9823001379655</v>
      </c>
      <c r="D72" s="42">
        <v>70.60754</v>
      </c>
      <c r="E72" s="43">
        <v>157.07485</v>
      </c>
      <c r="F72" s="43">
        <v>22.25224</v>
      </c>
      <c r="G72" s="109">
        <v>82.01585</v>
      </c>
      <c r="H72" s="22">
        <v>86.12665666666669</v>
      </c>
      <c r="I72" s="22">
        <v>62.817442222222233</v>
      </c>
      <c r="J72" s="22">
        <v>76.986649629629639</v>
      </c>
      <c r="K72" s="22">
        <v>75.310249506172852</v>
      </c>
      <c r="L72" s="22">
        <v>71.70478045267491</v>
      </c>
      <c r="M72" s="22">
        <v>74.667226529492453</v>
      </c>
      <c r="N72" s="22">
        <v>73.894085496113405</v>
      </c>
      <c r="O72" s="23">
        <f>764.599950826094+0.4</f>
        <v>764.99995082609394</v>
      </c>
      <c r="P72" s="35">
        <f t="shared" si="34"/>
        <v>1618.4575213290664</v>
      </c>
      <c r="Q72" s="109">
        <v>769.0594476172331</v>
      </c>
      <c r="R72" s="22">
        <v>73.770187979813372</v>
      </c>
      <c r="S72" s="22">
        <v>73.728888807713375</v>
      </c>
      <c r="T72" s="22">
        <v>73.831174801586627</v>
      </c>
      <c r="U72" s="22">
        <v>73.776750529704458</v>
      </c>
      <c r="V72" s="22">
        <v>73.778938046334815</v>
      </c>
      <c r="W72" s="23">
        <v>73.7956211258753</v>
      </c>
      <c r="X72" s="23">
        <v>73.783769900638191</v>
      </c>
      <c r="Y72" s="23">
        <v>0</v>
      </c>
      <c r="Z72" s="33">
        <f t="shared" si="35"/>
        <v>1285.5247788088991</v>
      </c>
      <c r="AA72" s="7">
        <v>41609</v>
      </c>
      <c r="AB72" s="267"/>
    </row>
    <row r="73" spans="1:28" ht="13.5" thickBot="1">
      <c r="A73" s="176" t="s">
        <v>13</v>
      </c>
      <c r="B73" s="191"/>
      <c r="C73" s="192">
        <f t="shared" ref="C73" si="36">P73+Z73</f>
        <v>124735.924901538</v>
      </c>
      <c r="D73" s="209">
        <f t="shared" ref="D73:Z73" si="37">SUM(D66:D72)</f>
        <v>3872.9404</v>
      </c>
      <c r="E73" s="194">
        <f t="shared" si="37"/>
        <v>3296.5522999999998</v>
      </c>
      <c r="F73" s="194">
        <f t="shared" si="37"/>
        <v>4304.16867</v>
      </c>
      <c r="G73" s="194">
        <f t="shared" si="37"/>
        <v>1267.5168131761031</v>
      </c>
      <c r="H73" s="194">
        <f t="shared" si="37"/>
        <v>6077.688580487873</v>
      </c>
      <c r="I73" s="194">
        <f t="shared" si="37"/>
        <v>4294.9674429768484</v>
      </c>
      <c r="J73" s="194">
        <f t="shared" si="37"/>
        <v>3340.5951394406466</v>
      </c>
      <c r="K73" s="194">
        <f t="shared" si="37"/>
        <v>3423.8652322766497</v>
      </c>
      <c r="L73" s="194">
        <f t="shared" si="37"/>
        <v>11418.152311974542</v>
      </c>
      <c r="M73" s="194">
        <f t="shared" si="37"/>
        <v>3070.9946641410793</v>
      </c>
      <c r="N73" s="194">
        <f t="shared" si="37"/>
        <v>5637.722816530757</v>
      </c>
      <c r="O73" s="29">
        <f t="shared" si="37"/>
        <v>17944.801135336162</v>
      </c>
      <c r="P73" s="30">
        <f t="shared" si="37"/>
        <v>67949.965506340654</v>
      </c>
      <c r="Q73" s="195">
        <f t="shared" si="37"/>
        <v>9553.1831805619695</v>
      </c>
      <c r="R73" s="194">
        <f t="shared" si="37"/>
        <v>8037.3515340717395</v>
      </c>
      <c r="S73" s="194">
        <f t="shared" si="37"/>
        <v>8749.6223544623899</v>
      </c>
      <c r="T73" s="194">
        <f t="shared" si="37"/>
        <v>5839.2278494495031</v>
      </c>
      <c r="U73" s="194">
        <f t="shared" si="37"/>
        <v>5867.8614104350809</v>
      </c>
      <c r="V73" s="194">
        <f t="shared" si="37"/>
        <v>4024.9983380737922</v>
      </c>
      <c r="W73" s="29">
        <f t="shared" si="37"/>
        <v>4765.3587150865515</v>
      </c>
      <c r="X73" s="29">
        <f t="shared" si="37"/>
        <v>5375.1129445748447</v>
      </c>
      <c r="Y73" s="29">
        <f t="shared" si="37"/>
        <v>4573.2430684814872</v>
      </c>
      <c r="Z73" s="30">
        <f t="shared" si="37"/>
        <v>56785.959395197351</v>
      </c>
      <c r="AA73" s="196"/>
      <c r="AB73" s="267"/>
    </row>
    <row r="74" spans="1:28">
      <c r="A74" s="197"/>
      <c r="B74" s="4"/>
      <c r="C74" s="31"/>
      <c r="D74" s="31"/>
      <c r="E74" s="31"/>
      <c r="F74" s="31"/>
      <c r="G74" s="54"/>
      <c r="H74" s="54"/>
      <c r="I74" s="54"/>
      <c r="J74" s="54"/>
      <c r="K74" s="54"/>
      <c r="L74" s="54"/>
      <c r="M74" s="54"/>
      <c r="N74" s="54"/>
      <c r="O74" s="198"/>
      <c r="P74" s="44"/>
      <c r="Q74" s="54"/>
      <c r="R74" s="54"/>
      <c r="S74" s="54"/>
      <c r="T74" s="54"/>
      <c r="U74" s="54"/>
      <c r="V74" s="54"/>
      <c r="W74" s="54"/>
      <c r="X74" s="54"/>
      <c r="Y74" s="54"/>
      <c r="Z74" s="31"/>
      <c r="AA74" s="184"/>
      <c r="AB74" s="267"/>
    </row>
    <row r="75" spans="1:28" ht="13.5" thickBot="1">
      <c r="A75" s="51">
        <v>6440</v>
      </c>
      <c r="B75" s="53" t="s">
        <v>6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222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50"/>
      <c r="AB75" s="267"/>
    </row>
    <row r="76" spans="1:28">
      <c r="A76" s="288">
        <v>800148391</v>
      </c>
      <c r="B76" s="5" t="s">
        <v>27</v>
      </c>
      <c r="C76" s="200">
        <f t="shared" ref="C76:C90" si="38">P76+Z76</f>
        <v>-24.30536</v>
      </c>
      <c r="D76" s="17">
        <v>0</v>
      </c>
      <c r="E76" s="18">
        <v>0</v>
      </c>
      <c r="F76" s="19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9">
        <v>-24.30536</v>
      </c>
      <c r="P76" s="20">
        <f t="shared" ref="P76:P90" si="39">O76+N76+M76+L76+K76+J76+I76+H76+G76+F76+E76+D76</f>
        <v>-24.30536</v>
      </c>
      <c r="Q76" s="63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9">
        <v>0</v>
      </c>
      <c r="X76" s="19">
        <v>0</v>
      </c>
      <c r="Y76" s="19">
        <v>0</v>
      </c>
      <c r="Z76" s="20">
        <f t="shared" ref="Z76:Z90" si="40">SUM(Q76:Y76)</f>
        <v>0</v>
      </c>
      <c r="AA76" s="11">
        <v>41032</v>
      </c>
      <c r="AB76" s="267"/>
    </row>
    <row r="77" spans="1:28" ht="25.5">
      <c r="A77" s="9">
        <v>800157254</v>
      </c>
      <c r="B77" s="6" t="s">
        <v>28</v>
      </c>
      <c r="C77" s="207">
        <f t="shared" si="38"/>
        <v>51.00709999999998</v>
      </c>
      <c r="D77" s="21">
        <v>0</v>
      </c>
      <c r="E77" s="22">
        <v>0</v>
      </c>
      <c r="F77" s="23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3">
        <v>51.00709999999998</v>
      </c>
      <c r="P77" s="24">
        <f t="shared" si="39"/>
        <v>51.00709999999998</v>
      </c>
      <c r="Q77" s="109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3">
        <v>0</v>
      </c>
      <c r="X77" s="23">
        <v>0</v>
      </c>
      <c r="Y77" s="23">
        <v>0</v>
      </c>
      <c r="Z77" s="24">
        <f t="shared" si="40"/>
        <v>0</v>
      </c>
      <c r="AA77" s="8">
        <v>41032</v>
      </c>
      <c r="AB77" s="267"/>
    </row>
    <row r="78" spans="1:28">
      <c r="A78" s="9">
        <v>800157256</v>
      </c>
      <c r="B78" s="6" t="s">
        <v>29</v>
      </c>
      <c r="C78" s="207">
        <f t="shared" si="38"/>
        <v>-190.95916000000005</v>
      </c>
      <c r="D78" s="21">
        <v>0</v>
      </c>
      <c r="E78" s="22">
        <v>0</v>
      </c>
      <c r="F78" s="23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3">
        <v>-190.95916000000005</v>
      </c>
      <c r="P78" s="24">
        <f t="shared" si="39"/>
        <v>-190.95916000000005</v>
      </c>
      <c r="Q78" s="109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3">
        <v>0</v>
      </c>
      <c r="X78" s="23">
        <v>0</v>
      </c>
      <c r="Y78" s="23">
        <v>0</v>
      </c>
      <c r="Z78" s="24">
        <f t="shared" si="40"/>
        <v>0</v>
      </c>
      <c r="AA78" s="290">
        <v>41032</v>
      </c>
      <c r="AB78" s="268"/>
    </row>
    <row r="79" spans="1:28">
      <c r="A79" s="201">
        <v>800216839</v>
      </c>
      <c r="B79" s="6" t="s">
        <v>29</v>
      </c>
      <c r="C79" s="207">
        <f t="shared" si="38"/>
        <v>17757.695760000002</v>
      </c>
      <c r="D79" s="21">
        <v>-177.07731000000001</v>
      </c>
      <c r="E79" s="22">
        <v>3665.89525</v>
      </c>
      <c r="F79" s="23">
        <v>482.96796000000001</v>
      </c>
      <c r="G79" s="22">
        <v>3602.3547035000011</v>
      </c>
      <c r="H79" s="22">
        <v>1697.9433616999997</v>
      </c>
      <c r="I79" s="22">
        <v>317.66590615000001</v>
      </c>
      <c r="J79" s="22">
        <v>243.29769999999999</v>
      </c>
      <c r="K79" s="22">
        <v>149.5</v>
      </c>
      <c r="L79" s="22">
        <v>4173.8065942000003</v>
      </c>
      <c r="M79" s="22">
        <v>40</v>
      </c>
      <c r="N79" s="22">
        <v>40</v>
      </c>
      <c r="O79" s="23">
        <v>75.690594449999836</v>
      </c>
      <c r="P79" s="24">
        <f t="shared" si="39"/>
        <v>14312.044760000001</v>
      </c>
      <c r="Q79" s="109">
        <v>650</v>
      </c>
      <c r="R79" s="22">
        <v>650</v>
      </c>
      <c r="S79" s="22">
        <v>650</v>
      </c>
      <c r="T79" s="22">
        <v>650</v>
      </c>
      <c r="U79" s="22">
        <v>490.11</v>
      </c>
      <c r="V79" s="22">
        <v>355.541</v>
      </c>
      <c r="W79" s="23">
        <v>0</v>
      </c>
      <c r="X79" s="23">
        <v>0</v>
      </c>
      <c r="Y79" s="23">
        <v>0</v>
      </c>
      <c r="Z79" s="24">
        <f t="shared" si="40"/>
        <v>3445.6510000000003</v>
      </c>
      <c r="AA79" s="8">
        <v>40940</v>
      </c>
      <c r="AB79" s="268"/>
    </row>
    <row r="80" spans="1:28">
      <c r="A80" s="201">
        <v>800216848</v>
      </c>
      <c r="B80" s="6" t="s">
        <v>27</v>
      </c>
      <c r="C80" s="207">
        <f t="shared" si="38"/>
        <v>2502.8244900000004</v>
      </c>
      <c r="D80" s="21">
        <v>135.09331</v>
      </c>
      <c r="E80" s="22">
        <v>470.91088000000002</v>
      </c>
      <c r="F80" s="23">
        <v>65.278819999999996</v>
      </c>
      <c r="G80" s="22">
        <v>232.513924</v>
      </c>
      <c r="H80" s="22">
        <v>820.52833999999996</v>
      </c>
      <c r="I80" s="22">
        <v>182.00853000000001</v>
      </c>
      <c r="J80" s="22">
        <v>109.9</v>
      </c>
      <c r="K80" s="22">
        <v>103.73715999999999</v>
      </c>
      <c r="L80" s="22">
        <v>86.376999999999995</v>
      </c>
      <c r="M80" s="22">
        <v>68.111000000000004</v>
      </c>
      <c r="N80" s="22">
        <v>61.390999999999998</v>
      </c>
      <c r="O80" s="23">
        <v>166.97452600000003</v>
      </c>
      <c r="P80" s="24">
        <f t="shared" si="39"/>
        <v>2502.8244900000004</v>
      </c>
      <c r="Q80" s="109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3">
        <v>0</v>
      </c>
      <c r="X80" s="23">
        <v>0</v>
      </c>
      <c r="Y80" s="23">
        <v>0</v>
      </c>
      <c r="Z80" s="24">
        <f t="shared" si="40"/>
        <v>0</v>
      </c>
      <c r="AA80" s="8">
        <v>41034</v>
      </c>
      <c r="AB80" s="267"/>
    </row>
    <row r="81" spans="1:28" ht="25.5">
      <c r="A81" s="201">
        <v>800216929</v>
      </c>
      <c r="B81" s="6" t="s">
        <v>30</v>
      </c>
      <c r="C81" s="207">
        <f t="shared" si="38"/>
        <v>24270.646030000004</v>
      </c>
      <c r="D81" s="21">
        <v>785.37418000000002</v>
      </c>
      <c r="E81" s="22">
        <v>2528.18804</v>
      </c>
      <c r="F81" s="23">
        <v>139.36221</v>
      </c>
      <c r="G81" s="22">
        <v>1579.2136500000001</v>
      </c>
      <c r="H81" s="22">
        <v>1451.85</v>
      </c>
      <c r="I81" s="22">
        <v>1351.130539</v>
      </c>
      <c r="J81" s="22">
        <v>1026.1760165000037</v>
      </c>
      <c r="K81" s="22">
        <v>857.92381749999981</v>
      </c>
      <c r="L81" s="22">
        <v>1842.3812599999999</v>
      </c>
      <c r="M81" s="22">
        <v>1736.4186499999998</v>
      </c>
      <c r="N81" s="22">
        <v>1555.3258384999999</v>
      </c>
      <c r="O81" s="23">
        <f>1179.2685085-0.1</f>
        <v>1179.1685085000001</v>
      </c>
      <c r="P81" s="24">
        <f t="shared" si="39"/>
        <v>16032.512710000005</v>
      </c>
      <c r="Q81" s="109">
        <v>1698.8799999999999</v>
      </c>
      <c r="R81" s="22">
        <v>1914.8799999999999</v>
      </c>
      <c r="S81" s="22">
        <v>1806.8799999999999</v>
      </c>
      <c r="T81" s="22">
        <v>1698.8799999999999</v>
      </c>
      <c r="U81" s="22">
        <v>488.05396000000002</v>
      </c>
      <c r="V81" s="22">
        <v>290.95936</v>
      </c>
      <c r="W81" s="23">
        <v>113.2</v>
      </c>
      <c r="X81" s="23">
        <v>113.2</v>
      </c>
      <c r="Y81" s="23">
        <v>113.2</v>
      </c>
      <c r="Z81" s="24">
        <f t="shared" si="40"/>
        <v>8238.133319999999</v>
      </c>
      <c r="AA81" s="8">
        <v>41030</v>
      </c>
      <c r="AB81" s="267"/>
    </row>
    <row r="82" spans="1:28" ht="25.5">
      <c r="A82" s="201">
        <v>800217014</v>
      </c>
      <c r="B82" s="6" t="s">
        <v>28</v>
      </c>
      <c r="C82" s="207">
        <f t="shared" si="38"/>
        <v>834.03688000000011</v>
      </c>
      <c r="D82" s="21">
        <v>63.605359999999997</v>
      </c>
      <c r="E82" s="22">
        <v>585.07981000000007</v>
      </c>
      <c r="F82" s="23">
        <v>-129.42006000000001</v>
      </c>
      <c r="G82" s="22">
        <v>82.422839999999994</v>
      </c>
      <c r="H82" s="22">
        <v>68.151332699999998</v>
      </c>
      <c r="I82" s="22">
        <v>65.8095</v>
      </c>
      <c r="J82" s="22">
        <v>57.910958399999991</v>
      </c>
      <c r="K82" s="22">
        <v>31.98997605000001</v>
      </c>
      <c r="L82" s="22">
        <v>8.4850454999999929</v>
      </c>
      <c r="M82" s="22">
        <v>0</v>
      </c>
      <c r="N82" s="22">
        <v>0</v>
      </c>
      <c r="O82" s="23">
        <v>2.1173500000218151E-3</v>
      </c>
      <c r="P82" s="24">
        <f t="shared" si="39"/>
        <v>834.03688000000011</v>
      </c>
      <c r="Q82" s="109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3">
        <v>0</v>
      </c>
      <c r="X82" s="23">
        <v>0</v>
      </c>
      <c r="Y82" s="23">
        <v>0</v>
      </c>
      <c r="Z82" s="24">
        <f t="shared" si="40"/>
        <v>0</v>
      </c>
      <c r="AA82" s="8">
        <v>41036</v>
      </c>
      <c r="AB82" s="267"/>
    </row>
    <row r="83" spans="1:28">
      <c r="A83" s="9">
        <v>800218099</v>
      </c>
      <c r="B83" s="6" t="s">
        <v>125</v>
      </c>
      <c r="C83" s="207">
        <f t="shared" si="38"/>
        <v>559.19425999999999</v>
      </c>
      <c r="D83" s="21">
        <v>16.004909999999999</v>
      </c>
      <c r="E83" s="22">
        <v>9.2670400000000015</v>
      </c>
      <c r="F83" s="23">
        <v>8.2277399999999989</v>
      </c>
      <c r="G83" s="22">
        <v>63.64</v>
      </c>
      <c r="H83" s="22">
        <v>63.64</v>
      </c>
      <c r="I83" s="22">
        <v>64.518940000000001</v>
      </c>
      <c r="J83" s="22">
        <v>61.36</v>
      </c>
      <c r="K83" s="22">
        <v>55.8</v>
      </c>
      <c r="L83" s="22">
        <v>12.479999999999999</v>
      </c>
      <c r="M83" s="22">
        <v>12.479999999999999</v>
      </c>
      <c r="N83" s="22">
        <v>12.107310000000002</v>
      </c>
      <c r="O83" s="23">
        <v>14.508320000000003</v>
      </c>
      <c r="P83" s="24">
        <f t="shared" si="39"/>
        <v>394.03425999999996</v>
      </c>
      <c r="Q83" s="109">
        <v>18.240000000000002</v>
      </c>
      <c r="R83" s="22">
        <v>18.240000000000002</v>
      </c>
      <c r="S83" s="22">
        <v>18.240000000000002</v>
      </c>
      <c r="T83" s="22">
        <v>18.240000000000002</v>
      </c>
      <c r="U83" s="22">
        <v>18.240000000000002</v>
      </c>
      <c r="V83" s="22">
        <v>18.240000000000002</v>
      </c>
      <c r="W83" s="23">
        <v>18.240000000000002</v>
      </c>
      <c r="X83" s="23">
        <v>18.240000000000002</v>
      </c>
      <c r="Y83" s="23">
        <f>18.24+1</f>
        <v>19.239999999999998</v>
      </c>
      <c r="Z83" s="24">
        <f t="shared" si="40"/>
        <v>165.16000000000005</v>
      </c>
      <c r="AA83" s="8">
        <v>41281</v>
      </c>
      <c r="AB83" s="267"/>
    </row>
    <row r="84" spans="1:28">
      <c r="A84" s="201">
        <v>800218712</v>
      </c>
      <c r="B84" s="6" t="s">
        <v>126</v>
      </c>
      <c r="C84" s="207">
        <f t="shared" si="38"/>
        <v>2449.4904199999992</v>
      </c>
      <c r="D84" s="21">
        <v>222.34089</v>
      </c>
      <c r="E84" s="22">
        <v>382.34838999999999</v>
      </c>
      <c r="F84" s="23">
        <v>207.96542000000002</v>
      </c>
      <c r="G84" s="22">
        <v>308.54327999999998</v>
      </c>
      <c r="H84" s="22">
        <v>256.72799999999995</v>
      </c>
      <c r="I84" s="22">
        <v>260.60343</v>
      </c>
      <c r="J84" s="22">
        <v>132.19051260000001</v>
      </c>
      <c r="K84" s="22">
        <v>122.5044</v>
      </c>
      <c r="L84" s="22">
        <v>115.938</v>
      </c>
      <c r="M84" s="22">
        <v>83.365919999999988</v>
      </c>
      <c r="N84" s="22">
        <v>84.500220000000013</v>
      </c>
      <c r="O84" s="23">
        <v>1.9573999990888072E-3</v>
      </c>
      <c r="P84" s="24">
        <f t="shared" si="39"/>
        <v>2177.0304199999991</v>
      </c>
      <c r="Q84" s="109">
        <v>58.14</v>
      </c>
      <c r="R84" s="22">
        <v>58.14</v>
      </c>
      <c r="S84" s="22">
        <v>58.14</v>
      </c>
      <c r="T84" s="22">
        <v>12.540000000000001</v>
      </c>
      <c r="U84" s="22">
        <v>12.540000000000001</v>
      </c>
      <c r="V84" s="22">
        <v>12.540000000000001</v>
      </c>
      <c r="W84" s="23">
        <v>12.540000000000001</v>
      </c>
      <c r="X84" s="23">
        <v>23.939999999999998</v>
      </c>
      <c r="Y84" s="23">
        <v>23.939999999999998</v>
      </c>
      <c r="Z84" s="24">
        <f t="shared" si="40"/>
        <v>272.45999999999998</v>
      </c>
      <c r="AA84" s="8">
        <v>41395</v>
      </c>
      <c r="AB84" s="267"/>
    </row>
    <row r="85" spans="1:28" ht="38.25">
      <c r="A85" s="201">
        <v>800219576</v>
      </c>
      <c r="B85" s="6" t="s">
        <v>31</v>
      </c>
      <c r="C85" s="207">
        <f t="shared" si="38"/>
        <v>-112.47527000000001</v>
      </c>
      <c r="D85" s="21">
        <v>-3.1009899999999999</v>
      </c>
      <c r="E85" s="22">
        <v>20.32572</v>
      </c>
      <c r="F85" s="23">
        <v>-55.397210000000001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3">
        <v>-74.302790000000016</v>
      </c>
      <c r="P85" s="24">
        <f t="shared" si="39"/>
        <v>-112.47527000000001</v>
      </c>
      <c r="Q85" s="109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3">
        <v>0</v>
      </c>
      <c r="X85" s="23">
        <v>0</v>
      </c>
      <c r="Y85" s="23">
        <v>0</v>
      </c>
      <c r="Z85" s="24">
        <f t="shared" si="40"/>
        <v>0</v>
      </c>
      <c r="AA85" s="8">
        <v>40942</v>
      </c>
      <c r="AB85" s="267"/>
    </row>
    <row r="86" spans="1:28" ht="25.5">
      <c r="A86" s="201">
        <v>800219704</v>
      </c>
      <c r="B86" s="6" t="s">
        <v>32</v>
      </c>
      <c r="C86" s="207">
        <f t="shared" si="38"/>
        <v>1152.6007999999999</v>
      </c>
      <c r="D86" s="21">
        <v>110.24875999999999</v>
      </c>
      <c r="E86" s="22">
        <v>53.235860000000002</v>
      </c>
      <c r="F86" s="23">
        <v>105.60428999999999</v>
      </c>
      <c r="G86" s="22">
        <v>147.87583999999998</v>
      </c>
      <c r="H86" s="22">
        <v>117.6</v>
      </c>
      <c r="I86" s="22">
        <v>112.73696</v>
      </c>
      <c r="J86" s="22">
        <v>183.69792000000001</v>
      </c>
      <c r="K86" s="22">
        <v>100.8</v>
      </c>
      <c r="L86" s="22">
        <v>69.44</v>
      </c>
      <c r="M86" s="22">
        <v>44.8</v>
      </c>
      <c r="N86" s="22">
        <v>10.084479999999999</v>
      </c>
      <c r="O86" s="23">
        <v>-0.10955000000001969</v>
      </c>
      <c r="P86" s="24">
        <f t="shared" si="39"/>
        <v>1056.0145599999998</v>
      </c>
      <c r="Q86" s="109">
        <v>23.2</v>
      </c>
      <c r="R86" s="22">
        <v>23.2</v>
      </c>
      <c r="S86" s="22">
        <v>23.2</v>
      </c>
      <c r="T86" s="22">
        <v>23.2</v>
      </c>
      <c r="U86" s="22">
        <v>3.7862399999999998</v>
      </c>
      <c r="V86" s="22">
        <v>0</v>
      </c>
      <c r="W86" s="23">
        <v>0</v>
      </c>
      <c r="X86" s="23">
        <v>0</v>
      </c>
      <c r="Y86" s="23">
        <v>0</v>
      </c>
      <c r="Z86" s="24">
        <f t="shared" si="40"/>
        <v>96.586240000000004</v>
      </c>
      <c r="AA86" s="8">
        <v>41060</v>
      </c>
      <c r="AB86" s="267"/>
    </row>
    <row r="87" spans="1:28">
      <c r="A87" s="201">
        <v>900280844</v>
      </c>
      <c r="B87" s="6" t="s">
        <v>33</v>
      </c>
      <c r="C87" s="207">
        <f t="shared" si="38"/>
        <v>613.38800000000003</v>
      </c>
      <c r="D87" s="21">
        <v>0.50073000000000001</v>
      </c>
      <c r="E87" s="22">
        <v>0.59492</v>
      </c>
      <c r="F87" s="23">
        <v>1.5727500000000001</v>
      </c>
      <c r="G87" s="22">
        <v>20.34</v>
      </c>
      <c r="H87" s="22">
        <v>93.166240000000002</v>
      </c>
      <c r="I87" s="22">
        <v>213.87170999999998</v>
      </c>
      <c r="J87" s="22">
        <v>141.25</v>
      </c>
      <c r="K87" s="22">
        <v>28.25</v>
      </c>
      <c r="L87" s="22">
        <v>5.65</v>
      </c>
      <c r="M87" s="22">
        <v>5.65</v>
      </c>
      <c r="N87" s="22">
        <v>0</v>
      </c>
      <c r="O87" s="23">
        <v>102.54165</v>
      </c>
      <c r="P87" s="24">
        <f t="shared" si="39"/>
        <v>613.38800000000003</v>
      </c>
      <c r="Q87" s="109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3">
        <v>0</v>
      </c>
      <c r="X87" s="23">
        <v>0</v>
      </c>
      <c r="Y87" s="23">
        <v>0</v>
      </c>
      <c r="Z87" s="24">
        <f t="shared" si="40"/>
        <v>0</v>
      </c>
      <c r="AA87" s="8">
        <v>41255</v>
      </c>
      <c r="AB87" s="267"/>
    </row>
    <row r="88" spans="1:28">
      <c r="A88" s="189">
        <v>900389798</v>
      </c>
      <c r="B88" s="3" t="s">
        <v>34</v>
      </c>
      <c r="C88" s="207">
        <f t="shared" si="38"/>
        <v>95.57056</v>
      </c>
      <c r="D88" s="21">
        <v>14.989799999999999</v>
      </c>
      <c r="E88" s="22">
        <v>21.322869999999998</v>
      </c>
      <c r="F88" s="23">
        <v>10.12017</v>
      </c>
      <c r="G88" s="22">
        <v>14.932130599999995</v>
      </c>
      <c r="H88" s="22">
        <v>9.5541510999999968</v>
      </c>
      <c r="I88" s="22">
        <v>6.95</v>
      </c>
      <c r="J88" s="22">
        <v>6.95</v>
      </c>
      <c r="K88" s="22">
        <v>4.6528165000000037</v>
      </c>
      <c r="L88" s="22">
        <v>0</v>
      </c>
      <c r="M88" s="22">
        <v>0</v>
      </c>
      <c r="N88" s="22">
        <v>0</v>
      </c>
      <c r="O88" s="23">
        <v>6.0986218000000019</v>
      </c>
      <c r="P88" s="24">
        <f t="shared" si="39"/>
        <v>95.57056</v>
      </c>
      <c r="Q88" s="109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3">
        <v>0</v>
      </c>
      <c r="X88" s="23">
        <v>0</v>
      </c>
      <c r="Y88" s="23">
        <v>0</v>
      </c>
      <c r="Z88" s="24">
        <f t="shared" si="40"/>
        <v>0</v>
      </c>
      <c r="AA88" s="8">
        <v>41274</v>
      </c>
      <c r="AB88" s="267"/>
    </row>
    <row r="89" spans="1:28">
      <c r="A89" s="189">
        <v>900390201</v>
      </c>
      <c r="B89" s="3" t="s">
        <v>124</v>
      </c>
      <c r="C89" s="207">
        <f t="shared" si="38"/>
        <v>0.60430000000000006</v>
      </c>
      <c r="D89" s="21">
        <v>0</v>
      </c>
      <c r="E89" s="22">
        <v>0</v>
      </c>
      <c r="F89" s="23">
        <v>0</v>
      </c>
      <c r="G89" s="22">
        <v>0.57199500000000003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3">
        <v>3.2305E-2</v>
      </c>
      <c r="P89" s="24">
        <f t="shared" si="39"/>
        <v>0.60430000000000006</v>
      </c>
      <c r="Q89" s="109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3">
        <v>0</v>
      </c>
      <c r="X89" s="23">
        <v>0</v>
      </c>
      <c r="Y89" s="23">
        <v>0</v>
      </c>
      <c r="Z89" s="24">
        <f t="shared" si="40"/>
        <v>0</v>
      </c>
      <c r="AA89" s="8">
        <v>41274</v>
      </c>
      <c r="AB89" s="267"/>
    </row>
    <row r="90" spans="1:28" ht="25.5">
      <c r="A90" s="189">
        <v>900516432</v>
      </c>
      <c r="B90" s="3" t="s">
        <v>127</v>
      </c>
      <c r="C90" s="207">
        <f t="shared" si="38"/>
        <v>846.16363000000001</v>
      </c>
      <c r="D90" s="25">
        <v>1.5741500000000002</v>
      </c>
      <c r="E90" s="26">
        <v>4.0262500000000001</v>
      </c>
      <c r="F90" s="27">
        <v>4.7432600000000003</v>
      </c>
      <c r="G90" s="22">
        <v>167.80415500000001</v>
      </c>
      <c r="H90" s="22">
        <v>190.45760999999999</v>
      </c>
      <c r="I90" s="22">
        <v>193.257375</v>
      </c>
      <c r="J90" s="22">
        <v>128.58940429999998</v>
      </c>
      <c r="K90" s="22">
        <v>86.082460000000012</v>
      </c>
      <c r="L90" s="22">
        <v>45.948035000000004</v>
      </c>
      <c r="M90" s="22">
        <v>19.806859999999997</v>
      </c>
      <c r="N90" s="22">
        <v>3.5668850000000001</v>
      </c>
      <c r="O90" s="23">
        <v>0.30718570000001366</v>
      </c>
      <c r="P90" s="24">
        <f t="shared" si="39"/>
        <v>846.16363000000001</v>
      </c>
      <c r="Q90" s="109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3">
        <v>0</v>
      </c>
      <c r="X90" s="23">
        <v>0</v>
      </c>
      <c r="Y90" s="23">
        <v>0</v>
      </c>
      <c r="Z90" s="24">
        <f t="shared" si="40"/>
        <v>0</v>
      </c>
      <c r="AA90" s="8">
        <v>41395</v>
      </c>
      <c r="AB90" s="267"/>
    </row>
    <row r="91" spans="1:28" ht="13.5" thickBot="1">
      <c r="A91" s="201">
        <v>800208721</v>
      </c>
      <c r="B91" s="6" t="s">
        <v>86</v>
      </c>
      <c r="C91" s="207">
        <f>P91+Z91</f>
        <v>8.4852299999999996</v>
      </c>
      <c r="D91" s="21">
        <v>2.5909800000000001</v>
      </c>
      <c r="E91" s="22">
        <v>4.3900600000000001</v>
      </c>
      <c r="F91" s="23">
        <v>1.4845999999999999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3">
        <v>1.9589999999999462E-2</v>
      </c>
      <c r="P91" s="32">
        <f>O91+N91+M91+L91+K91+J91+I91+H91+G91+F91+E91+D91</f>
        <v>8.4852299999999996</v>
      </c>
      <c r="Q91" s="109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3">
        <v>0</v>
      </c>
      <c r="X91" s="23">
        <v>0</v>
      </c>
      <c r="Y91" s="23">
        <v>0</v>
      </c>
      <c r="Z91" s="24">
        <f>SUM(Q91:Y91)</f>
        <v>0</v>
      </c>
      <c r="AA91" s="223">
        <v>41061</v>
      </c>
      <c r="AB91" s="267"/>
    </row>
    <row r="92" spans="1:28" ht="13.5" thickBot="1">
      <c r="A92" s="176" t="s">
        <v>14</v>
      </c>
      <c r="B92" s="191"/>
      <c r="C92" s="192">
        <f t="shared" ref="C92" si="41">P92+Z92</f>
        <v>50813.967669999998</v>
      </c>
      <c r="D92" s="193">
        <f t="shared" ref="D92:Z92" si="42">SUM(D76:D91)</f>
        <v>1172.1447699999999</v>
      </c>
      <c r="E92" s="194">
        <f t="shared" si="42"/>
        <v>7745.5850899999987</v>
      </c>
      <c r="F92" s="194">
        <f t="shared" si="42"/>
        <v>842.50995</v>
      </c>
      <c r="G92" s="194">
        <f t="shared" si="42"/>
        <v>6220.2125181000019</v>
      </c>
      <c r="H92" s="194">
        <f t="shared" si="42"/>
        <v>4769.6190354999999</v>
      </c>
      <c r="I92" s="194">
        <f t="shared" si="42"/>
        <v>2768.5528901500002</v>
      </c>
      <c r="J92" s="194">
        <f t="shared" si="42"/>
        <v>2091.3225118000037</v>
      </c>
      <c r="K92" s="194">
        <f t="shared" si="42"/>
        <v>1541.2406300499997</v>
      </c>
      <c r="L92" s="194">
        <f t="shared" si="42"/>
        <v>6360.5059346999997</v>
      </c>
      <c r="M92" s="194">
        <f t="shared" si="42"/>
        <v>2010.6324299999999</v>
      </c>
      <c r="N92" s="29">
        <f t="shared" si="42"/>
        <v>1766.9757335000002</v>
      </c>
      <c r="O92" s="224">
        <f t="shared" si="42"/>
        <v>1306.675616199999</v>
      </c>
      <c r="P92" s="30">
        <f t="shared" si="42"/>
        <v>38595.97711</v>
      </c>
      <c r="Q92" s="195">
        <f t="shared" si="42"/>
        <v>2448.4599999999996</v>
      </c>
      <c r="R92" s="194">
        <f t="shared" si="42"/>
        <v>2664.4599999999996</v>
      </c>
      <c r="S92" s="194">
        <f t="shared" si="42"/>
        <v>2556.4599999999996</v>
      </c>
      <c r="T92" s="194">
        <f t="shared" si="42"/>
        <v>2402.8599999999997</v>
      </c>
      <c r="U92" s="194">
        <f t="shared" si="42"/>
        <v>1012.7302000000001</v>
      </c>
      <c r="V92" s="194">
        <f t="shared" si="42"/>
        <v>677.28035999999997</v>
      </c>
      <c r="W92" s="29">
        <f t="shared" si="42"/>
        <v>143.97999999999999</v>
      </c>
      <c r="X92" s="29">
        <f t="shared" si="42"/>
        <v>155.38</v>
      </c>
      <c r="Y92" s="29">
        <f t="shared" si="42"/>
        <v>156.38</v>
      </c>
      <c r="Z92" s="30">
        <f t="shared" si="42"/>
        <v>12217.990559999998</v>
      </c>
      <c r="AA92" s="225"/>
      <c r="AB92" s="267"/>
    </row>
    <row r="93" spans="1:28">
      <c r="A93" s="211"/>
      <c r="B93" s="21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182"/>
      <c r="AB93" s="267"/>
    </row>
    <row r="94" spans="1:28" ht="13.5" thickBot="1">
      <c r="A94" s="51">
        <v>6441</v>
      </c>
      <c r="B94" s="2" t="s">
        <v>7</v>
      </c>
      <c r="C94" s="31"/>
      <c r="D94" s="31"/>
      <c r="E94" s="31"/>
      <c r="F94" s="31"/>
      <c r="G94" s="54"/>
      <c r="H94" s="54"/>
      <c r="I94" s="54"/>
      <c r="J94" s="54"/>
      <c r="K94" s="54"/>
      <c r="L94" s="54"/>
      <c r="M94" s="54"/>
      <c r="N94" s="54"/>
      <c r="O94" s="199"/>
      <c r="P94" s="57"/>
      <c r="Q94" s="54"/>
      <c r="R94" s="54"/>
      <c r="S94" s="54"/>
      <c r="T94" s="54"/>
      <c r="U94" s="54"/>
      <c r="V94" s="54"/>
      <c r="W94" s="54"/>
      <c r="X94" s="54"/>
      <c r="Y94" s="54"/>
      <c r="Z94" s="31"/>
      <c r="AA94" s="50"/>
      <c r="AB94" s="267"/>
    </row>
    <row r="95" spans="1:28" ht="25.5">
      <c r="A95" s="66">
        <v>800217239</v>
      </c>
      <c r="B95" s="261" t="s">
        <v>89</v>
      </c>
      <c r="C95" s="20">
        <f>P95+Z95</f>
        <v>16443.641</v>
      </c>
      <c r="D95" s="17">
        <v>3158.27531</v>
      </c>
      <c r="E95" s="18">
        <v>945.66637000000003</v>
      </c>
      <c r="F95" s="45">
        <v>855.58447999999999</v>
      </c>
      <c r="G95" s="63">
        <v>189.24693000000025</v>
      </c>
      <c r="H95" s="18">
        <v>2319.4530549999999</v>
      </c>
      <c r="I95" s="18">
        <v>2144.3515939999997</v>
      </c>
      <c r="J95" s="18">
        <v>697.245</v>
      </c>
      <c r="K95" s="18">
        <v>697.245</v>
      </c>
      <c r="L95" s="18">
        <v>697.245</v>
      </c>
      <c r="M95" s="18">
        <v>697.245</v>
      </c>
      <c r="N95" s="18">
        <v>697.245</v>
      </c>
      <c r="O95" s="19">
        <v>577.8382610000001</v>
      </c>
      <c r="P95" s="20">
        <f>O95+N95+M95+L95+K95+J95+I95+H95+G95+F95+E95+D95</f>
        <v>13676.641</v>
      </c>
      <c r="Q95" s="63">
        <v>520.6</v>
      </c>
      <c r="R95" s="18">
        <v>520.6</v>
      </c>
      <c r="S95" s="18">
        <v>246.6</v>
      </c>
      <c r="T95" s="18">
        <v>246.6</v>
      </c>
      <c r="U95" s="18">
        <v>246.6</v>
      </c>
      <c r="V95" s="18">
        <v>246.6</v>
      </c>
      <c r="W95" s="18">
        <v>246.6</v>
      </c>
      <c r="X95" s="18">
        <v>246.6</v>
      </c>
      <c r="Y95" s="19">
        <v>246.2</v>
      </c>
      <c r="Z95" s="20">
        <f>SUM(Q95:Y95)</f>
        <v>2766.9999999999995</v>
      </c>
      <c r="AA95" s="11">
        <v>41011</v>
      </c>
      <c r="AB95" s="267"/>
    </row>
    <row r="96" spans="1:28" ht="13.5" thickBot="1">
      <c r="A96" s="67">
        <v>800208725</v>
      </c>
      <c r="B96" s="262" t="s">
        <v>26</v>
      </c>
      <c r="C96" s="24">
        <f>P96+Z96</f>
        <v>58.363940000000007</v>
      </c>
      <c r="D96" s="25">
        <v>1.6362699999999999</v>
      </c>
      <c r="E96" s="26">
        <v>8.7291299999999996</v>
      </c>
      <c r="F96" s="226">
        <v>2.7665799999999998</v>
      </c>
      <c r="G96" s="227">
        <v>5.1000000000000005</v>
      </c>
      <c r="H96" s="26">
        <v>5.1000000000000005</v>
      </c>
      <c r="I96" s="26">
        <v>5.1000000000000005</v>
      </c>
      <c r="J96" s="26">
        <v>5.1000000000000005</v>
      </c>
      <c r="K96" s="26">
        <v>5.1000000000000005</v>
      </c>
      <c r="L96" s="26">
        <v>5.1000000000000005</v>
      </c>
      <c r="M96" s="26">
        <v>5.1000000000000005</v>
      </c>
      <c r="N96" s="26">
        <v>5.1000000000000005</v>
      </c>
      <c r="O96" s="27">
        <f>4.83196-0.4</f>
        <v>4.4319599999999992</v>
      </c>
      <c r="P96" s="35">
        <f>O96+N96+M96+L96+K96+J96+I96+H96+G96+F96+E96+D96</f>
        <v>58.363940000000007</v>
      </c>
      <c r="Q96" s="227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7">
        <v>0</v>
      </c>
      <c r="Z96" s="28">
        <f>SUM(Q96:Y96)</f>
        <v>0</v>
      </c>
      <c r="AA96" s="228">
        <v>41365</v>
      </c>
      <c r="AB96" s="267"/>
    </row>
    <row r="97" spans="1:28" ht="13.5" thickBot="1">
      <c r="A97" s="176" t="s">
        <v>15</v>
      </c>
      <c r="B97" s="191"/>
      <c r="C97" s="192">
        <f>P97+Z97</f>
        <v>16502.004939999999</v>
      </c>
      <c r="D97" s="193">
        <f>SUM(D95:D96)</f>
        <v>3159.91158</v>
      </c>
      <c r="E97" s="194">
        <f>SUM(E95:E96)</f>
        <v>954.39550000000008</v>
      </c>
      <c r="F97" s="194">
        <f>SUM(F95:F96)</f>
        <v>858.35105999999996</v>
      </c>
      <c r="G97" s="195">
        <f t="shared" ref="G97:Y97" si="43">SUM(G95:G96)</f>
        <v>194.34693000000024</v>
      </c>
      <c r="H97" s="194">
        <f t="shared" si="43"/>
        <v>2324.5530549999999</v>
      </c>
      <c r="I97" s="194">
        <f t="shared" si="43"/>
        <v>2149.4515939999997</v>
      </c>
      <c r="J97" s="194">
        <f t="shared" si="43"/>
        <v>702.34500000000003</v>
      </c>
      <c r="K97" s="194">
        <f t="shared" si="43"/>
        <v>702.34500000000003</v>
      </c>
      <c r="L97" s="194">
        <f t="shared" si="43"/>
        <v>702.34500000000003</v>
      </c>
      <c r="M97" s="194">
        <f t="shared" si="43"/>
        <v>702.34500000000003</v>
      </c>
      <c r="N97" s="194">
        <f t="shared" si="43"/>
        <v>702.34500000000003</v>
      </c>
      <c r="O97" s="194">
        <f t="shared" si="43"/>
        <v>582.27022100000011</v>
      </c>
      <c r="P97" s="30">
        <f>SUM(P95:P96)</f>
        <v>13735.004939999999</v>
      </c>
      <c r="Q97" s="195">
        <f t="shared" si="43"/>
        <v>520.6</v>
      </c>
      <c r="R97" s="194">
        <f t="shared" si="43"/>
        <v>520.6</v>
      </c>
      <c r="S97" s="194">
        <f t="shared" si="43"/>
        <v>246.6</v>
      </c>
      <c r="T97" s="194">
        <f t="shared" si="43"/>
        <v>246.6</v>
      </c>
      <c r="U97" s="194">
        <f t="shared" si="43"/>
        <v>246.6</v>
      </c>
      <c r="V97" s="194">
        <f t="shared" si="43"/>
        <v>246.6</v>
      </c>
      <c r="W97" s="29">
        <f t="shared" si="43"/>
        <v>246.6</v>
      </c>
      <c r="X97" s="29">
        <f t="shared" si="43"/>
        <v>246.6</v>
      </c>
      <c r="Y97" s="29">
        <f t="shared" si="43"/>
        <v>246.2</v>
      </c>
      <c r="Z97" s="30">
        <f>SUM(Q97:Y97)</f>
        <v>2766.9999999999995</v>
      </c>
      <c r="AA97" s="196"/>
      <c r="AB97" s="267"/>
    </row>
    <row r="98" spans="1:28">
      <c r="A98" s="197"/>
      <c r="B98" s="4"/>
      <c r="C98" s="31"/>
      <c r="D98" s="31"/>
      <c r="E98" s="31"/>
      <c r="F98" s="31"/>
      <c r="G98" s="54"/>
      <c r="H98" s="54"/>
      <c r="I98" s="54"/>
      <c r="J98" s="54"/>
      <c r="K98" s="54"/>
      <c r="L98" s="54"/>
      <c r="M98" s="54"/>
      <c r="N98" s="54"/>
      <c r="O98" s="54"/>
      <c r="P98" s="31"/>
      <c r="Q98" s="54"/>
      <c r="R98" s="54"/>
      <c r="S98" s="54"/>
      <c r="T98" s="54"/>
      <c r="U98" s="54"/>
      <c r="V98" s="54"/>
      <c r="W98" s="54"/>
      <c r="X98" s="54"/>
      <c r="Y98" s="54"/>
      <c r="Z98" s="31"/>
      <c r="AA98" s="184"/>
      <c r="AB98" s="267"/>
    </row>
    <row r="99" spans="1:28" ht="13.5" thickBot="1">
      <c r="A99" s="51">
        <v>6442</v>
      </c>
      <c r="B99" s="2" t="s">
        <v>8</v>
      </c>
      <c r="C99" s="31"/>
      <c r="D99" s="31"/>
      <c r="E99" s="31"/>
      <c r="F99" s="31"/>
      <c r="G99" s="54"/>
      <c r="H99" s="54"/>
      <c r="I99" s="54"/>
      <c r="J99" s="54"/>
      <c r="K99" s="54"/>
      <c r="L99" s="54"/>
      <c r="M99" s="54"/>
      <c r="N99" s="54"/>
      <c r="O99" s="54"/>
      <c r="P99" s="31"/>
      <c r="Q99" s="54"/>
      <c r="R99" s="54"/>
      <c r="S99" s="54"/>
      <c r="T99" s="54"/>
      <c r="U99" s="54"/>
      <c r="V99" s="54"/>
      <c r="W99" s="54"/>
      <c r="X99" s="54"/>
      <c r="Y99" s="54"/>
      <c r="Z99" s="31"/>
      <c r="AA99" s="50"/>
      <c r="AB99" s="267"/>
    </row>
    <row r="100" spans="1:28" ht="38.25">
      <c r="A100" s="187">
        <v>800217339</v>
      </c>
      <c r="B100" s="5" t="s">
        <v>53</v>
      </c>
      <c r="C100" s="200">
        <f>P100+Z100</f>
        <v>16778</v>
      </c>
      <c r="D100" s="17">
        <v>463.53203999999999</v>
      </c>
      <c r="E100" s="18">
        <v>331.05221999999998</v>
      </c>
      <c r="F100" s="19">
        <v>389.50358</v>
      </c>
      <c r="G100" s="18">
        <v>639</v>
      </c>
      <c r="H100" s="18">
        <v>389</v>
      </c>
      <c r="I100" s="18">
        <v>119</v>
      </c>
      <c r="J100" s="18">
        <v>119</v>
      </c>
      <c r="K100" s="18">
        <v>119</v>
      </c>
      <c r="L100" s="18">
        <v>119</v>
      </c>
      <c r="M100" s="18">
        <v>226</v>
      </c>
      <c r="N100" s="18">
        <v>8476</v>
      </c>
      <c r="O100" s="19">
        <v>39.912160000000085</v>
      </c>
      <c r="P100" s="34">
        <f>O100+N100+M100+L100+K100+J100+I100+H100+G100+F100+E100+D100</f>
        <v>11430</v>
      </c>
      <c r="Q100" s="63">
        <v>542</v>
      </c>
      <c r="R100" s="18">
        <v>542</v>
      </c>
      <c r="S100" s="18">
        <v>542</v>
      </c>
      <c r="T100" s="18">
        <v>542</v>
      </c>
      <c r="U100" s="18">
        <v>542</v>
      </c>
      <c r="V100" s="18">
        <v>542</v>
      </c>
      <c r="W100" s="19">
        <v>542</v>
      </c>
      <c r="X100" s="19">
        <v>1012</v>
      </c>
      <c r="Y100" s="19">
        <v>542</v>
      </c>
      <c r="Z100" s="20">
        <f>SUM(Q100:Y100)</f>
        <v>5348</v>
      </c>
      <c r="AA100" s="11">
        <v>42125</v>
      </c>
      <c r="AB100" s="267"/>
    </row>
    <row r="101" spans="1:28" ht="25.5">
      <c r="A101" s="189">
        <v>800217366</v>
      </c>
      <c r="B101" s="3" t="s">
        <v>88</v>
      </c>
      <c r="C101" s="207">
        <f>P101+Z101</f>
        <v>2270</v>
      </c>
      <c r="D101" s="21">
        <v>312.51146999999997</v>
      </c>
      <c r="E101" s="22">
        <v>260.70253000000002</v>
      </c>
      <c r="F101" s="23">
        <v>384.6318</v>
      </c>
      <c r="G101" s="22">
        <v>48</v>
      </c>
      <c r="H101" s="22">
        <v>48</v>
      </c>
      <c r="I101" s="22">
        <v>16</v>
      </c>
      <c r="J101" s="22">
        <v>16</v>
      </c>
      <c r="K101" s="22">
        <v>16</v>
      </c>
      <c r="L101" s="22">
        <v>16</v>
      </c>
      <c r="M101" s="22">
        <v>48</v>
      </c>
      <c r="N101" s="22">
        <v>592</v>
      </c>
      <c r="O101" s="23">
        <v>80.154199999999946</v>
      </c>
      <c r="P101" s="24">
        <f>O101+N101+M101+L101+K101+J101+I101+H101+G101+F101+E101+D101</f>
        <v>1838</v>
      </c>
      <c r="Q101" s="109">
        <v>48</v>
      </c>
      <c r="R101" s="22">
        <v>48</v>
      </c>
      <c r="S101" s="22">
        <v>48</v>
      </c>
      <c r="T101" s="22">
        <v>48</v>
      </c>
      <c r="U101" s="22">
        <v>48</v>
      </c>
      <c r="V101" s="22">
        <v>48</v>
      </c>
      <c r="W101" s="23">
        <v>48</v>
      </c>
      <c r="X101" s="23">
        <v>48</v>
      </c>
      <c r="Y101" s="23">
        <v>48</v>
      </c>
      <c r="Z101" s="24">
        <f>SUM(Q101:Y101)</f>
        <v>432</v>
      </c>
      <c r="AA101" s="7">
        <v>42125</v>
      </c>
      <c r="AB101" s="267"/>
    </row>
    <row r="102" spans="1:28" ht="38.25">
      <c r="A102" s="189">
        <v>800217381</v>
      </c>
      <c r="B102" s="3" t="s">
        <v>128</v>
      </c>
      <c r="C102" s="207">
        <f>P102+Z102</f>
        <v>427</v>
      </c>
      <c r="D102" s="21">
        <v>210.16668999999999</v>
      </c>
      <c r="E102" s="22">
        <v>22.196439999999999</v>
      </c>
      <c r="F102" s="23">
        <v>38.240569999999998</v>
      </c>
      <c r="G102" s="22">
        <v>21</v>
      </c>
      <c r="H102" s="22">
        <v>21</v>
      </c>
      <c r="I102" s="22">
        <v>5</v>
      </c>
      <c r="J102" s="22">
        <v>5</v>
      </c>
      <c r="K102" s="22">
        <v>5</v>
      </c>
      <c r="L102" s="22">
        <v>5</v>
      </c>
      <c r="M102" s="22">
        <v>21</v>
      </c>
      <c r="N102" s="22">
        <v>21</v>
      </c>
      <c r="O102" s="23">
        <v>-136.6037</v>
      </c>
      <c r="P102" s="24">
        <f>O102+N102+M102+L102+K102+J102+I102+H102+G102+F102+E102+D102</f>
        <v>237.99999999999997</v>
      </c>
      <c r="Q102" s="109">
        <v>21</v>
      </c>
      <c r="R102" s="22">
        <v>21</v>
      </c>
      <c r="S102" s="22">
        <v>21</v>
      </c>
      <c r="T102" s="22">
        <v>21</v>
      </c>
      <c r="U102" s="22">
        <v>21</v>
      </c>
      <c r="V102" s="22">
        <v>21</v>
      </c>
      <c r="W102" s="23">
        <v>21</v>
      </c>
      <c r="X102" s="23">
        <v>21</v>
      </c>
      <c r="Y102" s="23">
        <v>21</v>
      </c>
      <c r="Z102" s="24">
        <f>SUM(Q102:Y102)</f>
        <v>189</v>
      </c>
      <c r="AA102" s="7">
        <v>42125</v>
      </c>
      <c r="AB102" s="267"/>
    </row>
    <row r="103" spans="1:28" ht="13.5" thickBot="1">
      <c r="A103" s="189">
        <v>800208616</v>
      </c>
      <c r="B103" s="3" t="s">
        <v>129</v>
      </c>
      <c r="C103" s="207">
        <f>P103+Z103</f>
        <v>3157</v>
      </c>
      <c r="D103" s="25">
        <v>59.426169999999999</v>
      </c>
      <c r="E103" s="26">
        <v>2963.16885</v>
      </c>
      <c r="F103" s="27">
        <v>3.39331</v>
      </c>
      <c r="G103" s="22">
        <v>15</v>
      </c>
      <c r="H103" s="22">
        <v>15</v>
      </c>
      <c r="I103" s="22">
        <v>15</v>
      </c>
      <c r="J103" s="22">
        <v>15</v>
      </c>
      <c r="K103" s="22">
        <v>15</v>
      </c>
      <c r="L103" s="22">
        <v>15</v>
      </c>
      <c r="M103" s="22">
        <v>15</v>
      </c>
      <c r="N103" s="22">
        <v>15</v>
      </c>
      <c r="O103" s="23">
        <v>11.011669999999867</v>
      </c>
      <c r="P103" s="35">
        <f>O103+N103+M103+L103+K103+J103+I103+H103+G103+F103+E103+D103</f>
        <v>3157</v>
      </c>
      <c r="Q103" s="109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3">
        <v>0</v>
      </c>
      <c r="X103" s="23">
        <v>0</v>
      </c>
      <c r="Y103" s="23">
        <v>0</v>
      </c>
      <c r="Z103" s="24">
        <f>SUM(Q103:Y103)</f>
        <v>0</v>
      </c>
      <c r="AA103" s="7">
        <v>41061</v>
      </c>
      <c r="AB103" s="267"/>
    </row>
    <row r="104" spans="1:28" ht="13.5" thickBot="1">
      <c r="A104" s="176" t="s">
        <v>16</v>
      </c>
      <c r="B104" s="191"/>
      <c r="C104" s="192">
        <f>P104+Z104</f>
        <v>22632</v>
      </c>
      <c r="D104" s="193">
        <f t="shared" ref="D104:Y104" si="44">SUM(D100:D103)</f>
        <v>1045.6363699999999</v>
      </c>
      <c r="E104" s="194">
        <f t="shared" si="44"/>
        <v>3577.1200400000002</v>
      </c>
      <c r="F104" s="194">
        <f t="shared" si="44"/>
        <v>815.76926000000003</v>
      </c>
      <c r="G104" s="194">
        <f t="shared" si="44"/>
        <v>723</v>
      </c>
      <c r="H104" s="194">
        <f t="shared" si="44"/>
        <v>473</v>
      </c>
      <c r="I104" s="194">
        <f t="shared" si="44"/>
        <v>155</v>
      </c>
      <c r="J104" s="194">
        <f t="shared" si="44"/>
        <v>155</v>
      </c>
      <c r="K104" s="194">
        <f t="shared" si="44"/>
        <v>155</v>
      </c>
      <c r="L104" s="194">
        <f t="shared" si="44"/>
        <v>155</v>
      </c>
      <c r="M104" s="194">
        <f t="shared" si="44"/>
        <v>310</v>
      </c>
      <c r="N104" s="194">
        <f t="shared" si="44"/>
        <v>9104</v>
      </c>
      <c r="O104" s="194">
        <f t="shared" si="44"/>
        <v>-5.5256700000001047</v>
      </c>
      <c r="P104" s="30">
        <f t="shared" si="44"/>
        <v>16663</v>
      </c>
      <c r="Q104" s="195">
        <f t="shared" si="44"/>
        <v>611</v>
      </c>
      <c r="R104" s="194">
        <f t="shared" si="44"/>
        <v>611</v>
      </c>
      <c r="S104" s="194">
        <f t="shared" si="44"/>
        <v>611</v>
      </c>
      <c r="T104" s="194">
        <f t="shared" si="44"/>
        <v>611</v>
      </c>
      <c r="U104" s="194">
        <f t="shared" si="44"/>
        <v>611</v>
      </c>
      <c r="V104" s="194">
        <f t="shared" si="44"/>
        <v>611</v>
      </c>
      <c r="W104" s="29">
        <f t="shared" si="44"/>
        <v>611</v>
      </c>
      <c r="X104" s="29">
        <f t="shared" si="44"/>
        <v>1081</v>
      </c>
      <c r="Y104" s="29">
        <f t="shared" si="44"/>
        <v>611</v>
      </c>
      <c r="Z104" s="30">
        <f>SUM(Q104:Y104)</f>
        <v>5969</v>
      </c>
      <c r="AA104" s="196"/>
      <c r="AB104" s="267"/>
    </row>
    <row r="105" spans="1:28" ht="13.5" thickBot="1">
      <c r="A105" s="197"/>
      <c r="B105" s="4"/>
      <c r="C105" s="31"/>
      <c r="D105" s="31"/>
      <c r="E105" s="31"/>
      <c r="F105" s="31"/>
      <c r="G105" s="54"/>
      <c r="H105" s="54"/>
      <c r="I105" s="54"/>
      <c r="J105" s="54"/>
      <c r="K105" s="54"/>
      <c r="L105" s="54"/>
      <c r="M105" s="54"/>
      <c r="N105" s="54"/>
      <c r="O105" s="54"/>
      <c r="P105" s="31"/>
      <c r="Q105" s="54"/>
      <c r="R105" s="54"/>
      <c r="S105" s="54"/>
      <c r="T105" s="54"/>
      <c r="U105" s="54"/>
      <c r="V105" s="54"/>
      <c r="W105" s="54"/>
      <c r="X105" s="54"/>
      <c r="Y105" s="54"/>
      <c r="Z105" s="31"/>
      <c r="AA105" s="184"/>
      <c r="AB105" s="267"/>
    </row>
    <row r="106" spans="1:28">
      <c r="A106" s="177" t="s">
        <v>85</v>
      </c>
      <c r="B106" s="93"/>
      <c r="C106" s="20">
        <f t="shared" ref="C106:Z106" si="45">+C27+C35</f>
        <v>67329.977000000014</v>
      </c>
      <c r="D106" s="64">
        <f t="shared" si="45"/>
        <v>800.34885999999995</v>
      </c>
      <c r="E106" s="45">
        <f t="shared" si="45"/>
        <v>3415.6393499999995</v>
      </c>
      <c r="F106" s="45">
        <f t="shared" si="45"/>
        <v>3901.1283299999996</v>
      </c>
      <c r="G106" s="45">
        <f t="shared" si="45"/>
        <v>6301.8559999999998</v>
      </c>
      <c r="H106" s="45">
        <f t="shared" si="45"/>
        <v>11355.665059999999</v>
      </c>
      <c r="I106" s="45">
        <f t="shared" si="45"/>
        <v>11871.403999999999</v>
      </c>
      <c r="J106" s="45">
        <f t="shared" si="45"/>
        <v>7524.8729999999996</v>
      </c>
      <c r="K106" s="45">
        <f t="shared" si="45"/>
        <v>7990.6949999999997</v>
      </c>
      <c r="L106" s="45">
        <f t="shared" si="45"/>
        <v>5395.3530000000001</v>
      </c>
      <c r="M106" s="45">
        <f t="shared" si="45"/>
        <v>4471.9629999999997</v>
      </c>
      <c r="N106" s="45">
        <f t="shared" si="45"/>
        <v>2192.2809999999999</v>
      </c>
      <c r="O106" s="65">
        <f t="shared" si="45"/>
        <v>1708.7704000000001</v>
      </c>
      <c r="P106" s="20">
        <f t="shared" si="45"/>
        <v>66929.977000000014</v>
      </c>
      <c r="Q106" s="64">
        <f t="shared" si="45"/>
        <v>185</v>
      </c>
      <c r="R106" s="45">
        <f t="shared" si="45"/>
        <v>185</v>
      </c>
      <c r="S106" s="45">
        <f t="shared" si="45"/>
        <v>30</v>
      </c>
      <c r="T106" s="45">
        <f t="shared" si="45"/>
        <v>0</v>
      </c>
      <c r="U106" s="45">
        <f t="shared" si="45"/>
        <v>0</v>
      </c>
      <c r="V106" s="45">
        <f t="shared" si="45"/>
        <v>0</v>
      </c>
      <c r="W106" s="45">
        <f t="shared" si="45"/>
        <v>0</v>
      </c>
      <c r="X106" s="45">
        <f t="shared" si="45"/>
        <v>0</v>
      </c>
      <c r="Y106" s="65">
        <f t="shared" si="45"/>
        <v>0</v>
      </c>
      <c r="Z106" s="20">
        <f t="shared" si="45"/>
        <v>400</v>
      </c>
      <c r="AA106" s="229"/>
      <c r="AB106" s="267"/>
    </row>
    <row r="107" spans="1:28">
      <c r="A107" s="178" t="s">
        <v>43</v>
      </c>
      <c r="B107" s="230"/>
      <c r="C107" s="32">
        <f>P107+Z107</f>
        <v>458681.01186118519</v>
      </c>
      <c r="D107" s="231">
        <f t="shared" ref="D107:Z107" si="46">D43+D51+D57+D63+D73+D92+D97+D104</f>
        <v>16493.210329999998</v>
      </c>
      <c r="E107" s="231">
        <f t="shared" si="46"/>
        <v>34639.647149999997</v>
      </c>
      <c r="F107" s="231">
        <f t="shared" si="46"/>
        <v>22879.93318</v>
      </c>
      <c r="G107" s="231">
        <f t="shared" si="46"/>
        <v>15431.71793960944</v>
      </c>
      <c r="H107" s="232">
        <f t="shared" si="46"/>
        <v>25169.716745765651</v>
      </c>
      <c r="I107" s="232">
        <f t="shared" si="46"/>
        <v>27640.079347830553</v>
      </c>
      <c r="J107" s="232">
        <f t="shared" si="46"/>
        <v>15290.795552845591</v>
      </c>
      <c r="K107" s="232">
        <f t="shared" si="46"/>
        <v>10161.168329355454</v>
      </c>
      <c r="L107" s="232">
        <f t="shared" si="46"/>
        <v>31088.531262120356</v>
      </c>
      <c r="M107" s="232">
        <f t="shared" si="46"/>
        <v>23010.098744167601</v>
      </c>
      <c r="N107" s="232">
        <f t="shared" si="46"/>
        <v>31979.218724197806</v>
      </c>
      <c r="O107" s="233">
        <f t="shared" si="46"/>
        <v>34225.864056805949</v>
      </c>
      <c r="P107" s="32">
        <f t="shared" si="46"/>
        <v>288009.98136269837</v>
      </c>
      <c r="Q107" s="231">
        <f t="shared" si="46"/>
        <v>30207.472897919753</v>
      </c>
      <c r="R107" s="232">
        <f t="shared" si="46"/>
        <v>26795.741268691923</v>
      </c>
      <c r="S107" s="232">
        <f t="shared" si="46"/>
        <v>23858.005912266399</v>
      </c>
      <c r="T107" s="232">
        <f t="shared" si="46"/>
        <v>21285.410998593565</v>
      </c>
      <c r="U107" s="232">
        <f t="shared" si="46"/>
        <v>19752.396069030601</v>
      </c>
      <c r="V107" s="232">
        <f t="shared" si="46"/>
        <v>13483.213453130085</v>
      </c>
      <c r="W107" s="233">
        <f t="shared" si="46"/>
        <v>11469.374429515849</v>
      </c>
      <c r="X107" s="233">
        <f t="shared" si="46"/>
        <v>14331.528800816199</v>
      </c>
      <c r="Y107" s="233">
        <f t="shared" si="46"/>
        <v>9487.8866685224621</v>
      </c>
      <c r="Z107" s="32">
        <f t="shared" si="46"/>
        <v>170671.03049848683</v>
      </c>
      <c r="AA107" s="234" t="e">
        <f>SUM(#REF!,AA51,AA57,AA63,AA73,AA92,#REF!,#REF!)</f>
        <v>#REF!</v>
      </c>
      <c r="AB107" s="267"/>
    </row>
    <row r="108" spans="1:28" ht="13.5" thickBot="1">
      <c r="A108" s="179" t="s">
        <v>44</v>
      </c>
      <c r="B108" s="235"/>
      <c r="C108" s="33">
        <f>P108+Z108</f>
        <v>526010.98886118527</v>
      </c>
      <c r="D108" s="215">
        <f t="shared" ref="D108:Z108" si="47">D107+D27+D35</f>
        <v>17293.559189999996</v>
      </c>
      <c r="E108" s="215">
        <f t="shared" si="47"/>
        <v>38055.286499999995</v>
      </c>
      <c r="F108" s="215">
        <f t="shared" si="47"/>
        <v>26781.06151</v>
      </c>
      <c r="G108" s="215">
        <f t="shared" si="47"/>
        <v>21733.57393960944</v>
      </c>
      <c r="H108" s="216">
        <f t="shared" si="47"/>
        <v>36525.381805765654</v>
      </c>
      <c r="I108" s="216">
        <f t="shared" si="47"/>
        <v>39511.483347830552</v>
      </c>
      <c r="J108" s="216">
        <f t="shared" si="47"/>
        <v>22815.668552845589</v>
      </c>
      <c r="K108" s="216">
        <f t="shared" si="47"/>
        <v>18151.863329355456</v>
      </c>
      <c r="L108" s="216">
        <f t="shared" si="47"/>
        <v>36483.884262120358</v>
      </c>
      <c r="M108" s="216">
        <f t="shared" si="47"/>
        <v>27482.0617441676</v>
      </c>
      <c r="N108" s="216">
        <f t="shared" si="47"/>
        <v>34171.499724197813</v>
      </c>
      <c r="O108" s="217">
        <f t="shared" si="47"/>
        <v>35934.63445680595</v>
      </c>
      <c r="P108" s="33">
        <f t="shared" si="47"/>
        <v>354939.95836269838</v>
      </c>
      <c r="Q108" s="215">
        <f t="shared" si="47"/>
        <v>30392.472897919753</v>
      </c>
      <c r="R108" s="216">
        <f t="shared" si="47"/>
        <v>26980.741268691923</v>
      </c>
      <c r="S108" s="216">
        <f t="shared" si="47"/>
        <v>23888.005912266399</v>
      </c>
      <c r="T108" s="216">
        <f t="shared" si="47"/>
        <v>21285.410998593565</v>
      </c>
      <c r="U108" s="216">
        <f t="shared" si="47"/>
        <v>19752.396069030601</v>
      </c>
      <c r="V108" s="216">
        <f t="shared" si="47"/>
        <v>13483.213453130085</v>
      </c>
      <c r="W108" s="217">
        <f t="shared" si="47"/>
        <v>11469.374429515849</v>
      </c>
      <c r="X108" s="217">
        <f t="shared" si="47"/>
        <v>14331.528800816199</v>
      </c>
      <c r="Y108" s="217">
        <f t="shared" si="47"/>
        <v>9487.8866685224621</v>
      </c>
      <c r="Z108" s="33">
        <f t="shared" si="47"/>
        <v>171071.03049848683</v>
      </c>
      <c r="AA108" s="236" t="e">
        <f>SUM(#REF!,#REF!,#REF!,#REF!,AA51,AA57,AA63,AA73,AA92,#REF!,#REF!)</f>
        <v>#REF!</v>
      </c>
      <c r="AB108" s="267"/>
    </row>
    <row r="109" spans="1:28">
      <c r="B109" s="237"/>
      <c r="C109" s="175"/>
      <c r="G109" s="46"/>
      <c r="Z109" s="1"/>
      <c r="AA109" s="50"/>
      <c r="AB109" s="265"/>
    </row>
    <row r="110" spans="1:28" s="95" customFormat="1" ht="13.5" thickBot="1">
      <c r="A110" s="95">
        <v>6551</v>
      </c>
      <c r="B110" s="2" t="s">
        <v>61</v>
      </c>
      <c r="AB110" s="269"/>
    </row>
    <row r="111" spans="1:28">
      <c r="A111" s="238">
        <v>800063786</v>
      </c>
      <c r="B111" s="239" t="s">
        <v>62</v>
      </c>
      <c r="C111" s="240">
        <f>+P111+Z111</f>
        <v>446</v>
      </c>
      <c r="D111" s="90">
        <v>35</v>
      </c>
      <c r="E111" s="90">
        <v>286</v>
      </c>
      <c r="F111" s="90">
        <v>70</v>
      </c>
      <c r="G111" s="97">
        <v>47</v>
      </c>
      <c r="H111" s="97">
        <v>1</v>
      </c>
      <c r="I111" s="97">
        <v>1</v>
      </c>
      <c r="J111" s="97">
        <v>1</v>
      </c>
      <c r="K111" s="97">
        <v>1</v>
      </c>
      <c r="L111" s="97">
        <v>1</v>
      </c>
      <c r="M111" s="97">
        <v>1</v>
      </c>
      <c r="N111" s="97">
        <v>1</v>
      </c>
      <c r="O111" s="99">
        <v>1</v>
      </c>
      <c r="P111" s="101">
        <f t="shared" ref="P111:P117" si="48">SUM(D111:O111)</f>
        <v>446</v>
      </c>
      <c r="Q111" s="97">
        <v>0</v>
      </c>
      <c r="R111" s="97">
        <v>0</v>
      </c>
      <c r="S111" s="97">
        <v>0</v>
      </c>
      <c r="T111" s="97">
        <v>0</v>
      </c>
      <c r="U111" s="97">
        <v>0</v>
      </c>
      <c r="V111" s="97">
        <v>0</v>
      </c>
      <c r="W111" s="97">
        <v>0</v>
      </c>
      <c r="X111" s="97">
        <v>0</v>
      </c>
      <c r="Y111" s="99">
        <v>0</v>
      </c>
      <c r="Z111" s="162">
        <f t="shared" ref="Z111:Z117" si="49">SUM(Q111:Y111)</f>
        <v>0</v>
      </c>
      <c r="AA111" s="107">
        <v>41456</v>
      </c>
      <c r="AB111" s="265"/>
    </row>
    <row r="112" spans="1:28">
      <c r="A112" s="98">
        <v>900316933</v>
      </c>
      <c r="B112" s="243" t="s">
        <v>95</v>
      </c>
      <c r="C112" s="241">
        <f>+P112+Z112</f>
        <v>60906</v>
      </c>
      <c r="D112" s="73">
        <v>2175</v>
      </c>
      <c r="E112" s="73">
        <v>153</v>
      </c>
      <c r="F112" s="73">
        <v>177</v>
      </c>
      <c r="G112" s="96">
        <v>1708</v>
      </c>
      <c r="H112" s="96">
        <v>388</v>
      </c>
      <c r="I112" s="96">
        <v>1558</v>
      </c>
      <c r="J112" s="96">
        <v>4359</v>
      </c>
      <c r="K112" s="96">
        <v>3605</v>
      </c>
      <c r="L112" s="96">
        <v>4621</v>
      </c>
      <c r="M112" s="96">
        <v>6871</v>
      </c>
      <c r="N112" s="96">
        <v>6271</v>
      </c>
      <c r="O112" s="100">
        <v>3972</v>
      </c>
      <c r="P112" s="289">
        <f t="shared" si="48"/>
        <v>35858</v>
      </c>
      <c r="Q112" s="96">
        <v>1538</v>
      </c>
      <c r="R112" s="96">
        <v>2528</v>
      </c>
      <c r="S112" s="96">
        <v>3079</v>
      </c>
      <c r="T112" s="96">
        <v>2509</v>
      </c>
      <c r="U112" s="96">
        <v>1939</v>
      </c>
      <c r="V112" s="96">
        <v>7074</v>
      </c>
      <c r="W112" s="96">
        <v>1867</v>
      </c>
      <c r="X112" s="96">
        <v>1159</v>
      </c>
      <c r="Y112" s="100">
        <v>3355</v>
      </c>
      <c r="Z112" s="242">
        <f t="shared" si="49"/>
        <v>25048</v>
      </c>
      <c r="AA112" s="8">
        <v>41456</v>
      </c>
      <c r="AB112" s="265"/>
    </row>
    <row r="113" spans="1:33">
      <c r="A113" s="98">
        <v>900316934</v>
      </c>
      <c r="B113" s="243" t="s">
        <v>130</v>
      </c>
      <c r="C113" s="241">
        <f>+P113+Z113</f>
        <v>17203</v>
      </c>
      <c r="D113" s="73">
        <v>30</v>
      </c>
      <c r="E113" s="73">
        <v>931</v>
      </c>
      <c r="F113" s="73">
        <v>602</v>
      </c>
      <c r="G113" s="96">
        <v>78</v>
      </c>
      <c r="H113" s="96">
        <v>66</v>
      </c>
      <c r="I113" s="96">
        <v>886</v>
      </c>
      <c r="J113" s="96">
        <v>1232</v>
      </c>
      <c r="K113" s="96">
        <v>1232</v>
      </c>
      <c r="L113" s="96">
        <v>1232</v>
      </c>
      <c r="M113" s="96">
        <v>1232</v>
      </c>
      <c r="N113" s="96">
        <v>2002</v>
      </c>
      <c r="O113" s="100">
        <v>1485</v>
      </c>
      <c r="P113" s="289">
        <f t="shared" si="48"/>
        <v>11008</v>
      </c>
      <c r="Q113" s="96">
        <v>812</v>
      </c>
      <c r="R113" s="96">
        <v>702</v>
      </c>
      <c r="S113" s="96">
        <v>703</v>
      </c>
      <c r="T113" s="96">
        <v>683</v>
      </c>
      <c r="U113" s="96">
        <v>663</v>
      </c>
      <c r="V113" s="96">
        <v>993</v>
      </c>
      <c r="W113" s="96">
        <v>300</v>
      </c>
      <c r="X113" s="96">
        <v>400</v>
      </c>
      <c r="Y113" s="100">
        <v>939</v>
      </c>
      <c r="Z113" s="242">
        <f t="shared" si="49"/>
        <v>6195</v>
      </c>
      <c r="AA113" s="8">
        <v>41456</v>
      </c>
      <c r="AB113" s="265"/>
    </row>
    <row r="114" spans="1:33" ht="25.5">
      <c r="A114" s="98">
        <v>900344621</v>
      </c>
      <c r="B114" s="243" t="s">
        <v>131</v>
      </c>
      <c r="C114" s="241">
        <f>+P114+Z114</f>
        <v>30701</v>
      </c>
      <c r="D114" s="73">
        <v>10</v>
      </c>
      <c r="E114" s="73">
        <v>926</v>
      </c>
      <c r="F114" s="73">
        <v>161</v>
      </c>
      <c r="G114" s="96">
        <v>2466</v>
      </c>
      <c r="H114" s="96">
        <v>404</v>
      </c>
      <c r="I114" s="96">
        <v>1378</v>
      </c>
      <c r="J114" s="96">
        <v>1356</v>
      </c>
      <c r="K114" s="96">
        <v>1405</v>
      </c>
      <c r="L114" s="96">
        <v>1497</v>
      </c>
      <c r="M114" s="96">
        <v>1487</v>
      </c>
      <c r="N114" s="96">
        <v>1586</v>
      </c>
      <c r="O114" s="100">
        <v>1573</v>
      </c>
      <c r="P114" s="102">
        <f t="shared" si="48"/>
        <v>14249</v>
      </c>
      <c r="Q114" s="96">
        <v>1937</v>
      </c>
      <c r="R114" s="96">
        <v>1940</v>
      </c>
      <c r="S114" s="96">
        <v>1958</v>
      </c>
      <c r="T114" s="96">
        <v>1901</v>
      </c>
      <c r="U114" s="96">
        <v>1828</v>
      </c>
      <c r="V114" s="96">
        <v>1878</v>
      </c>
      <c r="W114" s="96">
        <v>2315</v>
      </c>
      <c r="X114" s="96">
        <v>727</v>
      </c>
      <c r="Y114" s="100">
        <v>1968</v>
      </c>
      <c r="Z114" s="242">
        <f t="shared" si="49"/>
        <v>16452</v>
      </c>
      <c r="AA114" s="8">
        <v>41456</v>
      </c>
      <c r="AB114" s="265"/>
    </row>
    <row r="115" spans="1:33" ht="25.5">
      <c r="A115" s="98">
        <v>900344623</v>
      </c>
      <c r="B115" s="243" t="s">
        <v>132</v>
      </c>
      <c r="C115" s="241">
        <f>+P115+Z115</f>
        <v>116113</v>
      </c>
      <c r="D115" s="73">
        <v>2544</v>
      </c>
      <c r="E115" s="73">
        <v>961</v>
      </c>
      <c r="F115" s="73">
        <v>3127</v>
      </c>
      <c r="G115" s="96">
        <v>2333</v>
      </c>
      <c r="H115" s="96">
        <v>2238</v>
      </c>
      <c r="I115" s="96">
        <v>4771</v>
      </c>
      <c r="J115" s="96">
        <v>4732</v>
      </c>
      <c r="K115" s="96">
        <v>5735</v>
      </c>
      <c r="L115" s="96">
        <v>6889</v>
      </c>
      <c r="M115" s="96">
        <v>5977</v>
      </c>
      <c r="N115" s="96">
        <v>11084</v>
      </c>
      <c r="O115" s="100">
        <v>7248</v>
      </c>
      <c r="P115" s="102">
        <f t="shared" si="48"/>
        <v>57639</v>
      </c>
      <c r="Q115" s="96">
        <v>6854</v>
      </c>
      <c r="R115" s="96">
        <v>7183</v>
      </c>
      <c r="S115" s="96">
        <v>7678</v>
      </c>
      <c r="T115" s="96">
        <v>6871</v>
      </c>
      <c r="U115" s="96">
        <v>6533</v>
      </c>
      <c r="V115" s="96">
        <v>6515</v>
      </c>
      <c r="W115" s="96">
        <v>7191</v>
      </c>
      <c r="X115" s="96">
        <v>2935</v>
      </c>
      <c r="Y115" s="100">
        <v>6714</v>
      </c>
      <c r="Z115" s="242">
        <f t="shared" si="49"/>
        <v>58474</v>
      </c>
      <c r="AA115" s="8">
        <v>41456</v>
      </c>
      <c r="AB115" s="265"/>
    </row>
    <row r="116" spans="1:33" ht="13.5" thickBot="1">
      <c r="A116" s="244">
        <v>800586667</v>
      </c>
      <c r="B116" s="135" t="s">
        <v>96</v>
      </c>
      <c r="C116" s="245">
        <f t="shared" ref="C116:C117" si="50">+P116+Z116</f>
        <v>220</v>
      </c>
      <c r="D116" s="75">
        <v>5</v>
      </c>
      <c r="E116" s="75">
        <v>3</v>
      </c>
      <c r="F116" s="75">
        <v>2</v>
      </c>
      <c r="G116" s="123">
        <v>2</v>
      </c>
      <c r="H116" s="123">
        <v>10</v>
      </c>
      <c r="I116" s="123">
        <v>10</v>
      </c>
      <c r="J116" s="123">
        <v>10</v>
      </c>
      <c r="K116" s="123">
        <v>10</v>
      </c>
      <c r="L116" s="123">
        <v>50</v>
      </c>
      <c r="M116" s="123">
        <v>50</v>
      </c>
      <c r="N116" s="123">
        <v>15</v>
      </c>
      <c r="O116" s="124">
        <v>53</v>
      </c>
      <c r="P116" s="125">
        <f t="shared" si="48"/>
        <v>220</v>
      </c>
      <c r="Q116" s="123">
        <v>0</v>
      </c>
      <c r="R116" s="123">
        <v>0</v>
      </c>
      <c r="S116" s="123">
        <v>0</v>
      </c>
      <c r="T116" s="123">
        <v>0</v>
      </c>
      <c r="U116" s="123">
        <v>0</v>
      </c>
      <c r="V116" s="123">
        <v>0</v>
      </c>
      <c r="W116" s="123">
        <v>0</v>
      </c>
      <c r="X116" s="123">
        <v>0</v>
      </c>
      <c r="Y116" s="124">
        <v>0</v>
      </c>
      <c r="Z116" s="163">
        <f t="shared" si="49"/>
        <v>0</v>
      </c>
      <c r="AA116" s="138">
        <v>41456</v>
      </c>
      <c r="AB116" s="265"/>
    </row>
    <row r="117" spans="1:33" ht="13.5" thickBot="1">
      <c r="A117" s="180" t="s">
        <v>63</v>
      </c>
      <c r="B117" s="126"/>
      <c r="C117" s="113">
        <f t="shared" si="50"/>
        <v>225589</v>
      </c>
      <c r="D117" s="127">
        <f t="shared" ref="D117:O117" si="51">SUM(D111:D116)</f>
        <v>4799</v>
      </c>
      <c r="E117" s="127">
        <f t="shared" si="51"/>
        <v>3260</v>
      </c>
      <c r="F117" s="127">
        <f t="shared" si="51"/>
        <v>4139</v>
      </c>
      <c r="G117" s="128">
        <f t="shared" si="51"/>
        <v>6634</v>
      </c>
      <c r="H117" s="128">
        <f t="shared" si="51"/>
        <v>3107</v>
      </c>
      <c r="I117" s="128">
        <f t="shared" si="51"/>
        <v>8604</v>
      </c>
      <c r="J117" s="128">
        <f t="shared" si="51"/>
        <v>11690</v>
      </c>
      <c r="K117" s="128">
        <f t="shared" si="51"/>
        <v>11988</v>
      </c>
      <c r="L117" s="128">
        <f t="shared" si="51"/>
        <v>14290</v>
      </c>
      <c r="M117" s="128">
        <f t="shared" si="51"/>
        <v>15618</v>
      </c>
      <c r="N117" s="128">
        <f t="shared" si="51"/>
        <v>20959</v>
      </c>
      <c r="O117" s="129">
        <f t="shared" si="51"/>
        <v>14332</v>
      </c>
      <c r="P117" s="130">
        <f t="shared" si="48"/>
        <v>119420</v>
      </c>
      <c r="Q117" s="131">
        <f t="shared" ref="Q117:Y117" si="52">SUM(Q111:Q116)</f>
        <v>11141</v>
      </c>
      <c r="R117" s="131">
        <f t="shared" si="52"/>
        <v>12353</v>
      </c>
      <c r="S117" s="131">
        <f t="shared" si="52"/>
        <v>13418</v>
      </c>
      <c r="T117" s="131">
        <f t="shared" si="52"/>
        <v>11964</v>
      </c>
      <c r="U117" s="131">
        <f t="shared" si="52"/>
        <v>10963</v>
      </c>
      <c r="V117" s="131">
        <f t="shared" si="52"/>
        <v>16460</v>
      </c>
      <c r="W117" s="131">
        <f t="shared" si="52"/>
        <v>11673</v>
      </c>
      <c r="X117" s="131">
        <f t="shared" si="52"/>
        <v>5221</v>
      </c>
      <c r="Y117" s="132">
        <f t="shared" si="52"/>
        <v>12976</v>
      </c>
      <c r="Z117" s="133">
        <f t="shared" si="49"/>
        <v>106169</v>
      </c>
      <c r="AA117" s="134"/>
      <c r="AB117" s="265"/>
    </row>
    <row r="118" spans="1:33">
      <c r="B118" s="237"/>
      <c r="C118" s="182"/>
      <c r="D118" s="182"/>
      <c r="E118" s="182"/>
      <c r="F118" s="182"/>
      <c r="G118" s="46"/>
      <c r="Z118" s="1"/>
      <c r="AA118" s="50"/>
      <c r="AB118" s="265"/>
    </row>
    <row r="119" spans="1:33" ht="13.5" thickBot="1">
      <c r="A119" s="95">
        <v>7018</v>
      </c>
      <c r="B119" s="95" t="s">
        <v>64</v>
      </c>
      <c r="AG119" s="274"/>
    </row>
    <row r="120" spans="1:33" ht="13.5" thickBot="1">
      <c r="A120" s="275">
        <v>800499057</v>
      </c>
      <c r="B120" s="276" t="s">
        <v>65</v>
      </c>
      <c r="C120" s="277">
        <f>+P120+Z120</f>
        <v>0</v>
      </c>
      <c r="D120" s="278">
        <v>0</v>
      </c>
      <c r="E120" s="278">
        <v>0</v>
      </c>
      <c r="F120" s="278">
        <v>0</v>
      </c>
      <c r="G120" s="278">
        <v>0</v>
      </c>
      <c r="H120" s="279">
        <v>0</v>
      </c>
      <c r="I120" s="279">
        <v>0</v>
      </c>
      <c r="J120" s="279">
        <v>0</v>
      </c>
      <c r="K120" s="279">
        <v>0</v>
      </c>
      <c r="L120" s="279">
        <v>0</v>
      </c>
      <c r="M120" s="279">
        <v>0</v>
      </c>
      <c r="N120" s="279">
        <v>0</v>
      </c>
      <c r="O120" s="280">
        <v>0</v>
      </c>
      <c r="P120" s="281">
        <f>SUM(D120:O120)</f>
        <v>0</v>
      </c>
      <c r="Q120" s="282">
        <v>0</v>
      </c>
      <c r="R120" s="282">
        <v>0</v>
      </c>
      <c r="S120" s="282">
        <v>0</v>
      </c>
      <c r="T120" s="282">
        <v>0</v>
      </c>
      <c r="U120" s="282">
        <v>0</v>
      </c>
      <c r="V120" s="282">
        <v>0</v>
      </c>
      <c r="W120" s="282">
        <v>0</v>
      </c>
      <c r="X120" s="282">
        <v>0</v>
      </c>
      <c r="Y120" s="283">
        <v>0</v>
      </c>
      <c r="Z120" s="284">
        <f>SUM(Q120:Y120)</f>
        <v>0</v>
      </c>
      <c r="AA120" s="285" t="s">
        <v>67</v>
      </c>
      <c r="AB120" s="271"/>
      <c r="AG120" s="273"/>
    </row>
    <row r="121" spans="1:33" ht="13.5" thickBot="1">
      <c r="A121" s="180" t="s">
        <v>66</v>
      </c>
      <c r="B121" s="246"/>
      <c r="C121" s="263">
        <f>+P121+Z121</f>
        <v>0</v>
      </c>
      <c r="D121" s="146">
        <f t="shared" ref="D121:O121" si="53">SUM(D120)</f>
        <v>0</v>
      </c>
      <c r="E121" s="127">
        <f t="shared" si="53"/>
        <v>0</v>
      </c>
      <c r="F121" s="127">
        <f t="shared" si="53"/>
        <v>0</v>
      </c>
      <c r="G121" s="127">
        <f t="shared" si="53"/>
        <v>0</v>
      </c>
      <c r="H121" s="247">
        <f t="shared" si="53"/>
        <v>0</v>
      </c>
      <c r="I121" s="247">
        <f t="shared" si="53"/>
        <v>0</v>
      </c>
      <c r="J121" s="247">
        <f t="shared" si="53"/>
        <v>0</v>
      </c>
      <c r="K121" s="247">
        <f t="shared" si="53"/>
        <v>0</v>
      </c>
      <c r="L121" s="247">
        <f t="shared" si="53"/>
        <v>0</v>
      </c>
      <c r="M121" s="247">
        <f t="shared" si="53"/>
        <v>0</v>
      </c>
      <c r="N121" s="247">
        <f t="shared" si="53"/>
        <v>0</v>
      </c>
      <c r="O121" s="248">
        <f t="shared" si="53"/>
        <v>0</v>
      </c>
      <c r="P121" s="249">
        <f>SUM(D121:O121)</f>
        <v>0</v>
      </c>
      <c r="Q121" s="250">
        <f t="shared" ref="Q121:Y121" si="54">SUM(Q120)</f>
        <v>0</v>
      </c>
      <c r="R121" s="250">
        <f t="shared" si="54"/>
        <v>0</v>
      </c>
      <c r="S121" s="250">
        <f t="shared" si="54"/>
        <v>0</v>
      </c>
      <c r="T121" s="250">
        <f t="shared" si="54"/>
        <v>0</v>
      </c>
      <c r="U121" s="250">
        <f t="shared" si="54"/>
        <v>0</v>
      </c>
      <c r="V121" s="250">
        <f t="shared" si="54"/>
        <v>0</v>
      </c>
      <c r="W121" s="250">
        <f t="shared" si="54"/>
        <v>0</v>
      </c>
      <c r="X121" s="250">
        <f t="shared" si="54"/>
        <v>0</v>
      </c>
      <c r="Y121" s="251">
        <f t="shared" si="54"/>
        <v>0</v>
      </c>
      <c r="Z121" s="252">
        <f>SUM(Q121:Y121)</f>
        <v>0</v>
      </c>
      <c r="AA121" s="142"/>
    </row>
    <row r="123" spans="1:33" ht="13.5" thickBot="1">
      <c r="A123" s="95">
        <v>6929</v>
      </c>
      <c r="B123" s="95" t="s">
        <v>68</v>
      </c>
    </row>
    <row r="124" spans="1:33" ht="25.5">
      <c r="A124" s="238">
        <v>900247848</v>
      </c>
      <c r="B124" s="239" t="s">
        <v>97</v>
      </c>
      <c r="C124" s="103">
        <f>+P124+Z124</f>
        <v>8945.9419999999991</v>
      </c>
      <c r="D124" s="90">
        <v>101.61</v>
      </c>
      <c r="E124" s="90">
        <v>13.12</v>
      </c>
      <c r="F124" s="90">
        <v>12.862</v>
      </c>
      <c r="G124" s="90">
        <v>68.569999999999993</v>
      </c>
      <c r="H124" s="97">
        <v>71.84</v>
      </c>
      <c r="I124" s="97">
        <v>84.25</v>
      </c>
      <c r="J124" s="97">
        <v>102.86</v>
      </c>
      <c r="K124" s="97">
        <v>112.65</v>
      </c>
      <c r="L124" s="97">
        <v>120.82</v>
      </c>
      <c r="M124" s="97">
        <v>481.94</v>
      </c>
      <c r="N124" s="97">
        <v>424.22</v>
      </c>
      <c r="O124" s="99">
        <v>1343.55</v>
      </c>
      <c r="P124" s="101">
        <f t="shared" ref="P124:P129" si="55">SUM(D124:O124)</f>
        <v>2938.2919999999999</v>
      </c>
      <c r="Q124" s="97">
        <v>483.92</v>
      </c>
      <c r="R124" s="97">
        <v>465.31</v>
      </c>
      <c r="S124" s="97">
        <v>514.29</v>
      </c>
      <c r="T124" s="97">
        <v>659.59</v>
      </c>
      <c r="U124" s="97">
        <v>804.57</v>
      </c>
      <c r="V124" s="97">
        <v>731.43</v>
      </c>
      <c r="W124" s="97">
        <v>804.57</v>
      </c>
      <c r="X124" s="97">
        <v>804.57</v>
      </c>
      <c r="Y124" s="99">
        <v>739.4</v>
      </c>
      <c r="Z124" s="105">
        <f t="shared" ref="Z124:Z129" si="56">SUM(Q124:Y124)</f>
        <v>6007.65</v>
      </c>
      <c r="AA124" s="107">
        <v>41609</v>
      </c>
    </row>
    <row r="125" spans="1:33">
      <c r="A125" s="98">
        <v>900248417</v>
      </c>
      <c r="B125" s="243" t="s">
        <v>133</v>
      </c>
      <c r="C125" s="104">
        <f>+P125+Z125</f>
        <v>140674.14099999997</v>
      </c>
      <c r="D125" s="73">
        <v>978.75</v>
      </c>
      <c r="E125" s="73">
        <v>4785</v>
      </c>
      <c r="F125" s="73">
        <v>6488.6610000000001</v>
      </c>
      <c r="G125" s="73">
        <v>4018.03</v>
      </c>
      <c r="H125" s="96">
        <v>20940.23</v>
      </c>
      <c r="I125" s="96">
        <v>7975.38</v>
      </c>
      <c r="J125" s="96">
        <v>8509.58</v>
      </c>
      <c r="K125" s="96">
        <v>9671.5300000000007</v>
      </c>
      <c r="L125" s="96">
        <v>2162.88</v>
      </c>
      <c r="M125" s="96">
        <v>9892.34</v>
      </c>
      <c r="N125" s="96">
        <v>6581.72</v>
      </c>
      <c r="O125" s="100">
        <v>2466.2299999999996</v>
      </c>
      <c r="P125" s="102">
        <f t="shared" si="55"/>
        <v>84470.330999999991</v>
      </c>
      <c r="Q125" s="96">
        <v>5878.78</v>
      </c>
      <c r="R125" s="96">
        <v>6202.25</v>
      </c>
      <c r="S125" s="96">
        <v>8744.8799999999992</v>
      </c>
      <c r="T125" s="96">
        <v>11224.74</v>
      </c>
      <c r="U125" s="96">
        <v>9349.64</v>
      </c>
      <c r="V125" s="96">
        <v>3649.9</v>
      </c>
      <c r="W125" s="96">
        <v>3118.66</v>
      </c>
      <c r="X125" s="96">
        <v>4471.63</v>
      </c>
      <c r="Y125" s="100">
        <v>3563.33</v>
      </c>
      <c r="Z125" s="106">
        <f t="shared" si="56"/>
        <v>56203.80999999999</v>
      </c>
      <c r="AA125" s="8">
        <v>41609</v>
      </c>
    </row>
    <row r="126" spans="1:33" ht="25.5">
      <c r="A126" s="98">
        <v>900312870</v>
      </c>
      <c r="B126" s="243" t="s">
        <v>98</v>
      </c>
      <c r="C126" s="104">
        <f>+P126+Z126</f>
        <v>10054.864</v>
      </c>
      <c r="D126" s="73">
        <v>84.82</v>
      </c>
      <c r="E126" s="73">
        <v>254.06</v>
      </c>
      <c r="F126" s="73">
        <v>545.93399999999997</v>
      </c>
      <c r="G126" s="73">
        <v>444.05</v>
      </c>
      <c r="H126" s="96">
        <v>430.35</v>
      </c>
      <c r="I126" s="96">
        <v>514.58000000000004</v>
      </c>
      <c r="J126" s="96">
        <v>603.47</v>
      </c>
      <c r="K126" s="96">
        <v>692.55</v>
      </c>
      <c r="L126" s="96">
        <v>575.66999999999996</v>
      </c>
      <c r="M126" s="96">
        <v>836.34</v>
      </c>
      <c r="N126" s="96">
        <v>837.73</v>
      </c>
      <c r="O126" s="100">
        <v>867.32</v>
      </c>
      <c r="P126" s="102">
        <f t="shared" si="55"/>
        <v>6686.8739999999998</v>
      </c>
      <c r="Q126" s="96">
        <v>552.36</v>
      </c>
      <c r="R126" s="96">
        <v>485.14</v>
      </c>
      <c r="S126" s="96">
        <v>534.45000000000005</v>
      </c>
      <c r="T126" s="96">
        <v>448.88</v>
      </c>
      <c r="U126" s="96">
        <v>401.38</v>
      </c>
      <c r="V126" s="96">
        <v>386.57</v>
      </c>
      <c r="W126" s="96">
        <v>372.91</v>
      </c>
      <c r="X126" s="96">
        <v>186.3</v>
      </c>
      <c r="Y126" s="100">
        <v>0</v>
      </c>
      <c r="Z126" s="106">
        <f t="shared" si="56"/>
        <v>3367.9900000000002</v>
      </c>
      <c r="AA126" s="8">
        <v>41609</v>
      </c>
    </row>
    <row r="127" spans="1:33" ht="25.5">
      <c r="A127" s="98">
        <v>900342200</v>
      </c>
      <c r="B127" s="243" t="s">
        <v>99</v>
      </c>
      <c r="C127" s="104">
        <f>+P127+Z127</f>
        <v>7550.1560000000009</v>
      </c>
      <c r="D127" s="73">
        <v>95.44</v>
      </c>
      <c r="E127" s="73">
        <v>353.09</v>
      </c>
      <c r="F127" s="73">
        <v>483.10599999999999</v>
      </c>
      <c r="G127" s="73">
        <v>463.92</v>
      </c>
      <c r="H127" s="96">
        <v>321.14</v>
      </c>
      <c r="I127" s="96">
        <v>286.01</v>
      </c>
      <c r="J127" s="96">
        <v>395</v>
      </c>
      <c r="K127" s="96">
        <v>427</v>
      </c>
      <c r="L127" s="96">
        <v>433.38</v>
      </c>
      <c r="M127" s="96">
        <v>684.05</v>
      </c>
      <c r="N127" s="96">
        <v>675.29</v>
      </c>
      <c r="O127" s="100">
        <v>607.96</v>
      </c>
      <c r="P127" s="102">
        <f t="shared" si="55"/>
        <v>5225.3860000000004</v>
      </c>
      <c r="Q127" s="96">
        <v>553.51</v>
      </c>
      <c r="R127" s="96">
        <v>349.49</v>
      </c>
      <c r="S127" s="96">
        <v>386.85</v>
      </c>
      <c r="T127" s="96">
        <v>296.35000000000002</v>
      </c>
      <c r="U127" s="96">
        <v>269.89</v>
      </c>
      <c r="V127" s="96">
        <v>185.74</v>
      </c>
      <c r="W127" s="96">
        <v>166.39</v>
      </c>
      <c r="X127" s="96">
        <v>116.55</v>
      </c>
      <c r="Y127" s="100">
        <v>0</v>
      </c>
      <c r="Z127" s="106">
        <f t="shared" si="56"/>
        <v>2324.77</v>
      </c>
      <c r="AA127" s="8">
        <v>41609</v>
      </c>
    </row>
    <row r="128" spans="1:33" ht="13.5" thickBot="1">
      <c r="A128" s="244">
        <v>800380461</v>
      </c>
      <c r="B128" s="135" t="s">
        <v>74</v>
      </c>
      <c r="C128" s="136">
        <f t="shared" ref="C128" si="57">+P128+Z128</f>
        <v>902.78800000000001</v>
      </c>
      <c r="D128" s="75">
        <v>75.67</v>
      </c>
      <c r="E128" s="75">
        <v>12.67</v>
      </c>
      <c r="F128" s="75">
        <v>13.667999999999999</v>
      </c>
      <c r="G128" s="75">
        <v>45.26</v>
      </c>
      <c r="H128" s="123">
        <v>47.41</v>
      </c>
      <c r="I128" s="123">
        <v>45.26</v>
      </c>
      <c r="J128" s="123">
        <v>45.26</v>
      </c>
      <c r="K128" s="123">
        <v>49.57</v>
      </c>
      <c r="L128" s="123">
        <v>40.950000000000003</v>
      </c>
      <c r="M128" s="123">
        <v>67.040000000000006</v>
      </c>
      <c r="N128" s="123">
        <v>57.9</v>
      </c>
      <c r="O128" s="124">
        <v>93.95</v>
      </c>
      <c r="P128" s="125">
        <f t="shared" si="55"/>
        <v>594.60799999999995</v>
      </c>
      <c r="Q128" s="123">
        <v>47.41</v>
      </c>
      <c r="R128" s="123">
        <v>40.950000000000003</v>
      </c>
      <c r="S128" s="123">
        <v>45.26</v>
      </c>
      <c r="T128" s="123">
        <v>47.41</v>
      </c>
      <c r="U128" s="123">
        <v>47.41</v>
      </c>
      <c r="V128" s="123">
        <v>43.1</v>
      </c>
      <c r="W128" s="123">
        <v>36.64</v>
      </c>
      <c r="X128" s="123">
        <v>0</v>
      </c>
      <c r="Y128" s="124">
        <v>0</v>
      </c>
      <c r="Z128" s="137">
        <f t="shared" si="56"/>
        <v>308.18</v>
      </c>
      <c r="AA128" s="138">
        <v>41609</v>
      </c>
    </row>
    <row r="129" spans="1:27" ht="13.5" thickBot="1">
      <c r="A129" s="180" t="s">
        <v>69</v>
      </c>
      <c r="B129" s="139"/>
      <c r="C129" s="140">
        <f t="shared" ref="C129:O129" si="58">SUM(C124:C128)</f>
        <v>168127.89099999997</v>
      </c>
      <c r="D129" s="127">
        <f t="shared" si="58"/>
        <v>1336.29</v>
      </c>
      <c r="E129" s="127">
        <f t="shared" si="58"/>
        <v>5417.9400000000005</v>
      </c>
      <c r="F129" s="127">
        <f t="shared" si="58"/>
        <v>7544.2309999999998</v>
      </c>
      <c r="G129" s="127">
        <f t="shared" si="58"/>
        <v>5039.8300000000008</v>
      </c>
      <c r="H129" s="128">
        <f t="shared" si="58"/>
        <v>21810.969999999998</v>
      </c>
      <c r="I129" s="128">
        <f t="shared" si="58"/>
        <v>8905.4800000000014</v>
      </c>
      <c r="J129" s="128">
        <f t="shared" si="58"/>
        <v>9656.17</v>
      </c>
      <c r="K129" s="128">
        <f t="shared" si="58"/>
        <v>10953.3</v>
      </c>
      <c r="L129" s="128">
        <f t="shared" si="58"/>
        <v>3333.7000000000003</v>
      </c>
      <c r="M129" s="128">
        <f t="shared" si="58"/>
        <v>11961.710000000001</v>
      </c>
      <c r="N129" s="128">
        <f t="shared" si="58"/>
        <v>8576.8599999999988</v>
      </c>
      <c r="O129" s="129">
        <f t="shared" si="58"/>
        <v>5379.0099999999993</v>
      </c>
      <c r="P129" s="130">
        <f t="shared" si="55"/>
        <v>99915.490999999995</v>
      </c>
      <c r="Q129" s="128">
        <f t="shared" ref="Q129:Y129" si="59">SUM(Q124:Q128)</f>
        <v>7515.98</v>
      </c>
      <c r="R129" s="128">
        <f t="shared" si="59"/>
        <v>7543.14</v>
      </c>
      <c r="S129" s="128">
        <f t="shared" si="59"/>
        <v>10225.73</v>
      </c>
      <c r="T129" s="128">
        <f t="shared" si="59"/>
        <v>12676.97</v>
      </c>
      <c r="U129" s="128">
        <f t="shared" si="59"/>
        <v>10872.889999999998</v>
      </c>
      <c r="V129" s="128">
        <f t="shared" si="59"/>
        <v>4996.74</v>
      </c>
      <c r="W129" s="128">
        <f t="shared" si="59"/>
        <v>4499.170000000001</v>
      </c>
      <c r="X129" s="128">
        <f t="shared" si="59"/>
        <v>5579.05</v>
      </c>
      <c r="Y129" s="129">
        <f t="shared" si="59"/>
        <v>4302.7299999999996</v>
      </c>
      <c r="Z129" s="141">
        <f t="shared" si="56"/>
        <v>68212.399999999994</v>
      </c>
      <c r="AA129" s="142"/>
    </row>
    <row r="131" spans="1:27" ht="13.5" thickBot="1">
      <c r="A131" s="95">
        <v>7076</v>
      </c>
      <c r="B131" s="95" t="s">
        <v>134</v>
      </c>
    </row>
    <row r="132" spans="1:27" ht="25.5">
      <c r="A132" s="238">
        <v>800404139</v>
      </c>
      <c r="B132" s="253" t="s">
        <v>135</v>
      </c>
      <c r="C132" s="118">
        <f>+P132+Z132</f>
        <v>67295</v>
      </c>
      <c r="D132" s="116">
        <v>377</v>
      </c>
      <c r="E132" s="90">
        <v>2192</v>
      </c>
      <c r="F132" s="90">
        <v>2879</v>
      </c>
      <c r="G132" s="90">
        <v>4914</v>
      </c>
      <c r="H132" s="97">
        <v>4401</v>
      </c>
      <c r="I132" s="97">
        <v>5490</v>
      </c>
      <c r="J132" s="97">
        <v>2620</v>
      </c>
      <c r="K132" s="97">
        <v>2565</v>
      </c>
      <c r="L132" s="97">
        <v>1336</v>
      </c>
      <c r="M132" s="97">
        <v>1149</v>
      </c>
      <c r="N132" s="97">
        <v>1865</v>
      </c>
      <c r="O132" s="99">
        <v>6614</v>
      </c>
      <c r="P132" s="101">
        <f>SUM(D132:O132)</f>
        <v>36402</v>
      </c>
      <c r="Q132" s="97">
        <v>4077</v>
      </c>
      <c r="R132" s="97">
        <v>4077</v>
      </c>
      <c r="S132" s="97">
        <v>4077</v>
      </c>
      <c r="T132" s="97">
        <v>4077</v>
      </c>
      <c r="U132" s="97">
        <v>4077</v>
      </c>
      <c r="V132" s="97">
        <v>4077</v>
      </c>
      <c r="W132" s="97">
        <v>3701</v>
      </c>
      <c r="X132" s="97">
        <v>2730</v>
      </c>
      <c r="Y132" s="99" t="s">
        <v>71</v>
      </c>
      <c r="Z132" s="105">
        <f>SUM(Q132:Y132)</f>
        <v>30893</v>
      </c>
      <c r="AA132" s="107">
        <v>41579</v>
      </c>
    </row>
    <row r="133" spans="1:27" ht="13.5" thickBot="1">
      <c r="A133" s="244">
        <v>800466294</v>
      </c>
      <c r="B133" s="254" t="s">
        <v>70</v>
      </c>
      <c r="C133" s="143">
        <f t="shared" ref="C133:C134" si="60">+P133+Z133</f>
        <v>0</v>
      </c>
      <c r="D133" s="144">
        <v>0</v>
      </c>
      <c r="E133" s="75">
        <v>0</v>
      </c>
      <c r="F133" s="75">
        <v>0</v>
      </c>
      <c r="G133" s="75">
        <v>0</v>
      </c>
      <c r="H133" s="123">
        <v>0</v>
      </c>
      <c r="I133" s="123">
        <v>0</v>
      </c>
      <c r="J133" s="123">
        <v>0</v>
      </c>
      <c r="K133" s="123">
        <v>0</v>
      </c>
      <c r="L133" s="123">
        <v>0</v>
      </c>
      <c r="M133" s="123">
        <v>0</v>
      </c>
      <c r="N133" s="123">
        <v>0</v>
      </c>
      <c r="O133" s="124">
        <v>0</v>
      </c>
      <c r="P133" s="125">
        <f>SUM(D133:O133)</f>
        <v>0</v>
      </c>
      <c r="Q133" s="123">
        <v>0</v>
      </c>
      <c r="R133" s="123">
        <v>0</v>
      </c>
      <c r="S133" s="123">
        <v>0</v>
      </c>
      <c r="T133" s="123">
        <v>0</v>
      </c>
      <c r="U133" s="123">
        <v>0</v>
      </c>
      <c r="V133" s="123">
        <v>0</v>
      </c>
      <c r="W133" s="123">
        <v>0</v>
      </c>
      <c r="X133" s="123">
        <v>0</v>
      </c>
      <c r="Y133" s="124">
        <v>0</v>
      </c>
      <c r="Z133" s="137">
        <f>SUM(Q133:Y133)</f>
        <v>0</v>
      </c>
      <c r="AA133" s="138">
        <v>41579</v>
      </c>
    </row>
    <row r="134" spans="1:27" ht="13.5" thickBot="1">
      <c r="A134" s="180" t="s">
        <v>72</v>
      </c>
      <c r="B134" s="139"/>
      <c r="C134" s="145">
        <f t="shared" si="60"/>
        <v>67295</v>
      </c>
      <c r="D134" s="146">
        <f t="shared" ref="D134:O134" si="61">SUM(D132:D133)</f>
        <v>377</v>
      </c>
      <c r="E134" s="127">
        <f t="shared" si="61"/>
        <v>2192</v>
      </c>
      <c r="F134" s="127">
        <f t="shared" si="61"/>
        <v>2879</v>
      </c>
      <c r="G134" s="127">
        <f t="shared" si="61"/>
        <v>4914</v>
      </c>
      <c r="H134" s="128">
        <f t="shared" si="61"/>
        <v>4401</v>
      </c>
      <c r="I134" s="128">
        <f t="shared" si="61"/>
        <v>5490</v>
      </c>
      <c r="J134" s="128">
        <f t="shared" si="61"/>
        <v>2620</v>
      </c>
      <c r="K134" s="128">
        <f t="shared" si="61"/>
        <v>2565</v>
      </c>
      <c r="L134" s="128">
        <f t="shared" si="61"/>
        <v>1336</v>
      </c>
      <c r="M134" s="128">
        <f t="shared" si="61"/>
        <v>1149</v>
      </c>
      <c r="N134" s="128">
        <f t="shared" si="61"/>
        <v>1865</v>
      </c>
      <c r="O134" s="129">
        <f t="shared" si="61"/>
        <v>6614</v>
      </c>
      <c r="P134" s="130">
        <f>SUM(D134:O134)</f>
        <v>36402</v>
      </c>
      <c r="Q134" s="128">
        <f t="shared" ref="Q134:Y134" si="62">SUM(Q132:Q133)</f>
        <v>4077</v>
      </c>
      <c r="R134" s="128">
        <f t="shared" si="62"/>
        <v>4077</v>
      </c>
      <c r="S134" s="128">
        <f t="shared" si="62"/>
        <v>4077</v>
      </c>
      <c r="T134" s="128">
        <f t="shared" si="62"/>
        <v>4077</v>
      </c>
      <c r="U134" s="128">
        <f t="shared" si="62"/>
        <v>4077</v>
      </c>
      <c r="V134" s="128">
        <f t="shared" si="62"/>
        <v>4077</v>
      </c>
      <c r="W134" s="128">
        <f t="shared" si="62"/>
        <v>3701</v>
      </c>
      <c r="X134" s="128">
        <f t="shared" si="62"/>
        <v>2730</v>
      </c>
      <c r="Y134" s="129">
        <f t="shared" si="62"/>
        <v>0</v>
      </c>
      <c r="Z134" s="141">
        <f>SUM(Q134:Y134)</f>
        <v>30893</v>
      </c>
      <c r="AA134" s="142"/>
    </row>
    <row r="136" spans="1:27" ht="13.5" thickBot="1">
      <c r="A136" s="95" t="s">
        <v>77</v>
      </c>
      <c r="B136" s="95" t="s">
        <v>73</v>
      </c>
    </row>
    <row r="137" spans="1:27">
      <c r="A137" s="238">
        <v>900389180</v>
      </c>
      <c r="B137" s="239" t="s">
        <v>136</v>
      </c>
      <c r="C137" s="121">
        <f>+P137+Z137</f>
        <v>2649.9997000000012</v>
      </c>
      <c r="D137" s="116">
        <v>241.85293000000001</v>
      </c>
      <c r="E137" s="90">
        <v>8.5731000000000019</v>
      </c>
      <c r="F137" s="90">
        <v>1083.798670000001</v>
      </c>
      <c r="G137" s="90">
        <v>25</v>
      </c>
      <c r="H137" s="97">
        <v>25</v>
      </c>
      <c r="I137" s="97">
        <v>300</v>
      </c>
      <c r="J137" s="97">
        <v>350</v>
      </c>
      <c r="K137" s="97">
        <v>350</v>
      </c>
      <c r="L137" s="97">
        <v>265.77499999999998</v>
      </c>
      <c r="M137" s="97">
        <v>0</v>
      </c>
      <c r="N137" s="97">
        <v>0</v>
      </c>
      <c r="O137" s="99">
        <v>0</v>
      </c>
      <c r="P137" s="101">
        <f t="shared" ref="P137:P142" si="63">SUM(D137:O137)</f>
        <v>2649.9997000000012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9">
        <v>0</v>
      </c>
      <c r="Z137" s="105">
        <f t="shared" ref="Z137:Z142" si="64">SUM(Q137:Y137)</f>
        <v>0</v>
      </c>
      <c r="AA137" s="107">
        <v>41153</v>
      </c>
    </row>
    <row r="138" spans="1:27" ht="25.5">
      <c r="A138" s="98">
        <v>900397857</v>
      </c>
      <c r="B138" s="243" t="s">
        <v>100</v>
      </c>
      <c r="C138" s="122">
        <f>+P138+Z138</f>
        <v>849.99999000000003</v>
      </c>
      <c r="D138" s="117">
        <v>14.37627</v>
      </c>
      <c r="E138" s="73">
        <v>8.1022100000000012</v>
      </c>
      <c r="F138" s="73">
        <v>116.85351000000003</v>
      </c>
      <c r="G138" s="73">
        <v>25</v>
      </c>
      <c r="H138" s="96">
        <v>50</v>
      </c>
      <c r="I138" s="96">
        <v>100</v>
      </c>
      <c r="J138" s="96">
        <v>250</v>
      </c>
      <c r="K138" s="96">
        <v>100</v>
      </c>
      <c r="L138" s="96">
        <v>185.66800000000001</v>
      </c>
      <c r="M138" s="96">
        <v>0</v>
      </c>
      <c r="N138" s="96">
        <v>0</v>
      </c>
      <c r="O138" s="100">
        <v>0</v>
      </c>
      <c r="P138" s="102">
        <f t="shared" si="63"/>
        <v>849.99999000000003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100">
        <v>0</v>
      </c>
      <c r="Z138" s="106">
        <f t="shared" si="64"/>
        <v>0</v>
      </c>
      <c r="AA138" s="8">
        <v>41153</v>
      </c>
    </row>
    <row r="139" spans="1:27">
      <c r="A139" s="98">
        <v>900615314</v>
      </c>
      <c r="B139" s="291" t="s">
        <v>138</v>
      </c>
      <c r="C139" s="122">
        <f>+P139+Z139</f>
        <v>2043.1015399999999</v>
      </c>
      <c r="D139" s="117">
        <v>0.25098999999999999</v>
      </c>
      <c r="E139" s="73">
        <v>0.46059000000000005</v>
      </c>
      <c r="F139" s="73">
        <v>0.25496000000000002</v>
      </c>
      <c r="G139" s="73">
        <v>11</v>
      </c>
      <c r="H139" s="96">
        <v>18</v>
      </c>
      <c r="I139" s="96">
        <v>31</v>
      </c>
      <c r="J139" s="96">
        <v>5</v>
      </c>
      <c r="K139" s="96">
        <v>32</v>
      </c>
      <c r="L139" s="96">
        <v>85</v>
      </c>
      <c r="M139" s="96">
        <v>35</v>
      </c>
      <c r="N139" s="96">
        <v>530</v>
      </c>
      <c r="O139" s="100">
        <v>252.03299999999999</v>
      </c>
      <c r="P139" s="102">
        <f t="shared" si="63"/>
        <v>999.99954000000002</v>
      </c>
      <c r="Q139" s="96">
        <v>20</v>
      </c>
      <c r="R139" s="96">
        <v>8.1020000000000003</v>
      </c>
      <c r="S139" s="96">
        <v>95</v>
      </c>
      <c r="T139" s="96">
        <v>100</v>
      </c>
      <c r="U139" s="96">
        <v>125</v>
      </c>
      <c r="V139" s="96">
        <v>250</v>
      </c>
      <c r="W139" s="96">
        <v>400</v>
      </c>
      <c r="X139" s="96">
        <v>20</v>
      </c>
      <c r="Y139" s="100">
        <v>25</v>
      </c>
      <c r="Z139" s="106">
        <f t="shared" si="64"/>
        <v>1043.1019999999999</v>
      </c>
      <c r="AA139" s="8">
        <v>41640</v>
      </c>
    </row>
    <row r="140" spans="1:27">
      <c r="A140" s="98">
        <v>900642439</v>
      </c>
      <c r="B140" s="291" t="s">
        <v>137</v>
      </c>
      <c r="C140" s="122">
        <f>+P140+Z140</f>
        <v>2043.1015299999999</v>
      </c>
      <c r="D140" s="117">
        <v>0</v>
      </c>
      <c r="E140" s="73">
        <v>7.6399999999999996E-2</v>
      </c>
      <c r="F140" s="73">
        <v>0.66513</v>
      </c>
      <c r="G140" s="73">
        <v>6</v>
      </c>
      <c r="H140" s="96">
        <v>25</v>
      </c>
      <c r="I140" s="96">
        <v>31</v>
      </c>
      <c r="J140" s="96">
        <v>5</v>
      </c>
      <c r="K140" s="96">
        <v>32</v>
      </c>
      <c r="L140" s="96">
        <v>85</v>
      </c>
      <c r="M140" s="96">
        <v>35</v>
      </c>
      <c r="N140" s="96">
        <v>530</v>
      </c>
      <c r="O140" s="100">
        <v>250.25800000000001</v>
      </c>
      <c r="P140" s="102">
        <f t="shared" si="63"/>
        <v>999.99953000000005</v>
      </c>
      <c r="Q140" s="96">
        <v>20</v>
      </c>
      <c r="R140" s="96">
        <v>8.1020000000000003</v>
      </c>
      <c r="S140" s="96">
        <v>95</v>
      </c>
      <c r="T140" s="96">
        <v>100</v>
      </c>
      <c r="U140" s="96">
        <v>125</v>
      </c>
      <c r="V140" s="96">
        <v>250</v>
      </c>
      <c r="W140" s="96">
        <v>400</v>
      </c>
      <c r="X140" s="96">
        <v>20</v>
      </c>
      <c r="Y140" s="100">
        <v>25</v>
      </c>
      <c r="Z140" s="106">
        <f t="shared" si="64"/>
        <v>1043.1019999999999</v>
      </c>
      <c r="AA140" s="8">
        <v>41640</v>
      </c>
    </row>
    <row r="141" spans="1:27" ht="13.5" thickBot="1">
      <c r="A141" s="244">
        <v>900692361</v>
      </c>
      <c r="B141" s="135" t="s">
        <v>75</v>
      </c>
      <c r="C141" s="147">
        <f>+P141+Z141</f>
        <v>27327.400320000001</v>
      </c>
      <c r="D141" s="144">
        <v>0</v>
      </c>
      <c r="E141" s="75">
        <v>0</v>
      </c>
      <c r="F141" s="75">
        <v>0</v>
      </c>
      <c r="G141" s="75">
        <v>6.6</v>
      </c>
      <c r="H141" s="123">
        <v>19.8</v>
      </c>
      <c r="I141" s="123">
        <v>33</v>
      </c>
      <c r="J141" s="123">
        <v>66</v>
      </c>
      <c r="K141" s="123">
        <v>132</v>
      </c>
      <c r="L141" s="123">
        <v>187.52184000000003</v>
      </c>
      <c r="M141" s="123">
        <v>204.6</v>
      </c>
      <c r="N141" s="123">
        <v>178.2</v>
      </c>
      <c r="O141" s="124">
        <v>172.27847999999997</v>
      </c>
      <c r="P141" s="125">
        <f t="shared" si="63"/>
        <v>1000.0003199999999</v>
      </c>
      <c r="Q141" s="123">
        <v>270.60000000000002</v>
      </c>
      <c r="R141" s="123">
        <v>336.6</v>
      </c>
      <c r="S141" s="123">
        <v>462</v>
      </c>
      <c r="T141" s="123">
        <v>396</v>
      </c>
      <c r="U141" s="123">
        <v>343.2</v>
      </c>
      <c r="V141" s="123">
        <v>2442</v>
      </c>
      <c r="W141" s="123">
        <v>1980</v>
      </c>
      <c r="X141" s="123">
        <v>18513</v>
      </c>
      <c r="Y141" s="124">
        <v>1584</v>
      </c>
      <c r="Z141" s="137">
        <f t="shared" si="64"/>
        <v>26327.4</v>
      </c>
      <c r="AA141" s="138">
        <v>42705</v>
      </c>
    </row>
    <row r="142" spans="1:27" ht="13.5" thickBot="1">
      <c r="A142" s="180" t="s">
        <v>76</v>
      </c>
      <c r="B142" s="139"/>
      <c r="C142" s="148">
        <f t="shared" ref="C142" si="65">+P142+Z142</f>
        <v>34913.603080000001</v>
      </c>
      <c r="D142" s="146">
        <f t="shared" ref="D142:O142" si="66">SUM(D137:D141)</f>
        <v>256.48018999999999</v>
      </c>
      <c r="E142" s="127">
        <f t="shared" si="66"/>
        <v>17.212300000000003</v>
      </c>
      <c r="F142" s="127">
        <f t="shared" si="66"/>
        <v>1201.572270000001</v>
      </c>
      <c r="G142" s="127">
        <f t="shared" si="66"/>
        <v>73.599999999999994</v>
      </c>
      <c r="H142" s="128">
        <f t="shared" si="66"/>
        <v>137.80000000000001</v>
      </c>
      <c r="I142" s="128">
        <f t="shared" si="66"/>
        <v>495</v>
      </c>
      <c r="J142" s="128">
        <f t="shared" si="66"/>
        <v>676</v>
      </c>
      <c r="K142" s="128">
        <f t="shared" si="66"/>
        <v>646</v>
      </c>
      <c r="L142" s="128">
        <f t="shared" si="66"/>
        <v>808.96483999999998</v>
      </c>
      <c r="M142" s="128">
        <f t="shared" si="66"/>
        <v>274.60000000000002</v>
      </c>
      <c r="N142" s="128">
        <f t="shared" si="66"/>
        <v>1238.2</v>
      </c>
      <c r="O142" s="129">
        <f t="shared" si="66"/>
        <v>674.56948</v>
      </c>
      <c r="P142" s="130">
        <f t="shared" si="63"/>
        <v>6499.9990800000005</v>
      </c>
      <c r="Q142" s="128">
        <f t="shared" ref="Q142:Y142" si="67">SUM(Q137:Q141)</f>
        <v>310.60000000000002</v>
      </c>
      <c r="R142" s="128">
        <f t="shared" si="67"/>
        <v>352.80400000000003</v>
      </c>
      <c r="S142" s="128">
        <f t="shared" si="67"/>
        <v>652</v>
      </c>
      <c r="T142" s="128">
        <f t="shared" si="67"/>
        <v>596</v>
      </c>
      <c r="U142" s="128">
        <f t="shared" si="67"/>
        <v>593.20000000000005</v>
      </c>
      <c r="V142" s="128">
        <f t="shared" si="67"/>
        <v>2942</v>
      </c>
      <c r="W142" s="128">
        <f t="shared" si="67"/>
        <v>2780</v>
      </c>
      <c r="X142" s="128">
        <f t="shared" si="67"/>
        <v>18553</v>
      </c>
      <c r="Y142" s="129">
        <f t="shared" si="67"/>
        <v>1634</v>
      </c>
      <c r="Z142" s="141">
        <f t="shared" si="64"/>
        <v>28413.603999999999</v>
      </c>
      <c r="AA142" s="152"/>
    </row>
    <row r="143" spans="1:27">
      <c r="Z143" s="1"/>
      <c r="AA143" s="175"/>
    </row>
    <row r="144" spans="1:27" ht="13.5" thickBot="1">
      <c r="A144" s="95">
        <v>7091</v>
      </c>
      <c r="B144" s="95" t="s">
        <v>78</v>
      </c>
      <c r="Z144" s="1"/>
      <c r="AA144" s="175"/>
    </row>
    <row r="145" spans="1:28">
      <c r="A145" s="238">
        <v>900295954</v>
      </c>
      <c r="B145" s="255" t="s">
        <v>79</v>
      </c>
      <c r="C145" s="120">
        <f>+P145+Z145</f>
        <v>1756.6467710526313</v>
      </c>
      <c r="D145" s="90">
        <v>34.869999999999997</v>
      </c>
      <c r="E145" s="90">
        <v>63.91</v>
      </c>
      <c r="F145" s="90">
        <v>53.976849999999999</v>
      </c>
      <c r="G145" s="90">
        <v>111.44</v>
      </c>
      <c r="H145" s="97">
        <v>100.09</v>
      </c>
      <c r="I145" s="97">
        <v>117.27</v>
      </c>
      <c r="J145" s="97">
        <v>128.88</v>
      </c>
      <c r="K145" s="97">
        <v>142.11000000000001</v>
      </c>
      <c r="L145" s="97">
        <v>110.82</v>
      </c>
      <c r="M145" s="97">
        <v>115.56</v>
      </c>
      <c r="N145" s="97">
        <v>111.79</v>
      </c>
      <c r="O145" s="99">
        <v>159.34</v>
      </c>
      <c r="P145" s="101">
        <f>SUM(D145:O145)</f>
        <v>1250.0568499999997</v>
      </c>
      <c r="Q145" s="97">
        <v>26.491277777777775</v>
      </c>
      <c r="R145" s="97">
        <v>27.714961988304093</v>
      </c>
      <c r="S145" s="97">
        <v>28.693909356725143</v>
      </c>
      <c r="T145" s="97">
        <v>25.2478567251462</v>
      </c>
      <c r="U145" s="97">
        <v>25.2478567251462</v>
      </c>
      <c r="V145" s="97">
        <v>25.2478567251462</v>
      </c>
      <c r="W145" s="97">
        <v>25.982067251461988</v>
      </c>
      <c r="X145" s="97">
        <v>285.98206725146196</v>
      </c>
      <c r="Y145" s="99">
        <v>35.982067251461984</v>
      </c>
      <c r="Z145" s="105">
        <f>SUM(Q145:Y145)</f>
        <v>506.58992105263155</v>
      </c>
      <c r="AA145" s="107">
        <v>42278</v>
      </c>
    </row>
    <row r="146" spans="1:28">
      <c r="A146" s="98">
        <v>900473253</v>
      </c>
      <c r="B146" s="181" t="s">
        <v>87</v>
      </c>
      <c r="C146" s="119">
        <f>+P146+Z146</f>
        <v>10440.619999999999</v>
      </c>
      <c r="D146" s="73">
        <v>106.82611</v>
      </c>
      <c r="E146" s="73">
        <v>170.56097</v>
      </c>
      <c r="F146" s="73">
        <v>276.51742999999999</v>
      </c>
      <c r="G146" s="73">
        <v>330.7</v>
      </c>
      <c r="H146" s="96">
        <v>532.59500000000003</v>
      </c>
      <c r="I146" s="96">
        <v>501.21600000000001</v>
      </c>
      <c r="J146" s="96">
        <v>507.81599999999997</v>
      </c>
      <c r="K146" s="96">
        <v>507.81599999999997</v>
      </c>
      <c r="L146" s="96">
        <v>507.81599999999997</v>
      </c>
      <c r="M146" s="96">
        <v>534.51599999999996</v>
      </c>
      <c r="N146" s="96">
        <v>534.51599999999996</v>
      </c>
      <c r="O146" s="100">
        <v>489.10449</v>
      </c>
      <c r="P146" s="102">
        <f>SUM(D146:O146)</f>
        <v>4999.9999999999991</v>
      </c>
      <c r="Q146" s="96">
        <v>643.66999999999996</v>
      </c>
      <c r="R146" s="96">
        <v>628.29</v>
      </c>
      <c r="S146" s="96">
        <v>634.94000000000005</v>
      </c>
      <c r="T146" s="96">
        <v>570.94000000000005</v>
      </c>
      <c r="U146" s="96">
        <v>565.94000000000005</v>
      </c>
      <c r="V146" s="96">
        <v>565.94000000000005</v>
      </c>
      <c r="W146" s="96">
        <v>610.29999999999995</v>
      </c>
      <c r="X146" s="96">
        <v>610.29999999999995</v>
      </c>
      <c r="Y146" s="100">
        <v>610.29999999999995</v>
      </c>
      <c r="Z146" s="106">
        <f>SUM(Q146:Y146)</f>
        <v>5440.6200000000008</v>
      </c>
      <c r="AA146" s="8">
        <v>43191</v>
      </c>
    </row>
    <row r="147" spans="1:28" ht="13.5" thickBot="1">
      <c r="A147" s="244">
        <v>900704372</v>
      </c>
      <c r="B147" s="256" t="s">
        <v>80</v>
      </c>
      <c r="C147" s="153">
        <f>+P147+Z147</f>
        <v>486</v>
      </c>
      <c r="D147" s="75">
        <v>0</v>
      </c>
      <c r="E147" s="75">
        <v>0</v>
      </c>
      <c r="F147" s="75">
        <v>0</v>
      </c>
      <c r="G147" s="75">
        <v>0</v>
      </c>
      <c r="H147" s="123">
        <v>0</v>
      </c>
      <c r="I147" s="123">
        <v>0</v>
      </c>
      <c r="J147" s="123">
        <v>0</v>
      </c>
      <c r="K147" s="123">
        <v>0</v>
      </c>
      <c r="L147" s="123">
        <v>0</v>
      </c>
      <c r="M147" s="123">
        <v>0</v>
      </c>
      <c r="N147" s="123">
        <v>0</v>
      </c>
      <c r="O147" s="124">
        <v>0</v>
      </c>
      <c r="P147" s="125">
        <f>SUM(D147:O147)</f>
        <v>0</v>
      </c>
      <c r="Q147" s="123">
        <v>33</v>
      </c>
      <c r="R147" s="123">
        <v>46</v>
      </c>
      <c r="S147" s="123">
        <v>56</v>
      </c>
      <c r="T147" s="123">
        <v>53</v>
      </c>
      <c r="U147" s="123">
        <v>54</v>
      </c>
      <c r="V147" s="123">
        <v>54</v>
      </c>
      <c r="W147" s="123">
        <v>66</v>
      </c>
      <c r="X147" s="123">
        <v>66</v>
      </c>
      <c r="Y147" s="124">
        <v>58</v>
      </c>
      <c r="Z147" s="137">
        <f>SUM(Q147:Y147)</f>
        <v>486</v>
      </c>
      <c r="AA147" s="138">
        <v>42278</v>
      </c>
    </row>
    <row r="148" spans="1:28" ht="13.5" thickBot="1">
      <c r="A148" s="180" t="s">
        <v>81</v>
      </c>
      <c r="B148" s="257"/>
      <c r="C148" s="154">
        <f t="shared" ref="C148" si="68">+P148+Z148</f>
        <v>12683.266771052629</v>
      </c>
      <c r="D148" s="127">
        <f t="shared" ref="D148:O148" si="69">SUM(D145:D147)</f>
        <v>141.69611</v>
      </c>
      <c r="E148" s="127">
        <f t="shared" si="69"/>
        <v>234.47096999999999</v>
      </c>
      <c r="F148" s="127">
        <f t="shared" si="69"/>
        <v>330.49428</v>
      </c>
      <c r="G148" s="127">
        <f t="shared" si="69"/>
        <v>442.14</v>
      </c>
      <c r="H148" s="128">
        <f t="shared" si="69"/>
        <v>632.68500000000006</v>
      </c>
      <c r="I148" s="128">
        <f t="shared" si="69"/>
        <v>618.48599999999999</v>
      </c>
      <c r="J148" s="128">
        <f t="shared" si="69"/>
        <v>636.69599999999991</v>
      </c>
      <c r="K148" s="128">
        <f t="shared" si="69"/>
        <v>649.92599999999993</v>
      </c>
      <c r="L148" s="128">
        <f t="shared" si="69"/>
        <v>618.63599999999997</v>
      </c>
      <c r="M148" s="128">
        <f t="shared" si="69"/>
        <v>650.07600000000002</v>
      </c>
      <c r="N148" s="128">
        <f t="shared" si="69"/>
        <v>646.30599999999993</v>
      </c>
      <c r="O148" s="129">
        <f t="shared" si="69"/>
        <v>648.44448999999997</v>
      </c>
      <c r="P148" s="130">
        <f>SUM(D148:O148)</f>
        <v>6250.056849999999</v>
      </c>
      <c r="Q148" s="128">
        <f t="shared" ref="Q148:Y148" si="70">SUM(Q145:Q147)</f>
        <v>703.16127777777774</v>
      </c>
      <c r="R148" s="128">
        <f t="shared" si="70"/>
        <v>702.0049619883041</v>
      </c>
      <c r="S148" s="128">
        <f t="shared" si="70"/>
        <v>719.63390935672521</v>
      </c>
      <c r="T148" s="128">
        <f t="shared" si="70"/>
        <v>649.18785672514628</v>
      </c>
      <c r="U148" s="128">
        <f t="shared" si="70"/>
        <v>645.18785672514628</v>
      </c>
      <c r="V148" s="128">
        <f t="shared" si="70"/>
        <v>645.18785672514628</v>
      </c>
      <c r="W148" s="128">
        <f t="shared" si="70"/>
        <v>702.28206725146197</v>
      </c>
      <c r="X148" s="128">
        <f t="shared" si="70"/>
        <v>962.28206725146197</v>
      </c>
      <c r="Y148" s="129">
        <f t="shared" si="70"/>
        <v>704.28206725146197</v>
      </c>
      <c r="Z148" s="141">
        <f>SUM(Q148:Y148)</f>
        <v>6433.2099210526303</v>
      </c>
      <c r="AA148" s="142"/>
    </row>
    <row r="150" spans="1:28" ht="13.5" thickBot="1">
      <c r="A150" s="95">
        <v>6420</v>
      </c>
      <c r="B150" s="95" t="s">
        <v>82</v>
      </c>
    </row>
    <row r="151" spans="1:28">
      <c r="A151" s="238">
        <v>800062511</v>
      </c>
      <c r="B151" s="239" t="s">
        <v>83</v>
      </c>
      <c r="C151" s="156">
        <f>+P151+Z151</f>
        <v>15665.463810000001</v>
      </c>
      <c r="D151" s="155">
        <v>247.155</v>
      </c>
      <c r="E151" s="90">
        <v>325.89699999999999</v>
      </c>
      <c r="F151" s="90">
        <v>562.18328300000007</v>
      </c>
      <c r="G151" s="90">
        <v>811.507745</v>
      </c>
      <c r="H151" s="97">
        <v>606.90264500000001</v>
      </c>
      <c r="I151" s="97">
        <v>678.38408300000003</v>
      </c>
      <c r="J151" s="97">
        <v>783.25028299999997</v>
      </c>
      <c r="K151" s="97">
        <v>780.96828300000004</v>
      </c>
      <c r="L151" s="97">
        <v>731.08808299999998</v>
      </c>
      <c r="M151" s="97">
        <v>774.16308300000003</v>
      </c>
      <c r="N151" s="97">
        <v>762.932816</v>
      </c>
      <c r="O151" s="99">
        <v>935.56721599999992</v>
      </c>
      <c r="P151" s="160">
        <f>SUM(D151:O151)</f>
        <v>7999.9995199999994</v>
      </c>
      <c r="Q151" s="97">
        <v>931.47910000000002</v>
      </c>
      <c r="R151" s="97">
        <v>972.77909</v>
      </c>
      <c r="S151" s="97">
        <v>1144.3791000000001</v>
      </c>
      <c r="T151" s="97">
        <v>781.74090000000001</v>
      </c>
      <c r="U151" s="97">
        <v>775.3741</v>
      </c>
      <c r="V151" s="97">
        <v>774.3741</v>
      </c>
      <c r="W151" s="97">
        <v>762.39049999999997</v>
      </c>
      <c r="X151" s="97">
        <v>756.47370000000001</v>
      </c>
      <c r="Y151" s="99">
        <v>766.47370000000001</v>
      </c>
      <c r="Z151" s="162">
        <f>SUM(Q151:Y151)</f>
        <v>7665.4642900000017</v>
      </c>
      <c r="AA151" s="107">
        <v>43070</v>
      </c>
    </row>
    <row r="152" spans="1:28" ht="51.75" thickBot="1">
      <c r="A152" s="244">
        <v>900463423</v>
      </c>
      <c r="B152" s="135" t="s">
        <v>101</v>
      </c>
      <c r="C152" s="157">
        <f>+P152+Z152</f>
        <v>0</v>
      </c>
      <c r="D152" s="158">
        <v>0</v>
      </c>
      <c r="E152" s="75">
        <v>0</v>
      </c>
      <c r="F152" s="75">
        <v>0</v>
      </c>
      <c r="G152" s="75">
        <v>0</v>
      </c>
      <c r="H152" s="123">
        <v>0</v>
      </c>
      <c r="I152" s="123">
        <v>0</v>
      </c>
      <c r="J152" s="123">
        <v>0</v>
      </c>
      <c r="K152" s="123">
        <v>0</v>
      </c>
      <c r="L152" s="123">
        <v>0</v>
      </c>
      <c r="M152" s="123">
        <v>0</v>
      </c>
      <c r="N152" s="123">
        <v>0</v>
      </c>
      <c r="O152" s="124">
        <v>0</v>
      </c>
      <c r="P152" s="161">
        <f>SUM(D152:O152)</f>
        <v>0</v>
      </c>
      <c r="Q152" s="123">
        <v>0</v>
      </c>
      <c r="R152" s="123">
        <v>0</v>
      </c>
      <c r="S152" s="123">
        <v>0</v>
      </c>
      <c r="T152" s="123">
        <v>0</v>
      </c>
      <c r="U152" s="123">
        <v>0</v>
      </c>
      <c r="V152" s="123">
        <v>0</v>
      </c>
      <c r="W152" s="123">
        <v>0</v>
      </c>
      <c r="X152" s="123">
        <v>0</v>
      </c>
      <c r="Y152" s="124">
        <v>0</v>
      </c>
      <c r="Z152" s="163">
        <f>SUM(Q152:Y152)</f>
        <v>0</v>
      </c>
      <c r="AA152" s="138">
        <v>43070</v>
      </c>
    </row>
    <row r="153" spans="1:28" ht="13.5" thickBot="1">
      <c r="A153" s="180" t="s">
        <v>84</v>
      </c>
      <c r="B153" s="246"/>
      <c r="C153" s="159">
        <f t="shared" ref="C153" si="71">+P153+Z153</f>
        <v>15665.463810000001</v>
      </c>
      <c r="D153" s="258">
        <f t="shared" ref="D153:O153" si="72">SUM(D151:D152)</f>
        <v>247.155</v>
      </c>
      <c r="E153" s="127">
        <f t="shared" si="72"/>
        <v>325.89699999999999</v>
      </c>
      <c r="F153" s="127">
        <f t="shared" si="72"/>
        <v>562.18328300000007</v>
      </c>
      <c r="G153" s="127">
        <f t="shared" si="72"/>
        <v>811.507745</v>
      </c>
      <c r="H153" s="128">
        <f t="shared" si="72"/>
        <v>606.90264500000001</v>
      </c>
      <c r="I153" s="128">
        <f t="shared" si="72"/>
        <v>678.38408300000003</v>
      </c>
      <c r="J153" s="128">
        <f t="shared" si="72"/>
        <v>783.25028299999997</v>
      </c>
      <c r="K153" s="128">
        <f t="shared" si="72"/>
        <v>780.96828300000004</v>
      </c>
      <c r="L153" s="128">
        <f t="shared" si="72"/>
        <v>731.08808299999998</v>
      </c>
      <c r="M153" s="128">
        <f t="shared" si="72"/>
        <v>774.16308300000003</v>
      </c>
      <c r="N153" s="128">
        <f t="shared" si="72"/>
        <v>762.932816</v>
      </c>
      <c r="O153" s="129">
        <f t="shared" si="72"/>
        <v>935.56721599999992</v>
      </c>
      <c r="P153" s="130">
        <f>SUM(D153:O153)</f>
        <v>7999.9995199999994</v>
      </c>
      <c r="Q153" s="128">
        <f t="shared" ref="Q153:Y153" si="73">SUM(Q151:Q152)</f>
        <v>931.47910000000002</v>
      </c>
      <c r="R153" s="128">
        <f t="shared" si="73"/>
        <v>972.77909</v>
      </c>
      <c r="S153" s="128">
        <f t="shared" si="73"/>
        <v>1144.3791000000001</v>
      </c>
      <c r="T153" s="128">
        <f t="shared" si="73"/>
        <v>781.74090000000001</v>
      </c>
      <c r="U153" s="128">
        <f t="shared" si="73"/>
        <v>775.3741</v>
      </c>
      <c r="V153" s="128">
        <f t="shared" si="73"/>
        <v>774.3741</v>
      </c>
      <c r="W153" s="128">
        <f t="shared" si="73"/>
        <v>762.39049999999997</v>
      </c>
      <c r="X153" s="128">
        <f t="shared" si="73"/>
        <v>756.47370000000001</v>
      </c>
      <c r="Y153" s="129">
        <f t="shared" si="73"/>
        <v>766.47370000000001</v>
      </c>
      <c r="Z153" s="130">
        <f>SUM(Q153:Y153)</f>
        <v>7665.4642900000017</v>
      </c>
      <c r="AA153" s="259"/>
    </row>
    <row r="154" spans="1:28" ht="13.5" thickBot="1">
      <c r="A154" s="260"/>
      <c r="B154" s="4"/>
      <c r="C154" s="31"/>
      <c r="D154" s="31"/>
      <c r="E154" s="31"/>
      <c r="F154" s="31"/>
      <c r="G154" s="54"/>
      <c r="H154" s="54"/>
      <c r="I154" s="54"/>
      <c r="J154" s="54"/>
      <c r="K154" s="54"/>
      <c r="L154" s="54"/>
      <c r="M154" s="54"/>
      <c r="N154" s="54"/>
      <c r="O154" s="54"/>
      <c r="P154" s="35"/>
      <c r="Q154" s="54"/>
      <c r="R154" s="54"/>
      <c r="S154" s="54"/>
      <c r="T154" s="54"/>
      <c r="U154" s="54"/>
      <c r="V154" s="54"/>
      <c r="W154" s="54"/>
      <c r="X154" s="54"/>
      <c r="Y154" s="54"/>
      <c r="Z154" s="31"/>
      <c r="AA154" s="10"/>
      <c r="AB154" s="267"/>
    </row>
    <row r="155" spans="1:28" ht="13.5" thickBot="1">
      <c r="A155" s="176" t="s">
        <v>17</v>
      </c>
      <c r="B155" s="191"/>
      <c r="C155" s="30">
        <f t="shared" ref="C155:Z155" si="74">+C153+C148+C142+C134+C129+C121+C117+C108+C19</f>
        <v>1678624.3859222378</v>
      </c>
      <c r="D155" s="195">
        <f t="shared" si="74"/>
        <v>37178.906489999994</v>
      </c>
      <c r="E155" s="194">
        <f t="shared" si="74"/>
        <v>65200.473599999998</v>
      </c>
      <c r="F155" s="194">
        <f t="shared" si="74"/>
        <v>77333.491343000002</v>
      </c>
      <c r="G155" s="194">
        <f t="shared" si="74"/>
        <v>62792.534364609448</v>
      </c>
      <c r="H155" s="194">
        <f t="shared" si="74"/>
        <v>106920.84157076565</v>
      </c>
      <c r="I155" s="194">
        <f t="shared" si="74"/>
        <v>90238.168060830547</v>
      </c>
      <c r="J155" s="194">
        <f t="shared" si="74"/>
        <v>69231.965115845582</v>
      </c>
      <c r="K155" s="194">
        <f t="shared" si="74"/>
        <v>93782.039852355447</v>
      </c>
      <c r="L155" s="194">
        <f t="shared" si="74"/>
        <v>105220.10625512036</v>
      </c>
      <c r="M155" s="194">
        <f t="shared" si="74"/>
        <v>103541.3941671676</v>
      </c>
      <c r="N155" s="194">
        <f t="shared" si="74"/>
        <v>106873.52926019781</v>
      </c>
      <c r="O155" s="29">
        <f t="shared" si="74"/>
        <v>107190.97919280594</v>
      </c>
      <c r="P155" s="30">
        <f t="shared" si="74"/>
        <v>1025504.4292726985</v>
      </c>
      <c r="Q155" s="195">
        <f t="shared" si="74"/>
        <v>99923.821075697531</v>
      </c>
      <c r="R155" s="194">
        <f t="shared" si="74"/>
        <v>86442.859920680232</v>
      </c>
      <c r="S155" s="194">
        <f t="shared" si="74"/>
        <v>85123.507201623113</v>
      </c>
      <c r="T155" s="194">
        <f t="shared" si="74"/>
        <v>79337.855955318708</v>
      </c>
      <c r="U155" s="194">
        <f t="shared" si="74"/>
        <v>74417.827275755757</v>
      </c>
      <c r="V155" s="194">
        <f t="shared" si="74"/>
        <v>66027.953609855234</v>
      </c>
      <c r="W155" s="194">
        <f t="shared" si="74"/>
        <v>56671.107006767314</v>
      </c>
      <c r="X155" s="194">
        <f t="shared" si="74"/>
        <v>62904.084818067655</v>
      </c>
      <c r="Y155" s="29">
        <f t="shared" si="74"/>
        <v>42270.939785773924</v>
      </c>
      <c r="Z155" s="30">
        <f t="shared" si="74"/>
        <v>653119.95664953941</v>
      </c>
      <c r="AA155" s="272"/>
      <c r="AB155" s="265"/>
    </row>
  </sheetData>
  <sortState ref="A152:AA153">
    <sortCondition ref="A152:A153"/>
  </sortState>
  <phoneticPr fontId="10" type="noConversion"/>
  <printOptions horizontalCentered="1"/>
  <pageMargins left="0.25" right="0.25" top="1.25" bottom="1" header="0.5" footer="0"/>
  <pageSetup scale="50" fitToWidth="2" fitToHeight="4" pageOrder="overThenDown" orientation="landscape" r:id="rId1"/>
  <headerFooter alignWithMargins="0">
    <oddHeader>&amp;C
FERC CWIP Capital Expenditure Plan
(excl CPUC related) in $000
(Install work only, excludes allocated corporate overheads such as P and B, A and G)&amp;RAttachment 4
WP-Schedule 10-FERC CWIP Capital expenditure Plan
&amp;P of &amp;N</oddHeader>
  </headerFooter>
  <rowBreaks count="3" manualBreakCount="3">
    <brk id="35" max="26" man="1"/>
    <brk id="73" max="26" man="1"/>
    <brk id="117" max="26" man="1"/>
  </rowBreaks>
  <colBreaks count="1" manualBreakCount="1">
    <brk id="16" max="155" man="1"/>
  </colBreaks>
  <ignoredErrors>
    <ignoredError sqref="AA107:AA108" evalError="1"/>
    <ignoredError sqref="P117 P121 P129 P134 P142 P148 P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FERC CWIP Capex (Jan'12-Sep'13)</vt:lpstr>
      <vt:lpstr>'FERC CWIP Capex (Jan''12-Sep''13)'!Print_Area</vt:lpstr>
      <vt:lpstr>'FERC CWIP Capex (Jan''12-Sep''13)'!Print_Titles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2012-05-16T20:54:44Z</dcterms:created>
  <dcterms:modified xsi:type="dcterms:W3CDTF">2012-09-13T03:08:49Z</dcterms:modified>
</cp:coreProperties>
</file>