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20" yWindow="-135" windowWidth="10830" windowHeight="4260" tabRatio="901"/>
  </bookViews>
  <sheets>
    <sheet name="Plant Total by Account" sheetId="109" r:id="rId1"/>
    <sheet name="High-Low Volt Summary" sheetId="115" r:id="rId2"/>
    <sheet name="High_Low Voltage Mix Summary" sheetId="114" r:id="rId3"/>
    <sheet name="Prior Year Comparison" sheetId="134" r:id="rId4"/>
    <sheet name="Assumptions" sheetId="133" r:id="rId5"/>
    <sheet name="TS by Location" sheetId="110" r:id="rId6"/>
    <sheet name="ISO w_System Splits" sheetId="131" r:id="rId7"/>
    <sheet name="DS by Location" sheetId="108" r:id="rId8"/>
    <sheet name="Mix Substation Location Summary" sheetId="81" r:id="rId9"/>
    <sheet name="TL COST SUMMARY" sheetId="132" r:id="rId10"/>
    <sheet name="Trans Line Reconciliation" sheetId="116" r:id="rId11"/>
    <sheet name="Antelope Bailey Split BA" sheetId="123" r:id="rId12"/>
  </sheets>
  <externalReferences>
    <externalReference r:id="rId13"/>
  </externalReferences>
  <definedNames>
    <definedName name="_Fill" localSheetId="11" hidden="1">#REF!</definedName>
    <definedName name="_Fill" hidden="1">#REF!</definedName>
    <definedName name="_xlnm._FilterDatabase" localSheetId="11" hidden="1">'Antelope Bailey Split BA'!$A$6:$BP$29</definedName>
    <definedName name="_xlnm._FilterDatabase" localSheetId="7" hidden="1">'DS by Location'!$A$9:$R$861</definedName>
    <definedName name="_xlnm._FilterDatabase" localSheetId="6" hidden="1">'ISO w_System Splits'!$A$7:$Q$619</definedName>
    <definedName name="_xlnm._FilterDatabase" localSheetId="8" hidden="1">'Mix Substation Location Summary'!$A$3:$Z$108</definedName>
    <definedName name="_xlnm._FilterDatabase" localSheetId="9" hidden="1">'TL COST SUMMARY'!$A$7:$X$553</definedName>
    <definedName name="_xlnm._FilterDatabase" localSheetId="10" hidden="1">'Trans Line Reconciliation'!$A$4:$AV$84</definedName>
    <definedName name="_xlnm._FilterDatabase" localSheetId="5" hidden="1">'TS by Location'!$A$9:$R$449</definedName>
    <definedName name="_Key2" localSheetId="11" hidden="1">[1]ACCT_106!#REF!</definedName>
    <definedName name="_Key2" hidden="1">[1]ACCT_106!#REF!</definedName>
    <definedName name="_Order1" hidden="1">255</definedName>
    <definedName name="_Order2" hidden="1">255</definedName>
    <definedName name="_xlnm.Print_Area" localSheetId="11">'Antelope Bailey Split BA'!$A$1:$BP$28</definedName>
    <definedName name="_xlnm.Print_Area" localSheetId="7">'DS by Location'!$A$1:$M$867</definedName>
    <definedName name="_xlnm.Print_Area" localSheetId="2">'High_Low Voltage Mix Summary'!$A$2:$H$13</definedName>
    <definedName name="_xlnm.Print_Area" localSheetId="1">'High-Low Volt Summary'!$B$1:$K$50</definedName>
    <definedName name="_xlnm.Print_Area" localSheetId="6">'ISO w_System Splits'!$B$9:$Q$619</definedName>
    <definedName name="_xlnm.Print_Area" localSheetId="8">'Mix Substation Location Summary'!$C$4:$Z$107</definedName>
    <definedName name="_xlnm.Print_Area" localSheetId="0">'Plant Total by Account'!$A$1:$E$39</definedName>
    <definedName name="_xlnm.Print_Area" localSheetId="3">'Prior Year Comparison'!$A$1:$G$43</definedName>
    <definedName name="_xlnm.Print_Area" localSheetId="9">'TL COST SUMMARY'!$A$1:$P$553</definedName>
    <definedName name="_xlnm.Print_Area" localSheetId="5">'TS by Location'!$A$1:$M$484</definedName>
    <definedName name="_xlnm.Print_Titles" localSheetId="11">'Antelope Bailey Split BA'!$A:$B,'Antelope Bailey Split BA'!$1:$6</definedName>
    <definedName name="_xlnm.Print_Titles" localSheetId="7">'DS by Location'!$A:$C,'DS by Location'!$1:$8</definedName>
    <definedName name="_xlnm.Print_Titles" localSheetId="6">'ISO w_System Splits'!$1:$8</definedName>
    <definedName name="_xlnm.Print_Titles" localSheetId="8">'Mix Substation Location Summary'!$A:$B,'Mix Substation Location Summary'!$1:$3</definedName>
    <definedName name="_xlnm.Print_Titles" localSheetId="9">'TL COST SUMMARY'!$A:$B,'TL COST SUMMARY'!$1:$7</definedName>
    <definedName name="_xlnm.Print_Titles" localSheetId="10">'Trans Line Reconciliation'!$A:$B,'Trans Line Reconciliation'!$2:$4</definedName>
    <definedName name="_xlnm.Print_Titles" localSheetId="5">'TS by Location'!$A:$C,'TS by Location'!$1:$8</definedName>
  </definedNames>
  <calcPr calcId="145621"/>
</workbook>
</file>

<file path=xl/calcChain.xml><?xml version="1.0" encoding="utf-8"?>
<calcChain xmlns="http://schemas.openxmlformats.org/spreadsheetml/2006/main">
  <c r="I619" i="131" l="1"/>
  <c r="J619" i="131"/>
  <c r="K619" i="131"/>
  <c r="L619" i="131"/>
  <c r="M619" i="131"/>
  <c r="N619" i="131"/>
  <c r="O619" i="131"/>
  <c r="P619" i="131"/>
  <c r="Q619" i="131"/>
  <c r="H619" i="131"/>
  <c r="E13" i="114" l="1"/>
  <c r="F13" i="114"/>
  <c r="G13" i="114"/>
  <c r="H13" i="114"/>
  <c r="D13" i="114"/>
  <c r="H9" i="114" l="1"/>
  <c r="K27" i="115"/>
  <c r="F11" i="114"/>
  <c r="I29" i="115"/>
  <c r="F9" i="114"/>
  <c r="I27" i="115" s="1"/>
  <c r="Q465" i="110" l="1"/>
  <c r="G465" i="110"/>
  <c r="G291" i="110"/>
  <c r="M339" i="110"/>
  <c r="L339" i="110"/>
  <c r="K339" i="110"/>
  <c r="J339" i="110"/>
  <c r="I339" i="110"/>
  <c r="H339" i="110"/>
  <c r="M335" i="110"/>
  <c r="L335" i="110"/>
  <c r="K335" i="110"/>
  <c r="J335" i="110"/>
  <c r="I335" i="110"/>
  <c r="H335" i="110"/>
  <c r="D16" i="133"/>
  <c r="D18" i="133"/>
  <c r="D15" i="133"/>
  <c r="D36" i="133"/>
  <c r="D34" i="133"/>
  <c r="D22" i="133"/>
  <c r="D17" i="133"/>
  <c r="D32" i="133"/>
  <c r="D28" i="133"/>
  <c r="D30" i="133"/>
  <c r="D21" i="133"/>
  <c r="D20" i="133"/>
  <c r="D23" i="133"/>
  <c r="D26" i="133"/>
  <c r="D29" i="133"/>
  <c r="D31" i="133"/>
  <c r="D25" i="133"/>
  <c r="D24" i="133"/>
  <c r="D33" i="133"/>
  <c r="D35" i="133"/>
  <c r="D27" i="133"/>
  <c r="D19" i="133"/>
  <c r="L92" i="110"/>
  <c r="M92" i="110"/>
  <c r="K92" i="110"/>
  <c r="BH7" i="123"/>
  <c r="AX7" i="123"/>
  <c r="AY7" i="123"/>
  <c r="AZ7" i="123"/>
  <c r="BA7" i="123"/>
  <c r="BB7" i="123"/>
  <c r="BC7" i="123"/>
  <c r="BI7" i="123"/>
  <c r="BJ7" i="123"/>
  <c r="BK7" i="123"/>
  <c r="BL7" i="123"/>
  <c r="BM7" i="123"/>
  <c r="AX27" i="123"/>
  <c r="AY27" i="123"/>
  <c r="AZ27" i="123"/>
  <c r="BA27" i="123"/>
  <c r="BB27" i="123"/>
  <c r="BC27" i="123"/>
  <c r="BH27" i="123"/>
  <c r="BI27" i="123"/>
  <c r="BJ27" i="123"/>
  <c r="BK27" i="123"/>
  <c r="BL27" i="123"/>
  <c r="BM27" i="123"/>
  <c r="L27" i="123"/>
  <c r="M27" i="123"/>
  <c r="BE27" i="123" s="1"/>
  <c r="N27" i="123"/>
  <c r="BF27" i="123" s="1"/>
  <c r="V27" i="123"/>
  <c r="BN27" i="123" s="1"/>
  <c r="W27" i="123"/>
  <c r="BO27" i="123" s="1"/>
  <c r="X27" i="123"/>
  <c r="BP27" i="123" s="1"/>
  <c r="Q859" i="108"/>
  <c r="R859" i="108" s="1"/>
  <c r="Q473" i="110"/>
  <c r="Q472" i="110"/>
  <c r="Q471" i="110"/>
  <c r="R471" i="110" s="1"/>
  <c r="Q470" i="110"/>
  <c r="Q469" i="110"/>
  <c r="Q468" i="110"/>
  <c r="R468" i="110" s="1"/>
  <c r="Q467" i="110"/>
  <c r="R467" i="110" s="1"/>
  <c r="Q466" i="110"/>
  <c r="Q464" i="110"/>
  <c r="Q463" i="110"/>
  <c r="Q462" i="110"/>
  <c r="Q461" i="110"/>
  <c r="R461" i="110" s="1"/>
  <c r="Q460" i="110"/>
  <c r="Q459" i="110"/>
  <c r="Q458" i="110"/>
  <c r="Q457" i="110"/>
  <c r="Q456" i="110"/>
  <c r="Q455" i="110"/>
  <c r="R455" i="110" s="1"/>
  <c r="Q454" i="110"/>
  <c r="Q453" i="110"/>
  <c r="Q448" i="110"/>
  <c r="R448" i="110" s="1"/>
  <c r="Q447" i="110"/>
  <c r="R447" i="110" s="1"/>
  <c r="Q446" i="110"/>
  <c r="R446" i="110" s="1"/>
  <c r="Q445" i="110"/>
  <c r="R445" i="110" s="1"/>
  <c r="Q444" i="110"/>
  <c r="R444" i="110" s="1"/>
  <c r="Q443" i="110"/>
  <c r="R443" i="110" s="1"/>
  <c r="Q442" i="110"/>
  <c r="R442" i="110" s="1"/>
  <c r="Q441" i="110"/>
  <c r="R441" i="110" s="1"/>
  <c r="Q440" i="110"/>
  <c r="R440" i="110" s="1"/>
  <c r="Q439" i="110"/>
  <c r="R439" i="110" s="1"/>
  <c r="Q438" i="110"/>
  <c r="R438" i="110" s="1"/>
  <c r="Q437" i="110"/>
  <c r="R437" i="110" s="1"/>
  <c r="Q436" i="110"/>
  <c r="R436" i="110" s="1"/>
  <c r="Q435" i="110"/>
  <c r="R435" i="110" s="1"/>
  <c r="Q434" i="110"/>
  <c r="R434" i="110" s="1"/>
  <c r="Q433" i="110"/>
  <c r="R433" i="110" s="1"/>
  <c r="Q432" i="110"/>
  <c r="R432" i="110" s="1"/>
  <c r="Q431" i="110"/>
  <c r="R431" i="110" s="1"/>
  <c r="Q430" i="110"/>
  <c r="R430" i="110" s="1"/>
  <c r="Q429" i="110"/>
  <c r="R429" i="110" s="1"/>
  <c r="Q428" i="110"/>
  <c r="R428" i="110" s="1"/>
  <c r="Q427" i="110"/>
  <c r="R427" i="110" s="1"/>
  <c r="Q426" i="110"/>
  <c r="R426" i="110" s="1"/>
  <c r="Q425" i="110"/>
  <c r="R425" i="110" s="1"/>
  <c r="Q424" i="110"/>
  <c r="R424" i="110" s="1"/>
  <c r="Q423" i="110"/>
  <c r="R423" i="110" s="1"/>
  <c r="Q422" i="110"/>
  <c r="R422" i="110" s="1"/>
  <c r="Q421" i="110"/>
  <c r="R421" i="110" s="1"/>
  <c r="Q420" i="110"/>
  <c r="R420" i="110" s="1"/>
  <c r="Q419" i="110"/>
  <c r="R419" i="110" s="1"/>
  <c r="Q418" i="110"/>
  <c r="R418" i="110" s="1"/>
  <c r="Q417" i="110"/>
  <c r="R417" i="110" s="1"/>
  <c r="Q416" i="110"/>
  <c r="R416" i="110" s="1"/>
  <c r="Q415" i="110"/>
  <c r="R415" i="110" s="1"/>
  <c r="Q414" i="110"/>
  <c r="R414" i="110" s="1"/>
  <c r="Q413" i="110"/>
  <c r="R413" i="110" s="1"/>
  <c r="Q412" i="110"/>
  <c r="R412" i="110" s="1"/>
  <c r="Q411" i="110"/>
  <c r="R411" i="110" s="1"/>
  <c r="Q410" i="110"/>
  <c r="R410" i="110" s="1"/>
  <c r="Q409" i="110"/>
  <c r="R409" i="110" s="1"/>
  <c r="Q408" i="110"/>
  <c r="R408" i="110" s="1"/>
  <c r="Q407" i="110"/>
  <c r="R407" i="110" s="1"/>
  <c r="Q406" i="110"/>
  <c r="R406" i="110" s="1"/>
  <c r="Q405" i="110"/>
  <c r="R405" i="110" s="1"/>
  <c r="Q404" i="110"/>
  <c r="R404" i="110" s="1"/>
  <c r="Q403" i="110"/>
  <c r="R403" i="110" s="1"/>
  <c r="Q402" i="110"/>
  <c r="R402" i="110" s="1"/>
  <c r="Q401" i="110"/>
  <c r="R401" i="110" s="1"/>
  <c r="Q400" i="110"/>
  <c r="R400" i="110" s="1"/>
  <c r="Q399" i="110"/>
  <c r="R399" i="110" s="1"/>
  <c r="Q398" i="110"/>
  <c r="R398" i="110" s="1"/>
  <c r="Q397" i="110"/>
  <c r="R397" i="110" s="1"/>
  <c r="Q396" i="110"/>
  <c r="R396" i="110" s="1"/>
  <c r="Q395" i="110"/>
  <c r="R395" i="110" s="1"/>
  <c r="Q394" i="110"/>
  <c r="R394" i="110" s="1"/>
  <c r="Q393" i="110"/>
  <c r="R393" i="110" s="1"/>
  <c r="Q392" i="110"/>
  <c r="R392" i="110" s="1"/>
  <c r="Q391" i="110"/>
  <c r="R391" i="110" s="1"/>
  <c r="Q390" i="110"/>
  <c r="R390" i="110" s="1"/>
  <c r="Q389" i="110"/>
  <c r="R389" i="110" s="1"/>
  <c r="Q388" i="110"/>
  <c r="R388" i="110" s="1"/>
  <c r="Q387" i="110"/>
  <c r="R387" i="110" s="1"/>
  <c r="Q386" i="110"/>
  <c r="R386" i="110" s="1"/>
  <c r="Q385" i="110"/>
  <c r="R385" i="110" s="1"/>
  <c r="Q384" i="110"/>
  <c r="R384" i="110" s="1"/>
  <c r="Q383" i="110"/>
  <c r="R383" i="110" s="1"/>
  <c r="Q382" i="110"/>
  <c r="R382" i="110" s="1"/>
  <c r="Q381" i="110"/>
  <c r="R381" i="110" s="1"/>
  <c r="Q380" i="110"/>
  <c r="R380" i="110" s="1"/>
  <c r="Q379" i="110"/>
  <c r="R379" i="110" s="1"/>
  <c r="Q378" i="110"/>
  <c r="R378" i="110" s="1"/>
  <c r="Q377" i="110"/>
  <c r="R377" i="110" s="1"/>
  <c r="Q376" i="110"/>
  <c r="R376" i="110" s="1"/>
  <c r="Q375" i="110"/>
  <c r="R375" i="110" s="1"/>
  <c r="Q374" i="110"/>
  <c r="R374" i="110" s="1"/>
  <c r="Q373" i="110"/>
  <c r="R373" i="110" s="1"/>
  <c r="Q372" i="110"/>
  <c r="R372" i="110" s="1"/>
  <c r="Q371" i="110"/>
  <c r="R371" i="110" s="1"/>
  <c r="Q370" i="110"/>
  <c r="R370" i="110" s="1"/>
  <c r="Q369" i="110"/>
  <c r="R369" i="110" s="1"/>
  <c r="Q368" i="110"/>
  <c r="R368" i="110" s="1"/>
  <c r="Q367" i="110"/>
  <c r="R367" i="110" s="1"/>
  <c r="Q366" i="110"/>
  <c r="R366" i="110" s="1"/>
  <c r="Q365" i="110"/>
  <c r="R365" i="110" s="1"/>
  <c r="Q364" i="110"/>
  <c r="R364" i="110" s="1"/>
  <c r="Q363" i="110"/>
  <c r="R363" i="110" s="1"/>
  <c r="Q362" i="110"/>
  <c r="R362" i="110" s="1"/>
  <c r="Q361" i="110"/>
  <c r="R361" i="110" s="1"/>
  <c r="Q360" i="110"/>
  <c r="R360" i="110" s="1"/>
  <c r="Q359" i="110"/>
  <c r="R359" i="110" s="1"/>
  <c r="Q358" i="110"/>
  <c r="R358" i="110" s="1"/>
  <c r="Q357" i="110"/>
  <c r="R357" i="110" s="1"/>
  <c r="Q356" i="110"/>
  <c r="R356" i="110" s="1"/>
  <c r="Q355" i="110"/>
  <c r="R355" i="110" s="1"/>
  <c r="Q354" i="110"/>
  <c r="R354" i="110" s="1"/>
  <c r="Q353" i="110"/>
  <c r="R353" i="110" s="1"/>
  <c r="Q352" i="110"/>
  <c r="R352" i="110" s="1"/>
  <c r="Q351" i="110"/>
  <c r="R351" i="110" s="1"/>
  <c r="Q350" i="110"/>
  <c r="R350" i="110" s="1"/>
  <c r="Q349" i="110"/>
  <c r="R349" i="110" s="1"/>
  <c r="Q348" i="110"/>
  <c r="R348" i="110" s="1"/>
  <c r="Q347" i="110"/>
  <c r="R347" i="110" s="1"/>
  <c r="Q346" i="110"/>
  <c r="R346" i="110" s="1"/>
  <c r="Q345" i="110"/>
  <c r="R345" i="110" s="1"/>
  <c r="Q344" i="110"/>
  <c r="R344" i="110" s="1"/>
  <c r="Q343" i="110"/>
  <c r="R343" i="110" s="1"/>
  <c r="Q342" i="110"/>
  <c r="R342" i="110" s="1"/>
  <c r="Q341" i="110"/>
  <c r="R341" i="110" s="1"/>
  <c r="Q340" i="110"/>
  <c r="R340" i="110" s="1"/>
  <c r="Q339" i="110"/>
  <c r="R339" i="110" s="1"/>
  <c r="Q338" i="110"/>
  <c r="R338" i="110" s="1"/>
  <c r="Q337" i="110"/>
  <c r="R337" i="110" s="1"/>
  <c r="Q336" i="110"/>
  <c r="R336" i="110" s="1"/>
  <c r="Q335" i="110"/>
  <c r="R335" i="110" s="1"/>
  <c r="Q334" i="110"/>
  <c r="R334" i="110" s="1"/>
  <c r="Q92" i="110"/>
  <c r="R92" i="110" s="1"/>
  <c r="Q333" i="110"/>
  <c r="R333" i="110" s="1"/>
  <c r="Q332" i="110"/>
  <c r="R332" i="110" s="1"/>
  <c r="Q331" i="110"/>
  <c r="R331" i="110" s="1"/>
  <c r="Q330" i="110"/>
  <c r="R330" i="110" s="1"/>
  <c r="Q329" i="110"/>
  <c r="R329" i="110" s="1"/>
  <c r="Q328" i="110"/>
  <c r="R328" i="110" s="1"/>
  <c r="Q327" i="110"/>
  <c r="R327" i="110" s="1"/>
  <c r="Q326" i="110"/>
  <c r="R326" i="110" s="1"/>
  <c r="Q325" i="110"/>
  <c r="R325" i="110" s="1"/>
  <c r="Q324" i="110"/>
  <c r="R324" i="110" s="1"/>
  <c r="Q323" i="110"/>
  <c r="R323" i="110" s="1"/>
  <c r="Q322" i="110"/>
  <c r="R322" i="110" s="1"/>
  <c r="Q321" i="110"/>
  <c r="R321" i="110" s="1"/>
  <c r="Q320" i="110"/>
  <c r="R320" i="110" s="1"/>
  <c r="Q319" i="110"/>
  <c r="R319" i="110" s="1"/>
  <c r="Q318" i="110"/>
  <c r="R318" i="110" s="1"/>
  <c r="Q317" i="110"/>
  <c r="R317" i="110" s="1"/>
  <c r="Q316" i="110"/>
  <c r="R316" i="110" s="1"/>
  <c r="Q315" i="110"/>
  <c r="R315" i="110" s="1"/>
  <c r="Q314" i="110"/>
  <c r="R314" i="110" s="1"/>
  <c r="Q313" i="110"/>
  <c r="R313" i="110" s="1"/>
  <c r="Q312" i="110"/>
  <c r="R312" i="110" s="1"/>
  <c r="Q311" i="110"/>
  <c r="R311" i="110" s="1"/>
  <c r="Q310" i="110"/>
  <c r="R310" i="110" s="1"/>
  <c r="Q309" i="110"/>
  <c r="R309" i="110" s="1"/>
  <c r="Q307" i="110"/>
  <c r="R307" i="110" s="1"/>
  <c r="Q306" i="110"/>
  <c r="R306" i="110" s="1"/>
  <c r="Q305" i="110"/>
  <c r="R305" i="110" s="1"/>
  <c r="Q304" i="110"/>
  <c r="R304" i="110" s="1"/>
  <c r="Q303" i="110"/>
  <c r="R303" i="110" s="1"/>
  <c r="Q302" i="110"/>
  <c r="R302" i="110" s="1"/>
  <c r="Q301" i="110"/>
  <c r="R301" i="110" s="1"/>
  <c r="Q300" i="110"/>
  <c r="R300" i="110" s="1"/>
  <c r="Q299" i="110"/>
  <c r="R299" i="110" s="1"/>
  <c r="Q298" i="110"/>
  <c r="R298" i="110" s="1"/>
  <c r="Q297" i="110"/>
  <c r="R297" i="110" s="1"/>
  <c r="Q296" i="110"/>
  <c r="R296" i="110" s="1"/>
  <c r="Q295" i="110"/>
  <c r="R295" i="110" s="1"/>
  <c r="Q293" i="110"/>
  <c r="R293" i="110" s="1"/>
  <c r="Q292" i="110"/>
  <c r="R292" i="110" s="1"/>
  <c r="Q291" i="110"/>
  <c r="R291" i="110" s="1"/>
  <c r="Q81" i="110"/>
  <c r="R81" i="110" s="1"/>
  <c r="Q80" i="110"/>
  <c r="R80" i="110" s="1"/>
  <c r="Q79" i="110"/>
  <c r="R79" i="110" s="1"/>
  <c r="Q78" i="110"/>
  <c r="R78" i="110" s="1"/>
  <c r="Q72" i="110"/>
  <c r="R72" i="110" s="1"/>
  <c r="Q68" i="110"/>
  <c r="R68" i="110" s="1"/>
  <c r="Q67" i="110"/>
  <c r="R67" i="110" s="1"/>
  <c r="Q66" i="110"/>
  <c r="R66" i="110" s="1"/>
  <c r="Q65" i="110"/>
  <c r="R65" i="110" s="1"/>
  <c r="Q64" i="110"/>
  <c r="R64" i="110" s="1"/>
  <c r="Q63" i="110"/>
  <c r="R63" i="110" s="1"/>
  <c r="Q62" i="110"/>
  <c r="R62" i="110" s="1"/>
  <c r="Q61" i="110"/>
  <c r="R61" i="110" s="1"/>
  <c r="Q59" i="110"/>
  <c r="R59" i="110" s="1"/>
  <c r="Q58" i="110"/>
  <c r="R58" i="110" s="1"/>
  <c r="Q56" i="110"/>
  <c r="R56" i="110" s="1"/>
  <c r="Q53" i="110"/>
  <c r="R53" i="110" s="1"/>
  <c r="Q52" i="110"/>
  <c r="R52" i="110" s="1"/>
  <c r="Q51" i="110"/>
  <c r="R51" i="110" s="1"/>
  <c r="Q49" i="110"/>
  <c r="R49" i="110" s="1"/>
  <c r="Q48" i="110"/>
  <c r="R48" i="110" s="1"/>
  <c r="Q47" i="110"/>
  <c r="R47" i="110" s="1"/>
  <c r="Q46" i="110"/>
  <c r="R46" i="110" s="1"/>
  <c r="Q45" i="110"/>
  <c r="R45" i="110" s="1"/>
  <c r="Q44" i="110"/>
  <c r="R44" i="110" s="1"/>
  <c r="Q43" i="110"/>
  <c r="R43" i="110" s="1"/>
  <c r="Q42" i="110"/>
  <c r="R42" i="110" s="1"/>
  <c r="Q41" i="110"/>
  <c r="R41" i="110" s="1"/>
  <c r="Q40" i="110"/>
  <c r="R40" i="110" s="1"/>
  <c r="Q39" i="110"/>
  <c r="R39" i="110" s="1"/>
  <c r="Q38" i="110"/>
  <c r="R38" i="110" s="1"/>
  <c r="Q36" i="110"/>
  <c r="R36" i="110" s="1"/>
  <c r="Q74" i="110"/>
  <c r="R74" i="110" s="1"/>
  <c r="Q290" i="110"/>
  <c r="R290" i="110" s="1"/>
  <c r="Q289" i="110"/>
  <c r="R289" i="110" s="1"/>
  <c r="Q288" i="110"/>
  <c r="R288" i="110" s="1"/>
  <c r="Q287" i="110"/>
  <c r="R287" i="110" s="1"/>
  <c r="Q286" i="110"/>
  <c r="R286" i="110" s="1"/>
  <c r="Q285" i="110"/>
  <c r="R285" i="110" s="1"/>
  <c r="Q308" i="110"/>
  <c r="R308" i="110" s="1"/>
  <c r="Q284" i="110"/>
  <c r="R284" i="110" s="1"/>
  <c r="Q283" i="110"/>
  <c r="R283" i="110" s="1"/>
  <c r="Q282" i="110"/>
  <c r="R282" i="110" s="1"/>
  <c r="Q281" i="110"/>
  <c r="R281" i="110" s="1"/>
  <c r="Q280" i="110"/>
  <c r="R280" i="110" s="1"/>
  <c r="Q279" i="110"/>
  <c r="R279" i="110" s="1"/>
  <c r="Q278" i="110"/>
  <c r="R278" i="110" s="1"/>
  <c r="Q277" i="110"/>
  <c r="R277" i="110" s="1"/>
  <c r="Q276" i="110"/>
  <c r="R276" i="110" s="1"/>
  <c r="Q275" i="110"/>
  <c r="R275" i="110" s="1"/>
  <c r="Q274" i="110"/>
  <c r="R274" i="110" s="1"/>
  <c r="Q273" i="110"/>
  <c r="R273" i="110" s="1"/>
  <c r="Q272" i="110"/>
  <c r="R272" i="110" s="1"/>
  <c r="Q271" i="110"/>
  <c r="R271" i="110" s="1"/>
  <c r="Q270" i="110"/>
  <c r="R270" i="110" s="1"/>
  <c r="Q269" i="110"/>
  <c r="R269" i="110" s="1"/>
  <c r="Q268" i="110"/>
  <c r="R268" i="110" s="1"/>
  <c r="Q267" i="110"/>
  <c r="R267" i="110" s="1"/>
  <c r="Q266" i="110"/>
  <c r="R266" i="110" s="1"/>
  <c r="Q265" i="110"/>
  <c r="R265" i="110" s="1"/>
  <c r="Q264" i="110"/>
  <c r="R264" i="110" s="1"/>
  <c r="Q263" i="110"/>
  <c r="R263" i="110" s="1"/>
  <c r="Q262" i="110"/>
  <c r="R262" i="110" s="1"/>
  <c r="Q261" i="110"/>
  <c r="R261" i="110" s="1"/>
  <c r="Q260" i="110"/>
  <c r="R260" i="110" s="1"/>
  <c r="Q259" i="110"/>
  <c r="R259" i="110" s="1"/>
  <c r="Q258" i="110"/>
  <c r="R258" i="110" s="1"/>
  <c r="Q257" i="110"/>
  <c r="R257" i="110" s="1"/>
  <c r="Q256" i="110"/>
  <c r="R256" i="110" s="1"/>
  <c r="Q255" i="110"/>
  <c r="R255" i="110" s="1"/>
  <c r="Q254" i="110"/>
  <c r="R254" i="110" s="1"/>
  <c r="Q253" i="110"/>
  <c r="R253" i="110" s="1"/>
  <c r="Q252" i="110"/>
  <c r="R252" i="110" s="1"/>
  <c r="Q251" i="110"/>
  <c r="R251" i="110" s="1"/>
  <c r="Q250" i="110"/>
  <c r="R250" i="110" s="1"/>
  <c r="Q249" i="110"/>
  <c r="R249" i="110" s="1"/>
  <c r="Q248" i="110"/>
  <c r="R248" i="110" s="1"/>
  <c r="Q247" i="110"/>
  <c r="R247" i="110" s="1"/>
  <c r="Q246" i="110"/>
  <c r="R246" i="110" s="1"/>
  <c r="Q245" i="110"/>
  <c r="R245" i="110" s="1"/>
  <c r="Q244" i="110"/>
  <c r="R244" i="110" s="1"/>
  <c r="Q243" i="110"/>
  <c r="R243" i="110" s="1"/>
  <c r="Q242" i="110"/>
  <c r="R242" i="110" s="1"/>
  <c r="Q241" i="110"/>
  <c r="R241" i="110" s="1"/>
  <c r="Q240" i="110"/>
  <c r="R240" i="110" s="1"/>
  <c r="Q239" i="110"/>
  <c r="R239" i="110" s="1"/>
  <c r="Q238" i="110"/>
  <c r="R238" i="110" s="1"/>
  <c r="Q237" i="110"/>
  <c r="R237" i="110" s="1"/>
  <c r="Q236" i="110"/>
  <c r="R236" i="110" s="1"/>
  <c r="Q235" i="110"/>
  <c r="R235" i="110" s="1"/>
  <c r="Q234" i="110"/>
  <c r="R234" i="110" s="1"/>
  <c r="Q233" i="110"/>
  <c r="R233" i="110" s="1"/>
  <c r="Q232" i="110"/>
  <c r="R232" i="110" s="1"/>
  <c r="Q231" i="110"/>
  <c r="R231" i="110" s="1"/>
  <c r="Q230" i="110"/>
  <c r="R230" i="110" s="1"/>
  <c r="Q229" i="110"/>
  <c r="R229" i="110" s="1"/>
  <c r="Q228" i="110"/>
  <c r="R228" i="110" s="1"/>
  <c r="Q227" i="110"/>
  <c r="R227" i="110" s="1"/>
  <c r="Q226" i="110"/>
  <c r="R226" i="110" s="1"/>
  <c r="Q225" i="110"/>
  <c r="R225" i="110" s="1"/>
  <c r="Q224" i="110"/>
  <c r="R224" i="110" s="1"/>
  <c r="Q223" i="110"/>
  <c r="R223" i="110" s="1"/>
  <c r="Q222" i="110"/>
  <c r="R222" i="110" s="1"/>
  <c r="Q221" i="110"/>
  <c r="R221" i="110" s="1"/>
  <c r="Q220" i="110"/>
  <c r="R220" i="110" s="1"/>
  <c r="Q219" i="110"/>
  <c r="R219" i="110" s="1"/>
  <c r="Q218" i="110"/>
  <c r="R218" i="110" s="1"/>
  <c r="Q217" i="110"/>
  <c r="R217" i="110" s="1"/>
  <c r="Q216" i="110"/>
  <c r="R216" i="110" s="1"/>
  <c r="Q215" i="110"/>
  <c r="R215" i="110" s="1"/>
  <c r="Q214" i="110"/>
  <c r="R214" i="110" s="1"/>
  <c r="Q213" i="110"/>
  <c r="R213" i="110" s="1"/>
  <c r="Q212" i="110"/>
  <c r="R212" i="110" s="1"/>
  <c r="Q211" i="110"/>
  <c r="R211" i="110" s="1"/>
  <c r="Q210" i="110"/>
  <c r="R210" i="110" s="1"/>
  <c r="Q209" i="110"/>
  <c r="R209" i="110" s="1"/>
  <c r="Q208" i="110"/>
  <c r="R208" i="110" s="1"/>
  <c r="Q207" i="110"/>
  <c r="R207" i="110" s="1"/>
  <c r="Q206" i="110"/>
  <c r="R206" i="110" s="1"/>
  <c r="Q205" i="110"/>
  <c r="R205" i="110" s="1"/>
  <c r="Q204" i="110"/>
  <c r="R204" i="110" s="1"/>
  <c r="Q203" i="110"/>
  <c r="R203" i="110" s="1"/>
  <c r="Q202" i="110"/>
  <c r="R202" i="110" s="1"/>
  <c r="Q201" i="110"/>
  <c r="R201" i="110" s="1"/>
  <c r="Q200" i="110"/>
  <c r="R200" i="110" s="1"/>
  <c r="Q199" i="110"/>
  <c r="R199" i="110" s="1"/>
  <c r="Q198" i="110"/>
  <c r="R198" i="110" s="1"/>
  <c r="Q197" i="110"/>
  <c r="R197" i="110" s="1"/>
  <c r="Q196" i="110"/>
  <c r="R196" i="110" s="1"/>
  <c r="Q195" i="110"/>
  <c r="R195" i="110" s="1"/>
  <c r="Q194" i="110"/>
  <c r="R194" i="110" s="1"/>
  <c r="Q193" i="110"/>
  <c r="R193" i="110" s="1"/>
  <c r="Q192" i="110"/>
  <c r="R192" i="110" s="1"/>
  <c r="Q191" i="110"/>
  <c r="R191" i="110" s="1"/>
  <c r="Q190" i="110"/>
  <c r="R190" i="110" s="1"/>
  <c r="Q189" i="110"/>
  <c r="R189" i="110" s="1"/>
  <c r="Q188" i="110"/>
  <c r="R188" i="110" s="1"/>
  <c r="Q187" i="110"/>
  <c r="R187" i="110" s="1"/>
  <c r="Q186" i="110"/>
  <c r="R186" i="110" s="1"/>
  <c r="Q185" i="110"/>
  <c r="R185" i="110" s="1"/>
  <c r="Q184" i="110"/>
  <c r="R184" i="110" s="1"/>
  <c r="Q183" i="110"/>
  <c r="R183" i="110" s="1"/>
  <c r="Q182" i="110"/>
  <c r="R182" i="110" s="1"/>
  <c r="Q181" i="110"/>
  <c r="R181" i="110" s="1"/>
  <c r="Q180" i="110"/>
  <c r="R180" i="110" s="1"/>
  <c r="Q179" i="110"/>
  <c r="R179" i="110" s="1"/>
  <c r="Q178" i="110"/>
  <c r="R178" i="110" s="1"/>
  <c r="Q177" i="110"/>
  <c r="R177" i="110" s="1"/>
  <c r="Q176" i="110"/>
  <c r="R176" i="110" s="1"/>
  <c r="Q175" i="110"/>
  <c r="R175" i="110" s="1"/>
  <c r="Q174" i="110"/>
  <c r="R174" i="110" s="1"/>
  <c r="Q173" i="110"/>
  <c r="R173" i="110" s="1"/>
  <c r="Q172" i="110"/>
  <c r="R172" i="110" s="1"/>
  <c r="Q171" i="110"/>
  <c r="R171" i="110" s="1"/>
  <c r="Q170" i="110"/>
  <c r="R170" i="110" s="1"/>
  <c r="Q169" i="110"/>
  <c r="R169" i="110" s="1"/>
  <c r="Q168" i="110"/>
  <c r="R168" i="110" s="1"/>
  <c r="Q167" i="110"/>
  <c r="R167" i="110" s="1"/>
  <c r="Q166" i="110"/>
  <c r="R166" i="110" s="1"/>
  <c r="Q165" i="110"/>
  <c r="R165" i="110" s="1"/>
  <c r="Q164" i="110"/>
  <c r="R164" i="110" s="1"/>
  <c r="Q163" i="110"/>
  <c r="R163" i="110" s="1"/>
  <c r="Q162" i="110"/>
  <c r="R162" i="110" s="1"/>
  <c r="Q161" i="110"/>
  <c r="R161" i="110" s="1"/>
  <c r="Q160" i="110"/>
  <c r="R160" i="110" s="1"/>
  <c r="Q159" i="110"/>
  <c r="R159" i="110" s="1"/>
  <c r="Q158" i="110"/>
  <c r="R158" i="110" s="1"/>
  <c r="Q157" i="110"/>
  <c r="R157" i="110" s="1"/>
  <c r="Q156" i="110"/>
  <c r="R156" i="110" s="1"/>
  <c r="Q155" i="110"/>
  <c r="R155" i="110" s="1"/>
  <c r="Q154" i="110"/>
  <c r="R154" i="110" s="1"/>
  <c r="Q153" i="110"/>
  <c r="R153" i="110" s="1"/>
  <c r="Q152" i="110"/>
  <c r="R152" i="110" s="1"/>
  <c r="Q151" i="110"/>
  <c r="R151" i="110" s="1"/>
  <c r="Q150" i="110"/>
  <c r="R150" i="110" s="1"/>
  <c r="Q149" i="110"/>
  <c r="R149" i="110" s="1"/>
  <c r="Q148" i="110"/>
  <c r="R148" i="110" s="1"/>
  <c r="Q147" i="110"/>
  <c r="R147" i="110" s="1"/>
  <c r="Q146" i="110"/>
  <c r="R146" i="110" s="1"/>
  <c r="Q145" i="110"/>
  <c r="R145" i="110" s="1"/>
  <c r="Q144" i="110"/>
  <c r="R144" i="110" s="1"/>
  <c r="Q143" i="110"/>
  <c r="R143" i="110" s="1"/>
  <c r="Q142" i="110"/>
  <c r="R142" i="110" s="1"/>
  <c r="Q141" i="110"/>
  <c r="R141" i="110" s="1"/>
  <c r="Q140" i="110"/>
  <c r="R140" i="110" s="1"/>
  <c r="Q139" i="110"/>
  <c r="R139" i="110" s="1"/>
  <c r="Q138" i="110"/>
  <c r="R138" i="110" s="1"/>
  <c r="Q137" i="110"/>
  <c r="R137" i="110" s="1"/>
  <c r="Q136" i="110"/>
  <c r="R136" i="110" s="1"/>
  <c r="Q135" i="110"/>
  <c r="R135" i="110" s="1"/>
  <c r="Q134" i="110"/>
  <c r="R134" i="110" s="1"/>
  <c r="Q133" i="110"/>
  <c r="R133" i="110" s="1"/>
  <c r="Q132" i="110"/>
  <c r="R132" i="110" s="1"/>
  <c r="Q131" i="110"/>
  <c r="R131" i="110" s="1"/>
  <c r="Q130" i="110"/>
  <c r="R130" i="110" s="1"/>
  <c r="Q129" i="110"/>
  <c r="R129" i="110" s="1"/>
  <c r="Q128" i="110"/>
  <c r="R128" i="110" s="1"/>
  <c r="Q127" i="110"/>
  <c r="R127" i="110" s="1"/>
  <c r="Q126" i="110"/>
  <c r="R126" i="110" s="1"/>
  <c r="Q125" i="110"/>
  <c r="R125" i="110" s="1"/>
  <c r="Q294" i="110"/>
  <c r="R294" i="110" s="1"/>
  <c r="Q124" i="110"/>
  <c r="R124" i="110" s="1"/>
  <c r="Q123" i="110"/>
  <c r="R123" i="110" s="1"/>
  <c r="Q122" i="110"/>
  <c r="R122" i="110" s="1"/>
  <c r="Q121" i="110"/>
  <c r="R121" i="110" s="1"/>
  <c r="Q120" i="110"/>
  <c r="R120" i="110" s="1"/>
  <c r="Q119" i="110"/>
  <c r="R119" i="110" s="1"/>
  <c r="Q118" i="110"/>
  <c r="R118" i="110" s="1"/>
  <c r="Q117" i="110"/>
  <c r="R117" i="110" s="1"/>
  <c r="Q116" i="110"/>
  <c r="R116" i="110" s="1"/>
  <c r="Q115" i="110"/>
  <c r="R115" i="110" s="1"/>
  <c r="Q114" i="110"/>
  <c r="R114" i="110" s="1"/>
  <c r="Q113" i="110"/>
  <c r="R113" i="110" s="1"/>
  <c r="Q112" i="110"/>
  <c r="R112" i="110" s="1"/>
  <c r="Q111" i="110"/>
  <c r="R111" i="110" s="1"/>
  <c r="Q110" i="110"/>
  <c r="R110" i="110" s="1"/>
  <c r="Q109" i="110"/>
  <c r="R109" i="110" s="1"/>
  <c r="Q108" i="110"/>
  <c r="R108" i="110" s="1"/>
  <c r="Q107" i="110"/>
  <c r="R107" i="110" s="1"/>
  <c r="Q106" i="110"/>
  <c r="R106" i="110" s="1"/>
  <c r="Q105" i="110"/>
  <c r="R105" i="110" s="1"/>
  <c r="Q104" i="110"/>
  <c r="R104" i="110" s="1"/>
  <c r="Q103" i="110"/>
  <c r="R103" i="110" s="1"/>
  <c r="Q102" i="110"/>
  <c r="R102" i="110" s="1"/>
  <c r="Q101" i="110"/>
  <c r="R101" i="110" s="1"/>
  <c r="Q100" i="110"/>
  <c r="R100" i="110" s="1"/>
  <c r="Q99" i="110"/>
  <c r="R99" i="110" s="1"/>
  <c r="Q98" i="110"/>
  <c r="R98" i="110" s="1"/>
  <c r="Q97" i="110"/>
  <c r="R97" i="110" s="1"/>
  <c r="Q96" i="110"/>
  <c r="R96" i="110" s="1"/>
  <c r="Q95" i="110"/>
  <c r="R95" i="110" s="1"/>
  <c r="Q94" i="110"/>
  <c r="R94" i="110" s="1"/>
  <c r="Q93" i="110"/>
  <c r="R93" i="110" s="1"/>
  <c r="Q91" i="110"/>
  <c r="R91" i="110" s="1"/>
  <c r="Q90" i="110"/>
  <c r="R90" i="110" s="1"/>
  <c r="Q89" i="110"/>
  <c r="R89" i="110" s="1"/>
  <c r="Q88" i="110"/>
  <c r="R88" i="110" s="1"/>
  <c r="Q87" i="110"/>
  <c r="R87" i="110" s="1"/>
  <c r="Q86" i="110"/>
  <c r="R86" i="110" s="1"/>
  <c r="Q85" i="110"/>
  <c r="R85" i="110" s="1"/>
  <c r="Q84" i="110"/>
  <c r="R84" i="110" s="1"/>
  <c r="Q83" i="110"/>
  <c r="R83" i="110" s="1"/>
  <c r="Q82" i="110"/>
  <c r="R82" i="110" s="1"/>
  <c r="Q77" i="110"/>
  <c r="R77" i="110" s="1"/>
  <c r="Q76" i="110"/>
  <c r="R76" i="110" s="1"/>
  <c r="Q75" i="110"/>
  <c r="R75" i="110" s="1"/>
  <c r="Q73" i="110"/>
  <c r="R73" i="110" s="1"/>
  <c r="Q71" i="110"/>
  <c r="R71" i="110" s="1"/>
  <c r="Q70" i="110"/>
  <c r="R70" i="110" s="1"/>
  <c r="Q69" i="110"/>
  <c r="R69" i="110" s="1"/>
  <c r="Q60" i="110"/>
  <c r="R60" i="110" s="1"/>
  <c r="Q57" i="110"/>
  <c r="R57" i="110" s="1"/>
  <c r="Q55" i="110"/>
  <c r="R55" i="110" s="1"/>
  <c r="Q54" i="110"/>
  <c r="R54" i="110" s="1"/>
  <c r="Q50" i="110"/>
  <c r="R50" i="110" s="1"/>
  <c r="Q37" i="110"/>
  <c r="R37" i="110" s="1"/>
  <c r="Q35" i="110"/>
  <c r="R35" i="110" s="1"/>
  <c r="Q34" i="110"/>
  <c r="R34" i="110" s="1"/>
  <c r="Q33" i="110"/>
  <c r="R33" i="110" s="1"/>
  <c r="Q32" i="110"/>
  <c r="R32" i="110" s="1"/>
  <c r="Q31" i="110"/>
  <c r="R31" i="110" s="1"/>
  <c r="Q30" i="110"/>
  <c r="R30" i="110" s="1"/>
  <c r="Q29" i="110"/>
  <c r="R29" i="110" s="1"/>
  <c r="Q28" i="110"/>
  <c r="R28" i="110" s="1"/>
  <c r="Q27" i="110"/>
  <c r="R27" i="110" s="1"/>
  <c r="Q26" i="110"/>
  <c r="R26" i="110" s="1"/>
  <c r="Q25" i="110"/>
  <c r="R25" i="110" s="1"/>
  <c r="Q24" i="110"/>
  <c r="R24" i="110" s="1"/>
  <c r="Q23" i="110"/>
  <c r="R23" i="110" s="1"/>
  <c r="Q22" i="110"/>
  <c r="R22" i="110" s="1"/>
  <c r="Q21" i="110"/>
  <c r="R21" i="110" s="1"/>
  <c r="Q20" i="110"/>
  <c r="R20" i="110" s="1"/>
  <c r="Q19" i="110"/>
  <c r="R19" i="110" s="1"/>
  <c r="Q18" i="110"/>
  <c r="R18" i="110" s="1"/>
  <c r="Q17" i="110"/>
  <c r="R17" i="110" s="1"/>
  <c r="Q16" i="110"/>
  <c r="R16" i="110" s="1"/>
  <c r="Q15" i="110"/>
  <c r="R15" i="110" s="1"/>
  <c r="Q14" i="110"/>
  <c r="R14" i="110" s="1"/>
  <c r="Q13" i="110"/>
  <c r="R13" i="110" s="1"/>
  <c r="Q12" i="110"/>
  <c r="R12" i="110" s="1"/>
  <c r="Q11" i="110"/>
  <c r="R11" i="110" s="1"/>
  <c r="Q10" i="110"/>
  <c r="R10" i="110" s="1"/>
  <c r="Q860" i="108"/>
  <c r="R860" i="108" s="1"/>
  <c r="Q858" i="108"/>
  <c r="R858" i="108" s="1"/>
  <c r="Q857" i="108"/>
  <c r="R857" i="108" s="1"/>
  <c r="Q856" i="108"/>
  <c r="R856" i="108" s="1"/>
  <c r="Q855" i="108"/>
  <c r="R855" i="108" s="1"/>
  <c r="Q854" i="108"/>
  <c r="R854" i="108" s="1"/>
  <c r="Q853" i="108"/>
  <c r="R853" i="108" s="1"/>
  <c r="Q852" i="108"/>
  <c r="R852" i="108" s="1"/>
  <c r="Q851" i="108"/>
  <c r="R851" i="108" s="1"/>
  <c r="Q850" i="108"/>
  <c r="R850" i="108" s="1"/>
  <c r="Q849" i="108"/>
  <c r="R849" i="108" s="1"/>
  <c r="Q848" i="108"/>
  <c r="R848" i="108" s="1"/>
  <c r="Q847" i="108"/>
  <c r="R847" i="108" s="1"/>
  <c r="Q846" i="108"/>
  <c r="R846" i="108" s="1"/>
  <c r="Q845" i="108"/>
  <c r="R845" i="108" s="1"/>
  <c r="Q844" i="108"/>
  <c r="R844" i="108" s="1"/>
  <c r="Q843" i="108"/>
  <c r="R843" i="108" s="1"/>
  <c r="Q842" i="108"/>
  <c r="R842" i="108" s="1"/>
  <c r="Q841" i="108"/>
  <c r="R841" i="108" s="1"/>
  <c r="Q840" i="108"/>
  <c r="R840" i="108" s="1"/>
  <c r="Q839" i="108"/>
  <c r="R839" i="108" s="1"/>
  <c r="Q838" i="108"/>
  <c r="R838" i="108" s="1"/>
  <c r="Q837" i="108"/>
  <c r="R837" i="108" s="1"/>
  <c r="Q836" i="108"/>
  <c r="R836" i="108" s="1"/>
  <c r="Q835" i="108"/>
  <c r="R835" i="108" s="1"/>
  <c r="Q834" i="108"/>
  <c r="R834" i="108" s="1"/>
  <c r="Q833" i="108"/>
  <c r="R833" i="108" s="1"/>
  <c r="Q832" i="108"/>
  <c r="R832" i="108" s="1"/>
  <c r="Q831" i="108"/>
  <c r="R831" i="108" s="1"/>
  <c r="Q830" i="108"/>
  <c r="R830" i="108" s="1"/>
  <c r="Q829" i="108"/>
  <c r="R829" i="108" s="1"/>
  <c r="Q828" i="108"/>
  <c r="R828" i="108" s="1"/>
  <c r="Q827" i="108"/>
  <c r="R827" i="108" s="1"/>
  <c r="Q826" i="108"/>
  <c r="R826" i="108" s="1"/>
  <c r="Q825" i="108"/>
  <c r="R825" i="108" s="1"/>
  <c r="Q824" i="108"/>
  <c r="R824" i="108" s="1"/>
  <c r="Q823" i="108"/>
  <c r="R823" i="108" s="1"/>
  <c r="Q822" i="108"/>
  <c r="R822" i="108" s="1"/>
  <c r="Q821" i="108"/>
  <c r="R821" i="108" s="1"/>
  <c r="Q820" i="108"/>
  <c r="R820" i="108" s="1"/>
  <c r="Q819" i="108"/>
  <c r="R819" i="108" s="1"/>
  <c r="Q818" i="108"/>
  <c r="R818" i="108" s="1"/>
  <c r="Q817" i="108"/>
  <c r="R817" i="108" s="1"/>
  <c r="Q816" i="108"/>
  <c r="R816" i="108" s="1"/>
  <c r="Q815" i="108"/>
  <c r="R815" i="108" s="1"/>
  <c r="Q814" i="108"/>
  <c r="R814" i="108" s="1"/>
  <c r="Q813" i="108"/>
  <c r="R813" i="108" s="1"/>
  <c r="Q15" i="108"/>
  <c r="R15" i="108" s="1"/>
  <c r="Q812" i="108"/>
  <c r="R812" i="108" s="1"/>
  <c r="Q811" i="108"/>
  <c r="R811" i="108" s="1"/>
  <c r="Q810" i="108"/>
  <c r="R810" i="108"/>
  <c r="Q809" i="108"/>
  <c r="R809" i="108" s="1"/>
  <c r="Q808" i="108"/>
  <c r="R808" i="108" s="1"/>
  <c r="Q807" i="108"/>
  <c r="R807" i="108" s="1"/>
  <c r="Q806" i="108"/>
  <c r="R806" i="108" s="1"/>
  <c r="Q805" i="108"/>
  <c r="R805" i="108" s="1"/>
  <c r="Q804" i="108"/>
  <c r="R804" i="108" s="1"/>
  <c r="Q803" i="108"/>
  <c r="R803" i="108" s="1"/>
  <c r="Q802" i="108"/>
  <c r="R802" i="108" s="1"/>
  <c r="Q801" i="108"/>
  <c r="R801" i="108" s="1"/>
  <c r="Q800" i="108"/>
  <c r="R800" i="108" s="1"/>
  <c r="Q799" i="108"/>
  <c r="R799" i="108" s="1"/>
  <c r="Q798" i="108"/>
  <c r="R798" i="108" s="1"/>
  <c r="Q797" i="108"/>
  <c r="R797" i="108" s="1"/>
  <c r="Q796" i="108"/>
  <c r="R796" i="108" s="1"/>
  <c r="Q795" i="108"/>
  <c r="R795" i="108" s="1"/>
  <c r="Q794" i="108"/>
  <c r="R794" i="108" s="1"/>
  <c r="Q793" i="108"/>
  <c r="R793" i="108" s="1"/>
  <c r="Q792" i="108"/>
  <c r="R792" i="108" s="1"/>
  <c r="Q791" i="108"/>
  <c r="R791" i="108" s="1"/>
  <c r="Q790" i="108"/>
  <c r="R790" i="108" s="1"/>
  <c r="Q789" i="108"/>
  <c r="R789" i="108" s="1"/>
  <c r="Q788" i="108"/>
  <c r="R788" i="108" s="1"/>
  <c r="Q787" i="108"/>
  <c r="R787" i="108" s="1"/>
  <c r="Q786" i="108"/>
  <c r="R786" i="108" s="1"/>
  <c r="Q785" i="108"/>
  <c r="R785" i="108" s="1"/>
  <c r="Q784" i="108"/>
  <c r="R784" i="108" s="1"/>
  <c r="Q783" i="108"/>
  <c r="R783" i="108" s="1"/>
  <c r="Q782" i="108"/>
  <c r="R782" i="108" s="1"/>
  <c r="Q781" i="108"/>
  <c r="R781" i="108" s="1"/>
  <c r="Q780" i="108"/>
  <c r="R780" i="108" s="1"/>
  <c r="Q779" i="108"/>
  <c r="R779" i="108" s="1"/>
  <c r="Q778" i="108"/>
  <c r="R778" i="108" s="1"/>
  <c r="Q777" i="108"/>
  <c r="R777" i="108" s="1"/>
  <c r="Q776" i="108"/>
  <c r="R776" i="108" s="1"/>
  <c r="Q775" i="108"/>
  <c r="R775" i="108" s="1"/>
  <c r="Q774" i="108"/>
  <c r="R774" i="108" s="1"/>
  <c r="Q773" i="108"/>
  <c r="R773" i="108" s="1"/>
  <c r="Q772" i="108"/>
  <c r="R772" i="108" s="1"/>
  <c r="Q771" i="108"/>
  <c r="R771" i="108" s="1"/>
  <c r="Q770" i="108"/>
  <c r="R770" i="108" s="1"/>
  <c r="Q769" i="108"/>
  <c r="R769" i="108" s="1"/>
  <c r="Q768" i="108"/>
  <c r="R768" i="108" s="1"/>
  <c r="Q767" i="108"/>
  <c r="R767" i="108" s="1"/>
  <c r="Q766" i="108"/>
  <c r="R766" i="108" s="1"/>
  <c r="Q765" i="108"/>
  <c r="R765" i="108" s="1"/>
  <c r="Q764" i="108"/>
  <c r="R764" i="108" s="1"/>
  <c r="Q763" i="108"/>
  <c r="R763" i="108" s="1"/>
  <c r="Q762" i="108"/>
  <c r="R762" i="108" s="1"/>
  <c r="Q761" i="108"/>
  <c r="R761" i="108" s="1"/>
  <c r="Q760" i="108"/>
  <c r="R760" i="108" s="1"/>
  <c r="Q759" i="108"/>
  <c r="R759" i="108" s="1"/>
  <c r="Q758" i="108"/>
  <c r="R758" i="108" s="1"/>
  <c r="Q757" i="108"/>
  <c r="R757" i="108" s="1"/>
  <c r="Q756" i="108"/>
  <c r="R756" i="108" s="1"/>
  <c r="Q755" i="108"/>
  <c r="R755" i="108" s="1"/>
  <c r="Q754" i="108"/>
  <c r="R754" i="108" s="1"/>
  <c r="Q753" i="108"/>
  <c r="R753" i="108" s="1"/>
  <c r="Q752" i="108"/>
  <c r="R752" i="108" s="1"/>
  <c r="Q751" i="108"/>
  <c r="R751" i="108" s="1"/>
  <c r="Q750" i="108"/>
  <c r="R750" i="108" s="1"/>
  <c r="Q749" i="108"/>
  <c r="R749" i="108" s="1"/>
  <c r="Q748" i="108"/>
  <c r="R748" i="108" s="1"/>
  <c r="Q747" i="108"/>
  <c r="R747" i="108" s="1"/>
  <c r="Q746" i="108"/>
  <c r="R746" i="108" s="1"/>
  <c r="Q745" i="108"/>
  <c r="R745" i="108" s="1"/>
  <c r="Q744" i="108"/>
  <c r="R744" i="108" s="1"/>
  <c r="Q743" i="108"/>
  <c r="R743" i="108" s="1"/>
  <c r="Q742" i="108"/>
  <c r="R742" i="108" s="1"/>
  <c r="Q741" i="108"/>
  <c r="R741" i="108" s="1"/>
  <c r="Q740" i="108"/>
  <c r="R740" i="108" s="1"/>
  <c r="Q739" i="108"/>
  <c r="R739" i="108" s="1"/>
  <c r="Q738" i="108"/>
  <c r="R738" i="108" s="1"/>
  <c r="Q737" i="108"/>
  <c r="R737" i="108" s="1"/>
  <c r="Q736" i="108"/>
  <c r="R736" i="108" s="1"/>
  <c r="Q735" i="108"/>
  <c r="R735" i="108" s="1"/>
  <c r="Q734" i="108"/>
  <c r="R734" i="108" s="1"/>
  <c r="Q733" i="108"/>
  <c r="R733" i="108" s="1"/>
  <c r="Q732" i="108"/>
  <c r="R732" i="108" s="1"/>
  <c r="Q731" i="108"/>
  <c r="R731" i="108" s="1"/>
  <c r="Q730" i="108"/>
  <c r="R730" i="108" s="1"/>
  <c r="Q729" i="108"/>
  <c r="R729" i="108" s="1"/>
  <c r="Q728" i="108"/>
  <c r="R728" i="108" s="1"/>
  <c r="Q727" i="108"/>
  <c r="R727" i="108" s="1"/>
  <c r="Q726" i="108"/>
  <c r="R726" i="108" s="1"/>
  <c r="Q725" i="108"/>
  <c r="R725" i="108" s="1"/>
  <c r="Q724" i="108"/>
  <c r="R724" i="108" s="1"/>
  <c r="Q723" i="108"/>
  <c r="R723" i="108" s="1"/>
  <c r="Q722" i="108"/>
  <c r="R722" i="108" s="1"/>
  <c r="Q721" i="108"/>
  <c r="R721" i="108" s="1"/>
  <c r="Q720" i="108"/>
  <c r="R720" i="108" s="1"/>
  <c r="Q719" i="108"/>
  <c r="R719" i="108" s="1"/>
  <c r="Q718" i="108"/>
  <c r="R718" i="108" s="1"/>
  <c r="Q717" i="108"/>
  <c r="R717" i="108" s="1"/>
  <c r="Q716" i="108"/>
  <c r="R716" i="108" s="1"/>
  <c r="Q715" i="108"/>
  <c r="R715" i="108" s="1"/>
  <c r="Q714" i="108"/>
  <c r="R714" i="108" s="1"/>
  <c r="Q713" i="108"/>
  <c r="R713" i="108" s="1"/>
  <c r="Q712" i="108"/>
  <c r="R712" i="108" s="1"/>
  <c r="Q711" i="108"/>
  <c r="R711" i="108" s="1"/>
  <c r="Q710" i="108"/>
  <c r="R710" i="108" s="1"/>
  <c r="Q709" i="108"/>
  <c r="R709" i="108" s="1"/>
  <c r="Q708" i="108"/>
  <c r="R708" i="108" s="1"/>
  <c r="Q707" i="108"/>
  <c r="R707" i="108" s="1"/>
  <c r="Q706" i="108"/>
  <c r="R706" i="108" s="1"/>
  <c r="Q705" i="108"/>
  <c r="R705" i="108" s="1"/>
  <c r="Q704" i="108"/>
  <c r="R704" i="108" s="1"/>
  <c r="Q703" i="108"/>
  <c r="R703" i="108" s="1"/>
  <c r="Q702" i="108"/>
  <c r="R702" i="108" s="1"/>
  <c r="Q701" i="108"/>
  <c r="R701" i="108" s="1"/>
  <c r="Q700" i="108"/>
  <c r="R700" i="108" s="1"/>
  <c r="Q699" i="108"/>
  <c r="R699" i="108" s="1"/>
  <c r="Q698" i="108"/>
  <c r="R698" i="108" s="1"/>
  <c r="Q697" i="108"/>
  <c r="R697" i="108" s="1"/>
  <c r="Q696" i="108"/>
  <c r="R696" i="108" s="1"/>
  <c r="Q695" i="108"/>
  <c r="R695" i="108" s="1"/>
  <c r="Q694" i="108"/>
  <c r="R694" i="108" s="1"/>
  <c r="Q693" i="108"/>
  <c r="R693" i="108" s="1"/>
  <c r="Q692" i="108"/>
  <c r="R692" i="108" s="1"/>
  <c r="Q691" i="108"/>
  <c r="R691" i="108" s="1"/>
  <c r="Q690" i="108"/>
  <c r="R690" i="108" s="1"/>
  <c r="Q689" i="108"/>
  <c r="R689" i="108" s="1"/>
  <c r="Q688" i="108"/>
  <c r="R688" i="108" s="1"/>
  <c r="Q687" i="108"/>
  <c r="R687" i="108" s="1"/>
  <c r="Q686" i="108"/>
  <c r="R686" i="108" s="1"/>
  <c r="Q685" i="108"/>
  <c r="R685" i="108" s="1"/>
  <c r="Q684" i="108"/>
  <c r="R684" i="108" s="1"/>
  <c r="Q683" i="108"/>
  <c r="R683" i="108" s="1"/>
  <c r="Q682" i="108"/>
  <c r="R682" i="108" s="1"/>
  <c r="Q681" i="108"/>
  <c r="R681" i="108" s="1"/>
  <c r="Q680" i="108"/>
  <c r="R680" i="108" s="1"/>
  <c r="Q679" i="108"/>
  <c r="R679" i="108" s="1"/>
  <c r="Q678" i="108"/>
  <c r="R678" i="108" s="1"/>
  <c r="Q677" i="108"/>
  <c r="R677" i="108" s="1"/>
  <c r="Q676" i="108"/>
  <c r="R676" i="108" s="1"/>
  <c r="Q675" i="108"/>
  <c r="R675" i="108" s="1"/>
  <c r="Q674" i="108"/>
  <c r="R674" i="108" s="1"/>
  <c r="Q673" i="108"/>
  <c r="R673" i="108" s="1"/>
  <c r="Q672" i="108"/>
  <c r="R672" i="108" s="1"/>
  <c r="Q671" i="108"/>
  <c r="R671" i="108" s="1"/>
  <c r="Q670" i="108"/>
  <c r="R670" i="108" s="1"/>
  <c r="Q669" i="108"/>
  <c r="R669" i="108" s="1"/>
  <c r="Q668" i="108"/>
  <c r="R668" i="108" s="1"/>
  <c r="Q667" i="108"/>
  <c r="R667" i="108" s="1"/>
  <c r="Q666" i="108"/>
  <c r="R666" i="108" s="1"/>
  <c r="Q665" i="108"/>
  <c r="R665" i="108" s="1"/>
  <c r="Q664" i="108"/>
  <c r="R664" i="108" s="1"/>
  <c r="Q663" i="108"/>
  <c r="R663" i="108" s="1"/>
  <c r="Q662" i="108"/>
  <c r="R662" i="108" s="1"/>
  <c r="Q661" i="108"/>
  <c r="R661" i="108" s="1"/>
  <c r="Q660" i="108"/>
  <c r="R660" i="108" s="1"/>
  <c r="Q659" i="108"/>
  <c r="R659" i="108" s="1"/>
  <c r="Q658" i="108"/>
  <c r="R658" i="108" s="1"/>
  <c r="Q657" i="108"/>
  <c r="R657" i="108" s="1"/>
  <c r="Q656" i="108"/>
  <c r="R656" i="108" s="1"/>
  <c r="Q655" i="108"/>
  <c r="R655" i="108" s="1"/>
  <c r="Q654" i="108"/>
  <c r="R654" i="108" s="1"/>
  <c r="Q653" i="108"/>
  <c r="R653" i="108" s="1"/>
  <c r="Q652" i="108"/>
  <c r="R652" i="108" s="1"/>
  <c r="Q651" i="108"/>
  <c r="R651" i="108" s="1"/>
  <c r="Q650" i="108"/>
  <c r="R650" i="108" s="1"/>
  <c r="Q649" i="108"/>
  <c r="R649" i="108" s="1"/>
  <c r="Q648" i="108"/>
  <c r="R648" i="108" s="1"/>
  <c r="Q647" i="108"/>
  <c r="R647" i="108" s="1"/>
  <c r="Q646" i="108"/>
  <c r="R646" i="108" s="1"/>
  <c r="Q645" i="108"/>
  <c r="R645" i="108" s="1"/>
  <c r="Q644" i="108"/>
  <c r="R644" i="108" s="1"/>
  <c r="Q643" i="108"/>
  <c r="R643" i="108" s="1"/>
  <c r="Q642" i="108"/>
  <c r="R642" i="108" s="1"/>
  <c r="Q641" i="108"/>
  <c r="R641" i="108" s="1"/>
  <c r="Q640" i="108"/>
  <c r="R640" i="108" s="1"/>
  <c r="Q639" i="108"/>
  <c r="R639" i="108" s="1"/>
  <c r="Q638" i="108"/>
  <c r="R638" i="108" s="1"/>
  <c r="Q637" i="108"/>
  <c r="R637" i="108" s="1"/>
  <c r="Q636" i="108"/>
  <c r="R636" i="108" s="1"/>
  <c r="Q635" i="108"/>
  <c r="R635" i="108" s="1"/>
  <c r="Q634" i="108"/>
  <c r="R634" i="108" s="1"/>
  <c r="Q633" i="108"/>
  <c r="R633" i="108" s="1"/>
  <c r="Q632" i="108"/>
  <c r="R632" i="108" s="1"/>
  <c r="Q631" i="108"/>
  <c r="R631" i="108" s="1"/>
  <c r="Q630" i="108"/>
  <c r="R630" i="108" s="1"/>
  <c r="Q629" i="108"/>
  <c r="R629" i="108" s="1"/>
  <c r="Q628" i="108"/>
  <c r="R628" i="108" s="1"/>
  <c r="Q627" i="108"/>
  <c r="R627" i="108" s="1"/>
  <c r="Q626" i="108"/>
  <c r="R626" i="108" s="1"/>
  <c r="Q625" i="108"/>
  <c r="R625" i="108" s="1"/>
  <c r="Q624" i="108"/>
  <c r="R624" i="108" s="1"/>
  <c r="Q623" i="108"/>
  <c r="R623" i="108" s="1"/>
  <c r="Q622" i="108"/>
  <c r="R622" i="108" s="1"/>
  <c r="Q621" i="108"/>
  <c r="R621" i="108" s="1"/>
  <c r="Q620" i="108"/>
  <c r="R620" i="108" s="1"/>
  <c r="Q619" i="108"/>
  <c r="R619" i="108" s="1"/>
  <c r="Q618" i="108"/>
  <c r="R618" i="108" s="1"/>
  <c r="Q617" i="108"/>
  <c r="R617" i="108" s="1"/>
  <c r="Q616" i="108"/>
  <c r="R616" i="108" s="1"/>
  <c r="Q615" i="108"/>
  <c r="R615" i="108" s="1"/>
  <c r="Q614" i="108"/>
  <c r="R614" i="108" s="1"/>
  <c r="Q613" i="108"/>
  <c r="R613" i="108" s="1"/>
  <c r="Q612" i="108"/>
  <c r="R612" i="108" s="1"/>
  <c r="Q611" i="108"/>
  <c r="R611" i="108" s="1"/>
  <c r="Q610" i="108"/>
  <c r="R610" i="108" s="1"/>
  <c r="Q609" i="108"/>
  <c r="R609" i="108" s="1"/>
  <c r="Q608" i="108"/>
  <c r="R608" i="108" s="1"/>
  <c r="Q607" i="108"/>
  <c r="R607" i="108" s="1"/>
  <c r="Q606" i="108"/>
  <c r="R606" i="108" s="1"/>
  <c r="Q605" i="108"/>
  <c r="R605" i="108" s="1"/>
  <c r="Q604" i="108"/>
  <c r="R604" i="108" s="1"/>
  <c r="Q603" i="108"/>
  <c r="R603" i="108" s="1"/>
  <c r="Q602" i="108"/>
  <c r="R602" i="108" s="1"/>
  <c r="Q601" i="108"/>
  <c r="R601" i="108" s="1"/>
  <c r="Q600" i="108"/>
  <c r="R600" i="108" s="1"/>
  <c r="Q599" i="108"/>
  <c r="R599" i="108" s="1"/>
  <c r="Q598" i="108"/>
  <c r="R598" i="108" s="1"/>
  <c r="Q597" i="108"/>
  <c r="R597" i="108" s="1"/>
  <c r="Q596" i="108"/>
  <c r="R596" i="108" s="1"/>
  <c r="Q595" i="108"/>
  <c r="R595" i="108" s="1"/>
  <c r="Q594" i="108"/>
  <c r="R594" i="108" s="1"/>
  <c r="Q593" i="108"/>
  <c r="R593" i="108" s="1"/>
  <c r="Q592" i="108"/>
  <c r="R592" i="108" s="1"/>
  <c r="Q591" i="108"/>
  <c r="R591" i="108" s="1"/>
  <c r="Q590" i="108"/>
  <c r="R590" i="108" s="1"/>
  <c r="Q589" i="108"/>
  <c r="R589" i="108" s="1"/>
  <c r="Q588" i="108"/>
  <c r="R588" i="108" s="1"/>
  <c r="Q587" i="108"/>
  <c r="R587" i="108" s="1"/>
  <c r="Q586" i="108"/>
  <c r="R586" i="108" s="1"/>
  <c r="Q585" i="108"/>
  <c r="R585" i="108" s="1"/>
  <c r="Q584" i="108"/>
  <c r="R584" i="108" s="1"/>
  <c r="Q583" i="108"/>
  <c r="R583" i="108" s="1"/>
  <c r="Q582" i="108"/>
  <c r="R582" i="108" s="1"/>
  <c r="Q581" i="108"/>
  <c r="R581" i="108" s="1"/>
  <c r="Q580" i="108"/>
  <c r="R580" i="108" s="1"/>
  <c r="Q579" i="108"/>
  <c r="R579" i="108" s="1"/>
  <c r="Q578" i="108"/>
  <c r="R578" i="108" s="1"/>
  <c r="Q577" i="108"/>
  <c r="R577" i="108" s="1"/>
  <c r="Q576" i="108"/>
  <c r="R576" i="108" s="1"/>
  <c r="Q575" i="108"/>
  <c r="R575" i="108" s="1"/>
  <c r="Q574" i="108"/>
  <c r="R574" i="108" s="1"/>
  <c r="Q573" i="108"/>
  <c r="R573" i="108" s="1"/>
  <c r="Q572" i="108"/>
  <c r="R572" i="108" s="1"/>
  <c r="Q571" i="108"/>
  <c r="R571" i="108" s="1"/>
  <c r="Q570" i="108"/>
  <c r="R570" i="108" s="1"/>
  <c r="Q569" i="108"/>
  <c r="R569" i="108" s="1"/>
  <c r="Q568" i="108"/>
  <c r="R568" i="108" s="1"/>
  <c r="Q567" i="108"/>
  <c r="R567" i="108" s="1"/>
  <c r="Q566" i="108"/>
  <c r="R566" i="108" s="1"/>
  <c r="Q565" i="108"/>
  <c r="R565" i="108" s="1"/>
  <c r="Q564" i="108"/>
  <c r="R564" i="108" s="1"/>
  <c r="Q563" i="108"/>
  <c r="R563" i="108" s="1"/>
  <c r="Q562" i="108"/>
  <c r="R562" i="108" s="1"/>
  <c r="Q561" i="108"/>
  <c r="R561" i="108" s="1"/>
  <c r="Q560" i="108"/>
  <c r="R560" i="108" s="1"/>
  <c r="Q559" i="108"/>
  <c r="R559" i="108" s="1"/>
  <c r="Q558" i="108"/>
  <c r="R558" i="108" s="1"/>
  <c r="Q557" i="108"/>
  <c r="R557" i="108" s="1"/>
  <c r="Q556" i="108"/>
  <c r="R556" i="108" s="1"/>
  <c r="Q555" i="108"/>
  <c r="R555" i="108" s="1"/>
  <c r="Q554" i="108"/>
  <c r="R554" i="108" s="1"/>
  <c r="Q553" i="108"/>
  <c r="R553" i="108" s="1"/>
  <c r="Q552" i="108"/>
  <c r="R552" i="108" s="1"/>
  <c r="Q551" i="108"/>
  <c r="R551" i="108" s="1"/>
  <c r="Q550" i="108"/>
  <c r="R550" i="108" s="1"/>
  <c r="Q549" i="108"/>
  <c r="R549" i="108" s="1"/>
  <c r="Q548" i="108"/>
  <c r="R548" i="108" s="1"/>
  <c r="Q547" i="108"/>
  <c r="R547" i="108" s="1"/>
  <c r="Q546" i="108"/>
  <c r="R546" i="108" s="1"/>
  <c r="Q545" i="108"/>
  <c r="R545" i="108" s="1"/>
  <c r="Q544" i="108"/>
  <c r="R544" i="108" s="1"/>
  <c r="Q543" i="108"/>
  <c r="R543" i="108" s="1"/>
  <c r="Q542" i="108"/>
  <c r="R542" i="108" s="1"/>
  <c r="Q541" i="108"/>
  <c r="R541" i="108" s="1"/>
  <c r="Q540" i="108"/>
  <c r="R540" i="108" s="1"/>
  <c r="Q539" i="108"/>
  <c r="R539" i="108" s="1"/>
  <c r="Q538" i="108"/>
  <c r="R538" i="108" s="1"/>
  <c r="Q537" i="108"/>
  <c r="R537" i="108" s="1"/>
  <c r="Q536" i="108"/>
  <c r="R536" i="108" s="1"/>
  <c r="Q535" i="108"/>
  <c r="R535" i="108" s="1"/>
  <c r="Q534" i="108"/>
  <c r="R534" i="108" s="1"/>
  <c r="Q533" i="108"/>
  <c r="R533" i="108" s="1"/>
  <c r="Q532" i="108"/>
  <c r="R532" i="108" s="1"/>
  <c r="Q531" i="108"/>
  <c r="R531" i="108" s="1"/>
  <c r="Q530" i="108"/>
  <c r="R530" i="108" s="1"/>
  <c r="Q529" i="108"/>
  <c r="R529" i="108" s="1"/>
  <c r="Q528" i="108"/>
  <c r="R528" i="108" s="1"/>
  <c r="Q527" i="108"/>
  <c r="R527" i="108" s="1"/>
  <c r="Q526" i="108"/>
  <c r="R526" i="108" s="1"/>
  <c r="Q525" i="108"/>
  <c r="R525" i="108" s="1"/>
  <c r="Q524" i="108"/>
  <c r="R524" i="108" s="1"/>
  <c r="Q523" i="108"/>
  <c r="R523" i="108" s="1"/>
  <c r="Q522" i="108"/>
  <c r="R522" i="108" s="1"/>
  <c r="Q521" i="108"/>
  <c r="R521" i="108" s="1"/>
  <c r="Q520" i="108"/>
  <c r="R520" i="108" s="1"/>
  <c r="Q519" i="108"/>
  <c r="R519" i="108" s="1"/>
  <c r="Q518" i="108"/>
  <c r="R518" i="108" s="1"/>
  <c r="Q517" i="108"/>
  <c r="R517" i="108" s="1"/>
  <c r="Q516" i="108"/>
  <c r="R516" i="108" s="1"/>
  <c r="Q515" i="108"/>
  <c r="R515" i="108" s="1"/>
  <c r="Q514" i="108"/>
  <c r="R514" i="108" s="1"/>
  <c r="Q513" i="108"/>
  <c r="R513" i="108" s="1"/>
  <c r="Q512" i="108"/>
  <c r="R512" i="108" s="1"/>
  <c r="Q511" i="108"/>
  <c r="R511" i="108" s="1"/>
  <c r="Q510" i="108"/>
  <c r="R510" i="108" s="1"/>
  <c r="Q509" i="108"/>
  <c r="R509" i="108" s="1"/>
  <c r="Q508" i="108"/>
  <c r="R508" i="108" s="1"/>
  <c r="Q507" i="108"/>
  <c r="R507" i="108" s="1"/>
  <c r="Q506" i="108"/>
  <c r="R506" i="108" s="1"/>
  <c r="Q505" i="108"/>
  <c r="R505" i="108" s="1"/>
  <c r="Q504" i="108"/>
  <c r="R504" i="108" s="1"/>
  <c r="Q503" i="108"/>
  <c r="R503" i="108" s="1"/>
  <c r="Q502" i="108"/>
  <c r="R502" i="108" s="1"/>
  <c r="Q501" i="108"/>
  <c r="R501" i="108" s="1"/>
  <c r="Q500" i="108"/>
  <c r="R500" i="108" s="1"/>
  <c r="Q499" i="108"/>
  <c r="R499" i="108" s="1"/>
  <c r="Q498" i="108"/>
  <c r="R498" i="108" s="1"/>
  <c r="Q497" i="108"/>
  <c r="R497" i="108" s="1"/>
  <c r="Q496" i="108"/>
  <c r="R496" i="108" s="1"/>
  <c r="Q495" i="108"/>
  <c r="R495" i="108" s="1"/>
  <c r="Q494" i="108"/>
  <c r="R494" i="108" s="1"/>
  <c r="Q493" i="108"/>
  <c r="R493" i="108" s="1"/>
  <c r="Q492" i="108"/>
  <c r="R492" i="108"/>
  <c r="Q491" i="108"/>
  <c r="R491" i="108" s="1"/>
  <c r="Q490" i="108"/>
  <c r="R490" i="108" s="1"/>
  <c r="Q489" i="108"/>
  <c r="R489" i="108" s="1"/>
  <c r="Q488" i="108"/>
  <c r="R488" i="108" s="1"/>
  <c r="Q487" i="108"/>
  <c r="R487" i="108" s="1"/>
  <c r="Q486" i="108"/>
  <c r="R486" i="108" s="1"/>
  <c r="Q485" i="108"/>
  <c r="R485" i="108" s="1"/>
  <c r="Q484" i="108"/>
  <c r="R484" i="108" s="1"/>
  <c r="Q483" i="108"/>
  <c r="R483" i="108" s="1"/>
  <c r="Q482" i="108"/>
  <c r="R482" i="108" s="1"/>
  <c r="Q481" i="108"/>
  <c r="R481" i="108" s="1"/>
  <c r="Q480" i="108"/>
  <c r="R480" i="108" s="1"/>
  <c r="Q479" i="108"/>
  <c r="R479" i="108" s="1"/>
  <c r="Q478" i="108"/>
  <c r="R478" i="108" s="1"/>
  <c r="Q477" i="108"/>
  <c r="R477" i="108" s="1"/>
  <c r="Q476" i="108"/>
  <c r="R476" i="108" s="1"/>
  <c r="Q475" i="108"/>
  <c r="R475" i="108" s="1"/>
  <c r="Q474" i="108"/>
  <c r="R474" i="108" s="1"/>
  <c r="Q473" i="108"/>
  <c r="R473" i="108" s="1"/>
  <c r="Q472" i="108"/>
  <c r="R472" i="108" s="1"/>
  <c r="Q471" i="108"/>
  <c r="R471" i="108" s="1"/>
  <c r="Q470" i="108"/>
  <c r="R470" i="108" s="1"/>
  <c r="Q469" i="108"/>
  <c r="R469" i="108" s="1"/>
  <c r="Q468" i="108"/>
  <c r="R468" i="108" s="1"/>
  <c r="Q467" i="108"/>
  <c r="R467" i="108" s="1"/>
  <c r="Q466" i="108"/>
  <c r="R466" i="108" s="1"/>
  <c r="Q465" i="108"/>
  <c r="R465" i="108" s="1"/>
  <c r="Q464" i="108"/>
  <c r="R464" i="108" s="1"/>
  <c r="Q463" i="108"/>
  <c r="R463" i="108" s="1"/>
  <c r="Q462" i="108"/>
  <c r="R462" i="108" s="1"/>
  <c r="Q461" i="108"/>
  <c r="R461" i="108" s="1"/>
  <c r="Q460" i="108"/>
  <c r="R460" i="108" s="1"/>
  <c r="Q459" i="108"/>
  <c r="R459" i="108" s="1"/>
  <c r="Q458" i="108"/>
  <c r="R458" i="108" s="1"/>
  <c r="Q457" i="108"/>
  <c r="R457" i="108" s="1"/>
  <c r="Q456" i="108"/>
  <c r="R456" i="108" s="1"/>
  <c r="Q455" i="108"/>
  <c r="R455" i="108" s="1"/>
  <c r="Q454" i="108"/>
  <c r="R454" i="108" s="1"/>
  <c r="Q453" i="108"/>
  <c r="R453" i="108" s="1"/>
  <c r="Q452" i="108"/>
  <c r="R452" i="108" s="1"/>
  <c r="Q451" i="108"/>
  <c r="R451" i="108" s="1"/>
  <c r="Q450" i="108"/>
  <c r="R450" i="108" s="1"/>
  <c r="Q449" i="108"/>
  <c r="R449" i="108" s="1"/>
  <c r="Q448" i="108"/>
  <c r="R448" i="108" s="1"/>
  <c r="Q447" i="108"/>
  <c r="R447" i="108" s="1"/>
  <c r="Q446" i="108"/>
  <c r="R446" i="108" s="1"/>
  <c r="Q445" i="108"/>
  <c r="R445" i="108" s="1"/>
  <c r="Q444" i="108"/>
  <c r="R444" i="108" s="1"/>
  <c r="Q443" i="108"/>
  <c r="R443" i="108" s="1"/>
  <c r="Q442" i="108"/>
  <c r="R442" i="108" s="1"/>
  <c r="Q441" i="108"/>
  <c r="R441" i="108" s="1"/>
  <c r="Q440" i="108"/>
  <c r="R440" i="108" s="1"/>
  <c r="Q439" i="108"/>
  <c r="R439" i="108" s="1"/>
  <c r="Q438" i="108"/>
  <c r="R438" i="108" s="1"/>
  <c r="Q437" i="108"/>
  <c r="R437" i="108" s="1"/>
  <c r="Q436" i="108"/>
  <c r="R436" i="108" s="1"/>
  <c r="Q435" i="108"/>
  <c r="R435" i="108" s="1"/>
  <c r="Q434" i="108"/>
  <c r="R434" i="108" s="1"/>
  <c r="Q433" i="108"/>
  <c r="R433" i="108" s="1"/>
  <c r="Q432" i="108"/>
  <c r="R432" i="108" s="1"/>
  <c r="Q431" i="108"/>
  <c r="R431" i="108" s="1"/>
  <c r="Q430" i="108"/>
  <c r="R430" i="108" s="1"/>
  <c r="Q429" i="108"/>
  <c r="R429" i="108" s="1"/>
  <c r="Q428" i="108"/>
  <c r="R428" i="108" s="1"/>
  <c r="Q427" i="108"/>
  <c r="R427" i="108" s="1"/>
  <c r="Q426" i="108"/>
  <c r="R426" i="108" s="1"/>
  <c r="Q425" i="108"/>
  <c r="R425" i="108" s="1"/>
  <c r="Q424" i="108"/>
  <c r="R424" i="108" s="1"/>
  <c r="Q423" i="108"/>
  <c r="R423" i="108" s="1"/>
  <c r="Q422" i="108"/>
  <c r="R422" i="108" s="1"/>
  <c r="Q421" i="108"/>
  <c r="R421" i="108" s="1"/>
  <c r="Q420" i="108"/>
  <c r="R420" i="108" s="1"/>
  <c r="Q419" i="108"/>
  <c r="R419" i="108" s="1"/>
  <c r="Q418" i="108"/>
  <c r="R418" i="108" s="1"/>
  <c r="Q417" i="108"/>
  <c r="R417" i="108" s="1"/>
  <c r="Q416" i="108"/>
  <c r="R416" i="108" s="1"/>
  <c r="Q415" i="108"/>
  <c r="R415" i="108" s="1"/>
  <c r="Q414" i="108"/>
  <c r="R414" i="108" s="1"/>
  <c r="Q413" i="108"/>
  <c r="R413" i="108" s="1"/>
  <c r="Q412" i="108"/>
  <c r="R412" i="108" s="1"/>
  <c r="Q411" i="108"/>
  <c r="R411" i="108" s="1"/>
  <c r="Q410" i="108"/>
  <c r="R410" i="108" s="1"/>
  <c r="Q409" i="108"/>
  <c r="R409" i="108" s="1"/>
  <c r="Q408" i="108"/>
  <c r="R408" i="108" s="1"/>
  <c r="Q407" i="108"/>
  <c r="R407" i="108" s="1"/>
  <c r="Q406" i="108"/>
  <c r="R406" i="108" s="1"/>
  <c r="Q405" i="108"/>
  <c r="R405" i="108" s="1"/>
  <c r="Q404" i="108"/>
  <c r="R404" i="108" s="1"/>
  <c r="Q403" i="108"/>
  <c r="R403" i="108" s="1"/>
  <c r="Q402" i="108"/>
  <c r="R402" i="108" s="1"/>
  <c r="Q401" i="108"/>
  <c r="R401" i="108" s="1"/>
  <c r="Q400" i="108"/>
  <c r="R400" i="108" s="1"/>
  <c r="Q399" i="108"/>
  <c r="R399" i="108" s="1"/>
  <c r="Q398" i="108"/>
  <c r="R398" i="108" s="1"/>
  <c r="Q397" i="108"/>
  <c r="R397" i="108" s="1"/>
  <c r="Q396" i="108"/>
  <c r="R396" i="108" s="1"/>
  <c r="Q395" i="108"/>
  <c r="R395" i="108" s="1"/>
  <c r="Q394" i="108"/>
  <c r="R394" i="108" s="1"/>
  <c r="Q393" i="108"/>
  <c r="R393" i="108" s="1"/>
  <c r="Q392" i="108"/>
  <c r="R392" i="108" s="1"/>
  <c r="Q391" i="108"/>
  <c r="R391" i="108" s="1"/>
  <c r="Q390" i="108"/>
  <c r="R390" i="108" s="1"/>
  <c r="Q389" i="108"/>
  <c r="R389" i="108" s="1"/>
  <c r="Q388" i="108"/>
  <c r="R388" i="108" s="1"/>
  <c r="Q387" i="108"/>
  <c r="R387" i="108" s="1"/>
  <c r="Q386" i="108"/>
  <c r="R386" i="108" s="1"/>
  <c r="Q385" i="108"/>
  <c r="R385" i="108" s="1"/>
  <c r="Q384" i="108"/>
  <c r="R384" i="108" s="1"/>
  <c r="Q383" i="108"/>
  <c r="R383" i="108" s="1"/>
  <c r="Q382" i="108"/>
  <c r="R382" i="108" s="1"/>
  <c r="Q381" i="108"/>
  <c r="R381" i="108" s="1"/>
  <c r="Q380" i="108"/>
  <c r="R380" i="108" s="1"/>
  <c r="Q379" i="108"/>
  <c r="R379" i="108" s="1"/>
  <c r="Q378" i="108"/>
  <c r="R378" i="108" s="1"/>
  <c r="Q377" i="108"/>
  <c r="R377" i="108" s="1"/>
  <c r="Q376" i="108"/>
  <c r="R376" i="108" s="1"/>
  <c r="Q375" i="108"/>
  <c r="R375" i="108" s="1"/>
  <c r="Q374" i="108"/>
  <c r="R374" i="108" s="1"/>
  <c r="Q373" i="108"/>
  <c r="R373" i="108" s="1"/>
  <c r="Q372" i="108"/>
  <c r="R372" i="108" s="1"/>
  <c r="Q371" i="108"/>
  <c r="R371" i="108" s="1"/>
  <c r="Q370" i="108"/>
  <c r="R370" i="108" s="1"/>
  <c r="Q369" i="108"/>
  <c r="R369" i="108" s="1"/>
  <c r="Q368" i="108"/>
  <c r="R368" i="108" s="1"/>
  <c r="Q367" i="108"/>
  <c r="R367" i="108" s="1"/>
  <c r="Q366" i="108"/>
  <c r="R366" i="108" s="1"/>
  <c r="Q365" i="108"/>
  <c r="R365" i="108" s="1"/>
  <c r="Q364" i="108"/>
  <c r="R364" i="108" s="1"/>
  <c r="Q363" i="108"/>
  <c r="R363" i="108" s="1"/>
  <c r="Q362" i="108"/>
  <c r="R362" i="108" s="1"/>
  <c r="Q361" i="108"/>
  <c r="R361" i="108" s="1"/>
  <c r="Q360" i="108"/>
  <c r="R360" i="108" s="1"/>
  <c r="Q359" i="108"/>
  <c r="R359" i="108" s="1"/>
  <c r="Q358" i="108"/>
  <c r="R358" i="108" s="1"/>
  <c r="Q357" i="108"/>
  <c r="R357" i="108" s="1"/>
  <c r="Q356" i="108"/>
  <c r="R356" i="108" s="1"/>
  <c r="Q355" i="108"/>
  <c r="R355" i="108" s="1"/>
  <c r="Q354" i="108"/>
  <c r="R354" i="108" s="1"/>
  <c r="Q353" i="108"/>
  <c r="R353" i="108" s="1"/>
  <c r="Q352" i="108"/>
  <c r="R352" i="108" s="1"/>
  <c r="Q11" i="108"/>
  <c r="Q351" i="108"/>
  <c r="R351" i="108" s="1"/>
  <c r="Q350" i="108"/>
  <c r="R350" i="108" s="1"/>
  <c r="Q349" i="108"/>
  <c r="R349" i="108" s="1"/>
  <c r="Q348" i="108"/>
  <c r="R348" i="108" s="1"/>
  <c r="Q347" i="108"/>
  <c r="R347" i="108" s="1"/>
  <c r="Q346" i="108"/>
  <c r="R346" i="108" s="1"/>
  <c r="Q345" i="108"/>
  <c r="R345" i="108" s="1"/>
  <c r="Q344" i="108"/>
  <c r="R344" i="108" s="1"/>
  <c r="Q343" i="108"/>
  <c r="R343" i="108" s="1"/>
  <c r="Q342" i="108"/>
  <c r="R342" i="108" s="1"/>
  <c r="Q341" i="108"/>
  <c r="R341" i="108" s="1"/>
  <c r="Q340" i="108"/>
  <c r="R340" i="108" s="1"/>
  <c r="Q339" i="108"/>
  <c r="R339" i="108" s="1"/>
  <c r="Q338" i="108"/>
  <c r="R338" i="108" s="1"/>
  <c r="Q337" i="108"/>
  <c r="R337" i="108" s="1"/>
  <c r="Q336" i="108"/>
  <c r="R336" i="108" s="1"/>
  <c r="Q335" i="108"/>
  <c r="R335" i="108" s="1"/>
  <c r="Q334" i="108"/>
  <c r="R334" i="108" s="1"/>
  <c r="Q333" i="108"/>
  <c r="R333" i="108" s="1"/>
  <c r="Q332" i="108"/>
  <c r="R332" i="108" s="1"/>
  <c r="Q331" i="108"/>
  <c r="R331" i="108" s="1"/>
  <c r="Q330" i="108"/>
  <c r="R330" i="108" s="1"/>
  <c r="Q329" i="108"/>
  <c r="R329" i="108" s="1"/>
  <c r="Q328" i="108"/>
  <c r="R328" i="108" s="1"/>
  <c r="Q327" i="108"/>
  <c r="R327" i="108" s="1"/>
  <c r="Q326" i="108"/>
  <c r="R326" i="108" s="1"/>
  <c r="Q325" i="108"/>
  <c r="R325" i="108" s="1"/>
  <c r="Q324" i="108"/>
  <c r="R324" i="108" s="1"/>
  <c r="Q323" i="108"/>
  <c r="R323" i="108" s="1"/>
  <c r="Q322" i="108"/>
  <c r="R322" i="108" s="1"/>
  <c r="Q321" i="108"/>
  <c r="R321" i="108" s="1"/>
  <c r="Q320" i="108"/>
  <c r="R320" i="108" s="1"/>
  <c r="Q319" i="108"/>
  <c r="R319" i="108" s="1"/>
  <c r="Q318" i="108"/>
  <c r="R318" i="108" s="1"/>
  <c r="Q317" i="108"/>
  <c r="R317" i="108" s="1"/>
  <c r="Q316" i="108"/>
  <c r="R316" i="108" s="1"/>
  <c r="Q315" i="108"/>
  <c r="R315" i="108" s="1"/>
  <c r="Q314" i="108"/>
  <c r="R314" i="108" s="1"/>
  <c r="Q10" i="108"/>
  <c r="Q313" i="108"/>
  <c r="R313" i="108" s="1"/>
  <c r="Q312" i="108"/>
  <c r="R312" i="108" s="1"/>
  <c r="Q311" i="108"/>
  <c r="R311" i="108" s="1"/>
  <c r="Q310" i="108"/>
  <c r="R310" i="108" s="1"/>
  <c r="Q309" i="108"/>
  <c r="R309" i="108" s="1"/>
  <c r="Q308" i="108"/>
  <c r="R308" i="108" s="1"/>
  <c r="Q307" i="108"/>
  <c r="R307" i="108" s="1"/>
  <c r="Q306" i="108"/>
  <c r="R306" i="108" s="1"/>
  <c r="Q305" i="108"/>
  <c r="R305" i="108" s="1"/>
  <c r="Q304" i="108"/>
  <c r="R304" i="108" s="1"/>
  <c r="Q303" i="108"/>
  <c r="R303" i="108" s="1"/>
  <c r="Q302" i="108"/>
  <c r="R302" i="108" s="1"/>
  <c r="Q301" i="108"/>
  <c r="R301" i="108" s="1"/>
  <c r="Q300" i="108"/>
  <c r="R300" i="108" s="1"/>
  <c r="Q299" i="108"/>
  <c r="R299" i="108" s="1"/>
  <c r="Q298" i="108"/>
  <c r="R298" i="108" s="1"/>
  <c r="Q297" i="108"/>
  <c r="R297" i="108" s="1"/>
  <c r="Q296" i="108"/>
  <c r="R296" i="108" s="1"/>
  <c r="Q295" i="108"/>
  <c r="R295" i="108" s="1"/>
  <c r="Q294" i="108"/>
  <c r="R294" i="108" s="1"/>
  <c r="Q293" i="108"/>
  <c r="R293" i="108" s="1"/>
  <c r="Q292" i="108"/>
  <c r="R292" i="108" s="1"/>
  <c r="Q291" i="108"/>
  <c r="R291" i="108" s="1"/>
  <c r="Q290" i="108"/>
  <c r="R290" i="108" s="1"/>
  <c r="Q289" i="108"/>
  <c r="R289" i="108" s="1"/>
  <c r="Q288" i="108"/>
  <c r="R288" i="108" s="1"/>
  <c r="Q287" i="108"/>
  <c r="R287" i="108" s="1"/>
  <c r="Q286" i="108"/>
  <c r="R286" i="108" s="1"/>
  <c r="Q285" i="108"/>
  <c r="R285" i="108" s="1"/>
  <c r="Q284" i="108"/>
  <c r="R284" i="108" s="1"/>
  <c r="Q283" i="108"/>
  <c r="R283" i="108" s="1"/>
  <c r="Q282" i="108"/>
  <c r="R282" i="108" s="1"/>
  <c r="Q281" i="108"/>
  <c r="R281" i="108" s="1"/>
  <c r="Q280" i="108"/>
  <c r="R280" i="108" s="1"/>
  <c r="Q279" i="108"/>
  <c r="R279" i="108" s="1"/>
  <c r="Q278" i="108"/>
  <c r="R278" i="108" s="1"/>
  <c r="Q277" i="108"/>
  <c r="R277" i="108" s="1"/>
  <c r="Q276" i="108"/>
  <c r="R276" i="108" s="1"/>
  <c r="Q275" i="108"/>
  <c r="R275" i="108" s="1"/>
  <c r="Q274" i="108"/>
  <c r="R274" i="108" s="1"/>
  <c r="Q273" i="108"/>
  <c r="R273" i="108" s="1"/>
  <c r="Q272" i="108"/>
  <c r="R272" i="108" s="1"/>
  <c r="Q271" i="108"/>
  <c r="R271" i="108" s="1"/>
  <c r="Q270" i="108"/>
  <c r="R270" i="108" s="1"/>
  <c r="Q269" i="108"/>
  <c r="R269" i="108" s="1"/>
  <c r="Q268" i="108"/>
  <c r="R268" i="108" s="1"/>
  <c r="Q267" i="108"/>
  <c r="R267" i="108" s="1"/>
  <c r="Q266" i="108"/>
  <c r="R266" i="108" s="1"/>
  <c r="Q265" i="108"/>
  <c r="R265" i="108" s="1"/>
  <c r="Q264" i="108"/>
  <c r="R264" i="108" s="1"/>
  <c r="Q263" i="108"/>
  <c r="R263" i="108" s="1"/>
  <c r="Q262" i="108"/>
  <c r="R262" i="108" s="1"/>
  <c r="Q261" i="108"/>
  <c r="R261" i="108" s="1"/>
  <c r="Q260" i="108"/>
  <c r="R260" i="108" s="1"/>
  <c r="Q259" i="108"/>
  <c r="R259" i="108" s="1"/>
  <c r="Q258" i="108"/>
  <c r="R258" i="108" s="1"/>
  <c r="Q257" i="108"/>
  <c r="R257" i="108" s="1"/>
  <c r="Q256" i="108"/>
  <c r="R256" i="108" s="1"/>
  <c r="Q255" i="108"/>
  <c r="R255" i="108" s="1"/>
  <c r="Q254" i="108"/>
  <c r="R254" i="108" s="1"/>
  <c r="Q253" i="108"/>
  <c r="R253" i="108" s="1"/>
  <c r="Q252" i="108"/>
  <c r="R252" i="108" s="1"/>
  <c r="Q251" i="108"/>
  <c r="R251" i="108" s="1"/>
  <c r="Q250" i="108"/>
  <c r="R250" i="108" s="1"/>
  <c r="Q249" i="108"/>
  <c r="R249" i="108" s="1"/>
  <c r="Q248" i="108"/>
  <c r="R248" i="108" s="1"/>
  <c r="Q247" i="108"/>
  <c r="R247" i="108" s="1"/>
  <c r="Q246" i="108"/>
  <c r="R246" i="108" s="1"/>
  <c r="Q245" i="108"/>
  <c r="R245" i="108" s="1"/>
  <c r="Q244" i="108"/>
  <c r="R244" i="108" s="1"/>
  <c r="Q243" i="108"/>
  <c r="R243" i="108" s="1"/>
  <c r="Q242" i="108"/>
  <c r="R242" i="108" s="1"/>
  <c r="Q241" i="108"/>
  <c r="R241" i="108" s="1"/>
  <c r="Q240" i="108"/>
  <c r="R240" i="108" s="1"/>
  <c r="Q239" i="108"/>
  <c r="R239" i="108" s="1"/>
  <c r="Q238" i="108"/>
  <c r="R238" i="108" s="1"/>
  <c r="Q237" i="108"/>
  <c r="R237" i="108" s="1"/>
  <c r="Q236" i="108"/>
  <c r="R236" i="108" s="1"/>
  <c r="Q235" i="108"/>
  <c r="R235" i="108" s="1"/>
  <c r="Q234" i="108"/>
  <c r="R234" i="108" s="1"/>
  <c r="Q233" i="108"/>
  <c r="R233" i="108" s="1"/>
  <c r="Q232" i="108"/>
  <c r="R232" i="108" s="1"/>
  <c r="Q231" i="108"/>
  <c r="R231" i="108" s="1"/>
  <c r="Q230" i="108"/>
  <c r="R230" i="108" s="1"/>
  <c r="Q229" i="108"/>
  <c r="R229" i="108" s="1"/>
  <c r="Q228" i="108"/>
  <c r="R228" i="108" s="1"/>
  <c r="Q227" i="108"/>
  <c r="R227" i="108" s="1"/>
  <c r="Q226" i="108"/>
  <c r="R226" i="108" s="1"/>
  <c r="Q225" i="108"/>
  <c r="R225" i="108" s="1"/>
  <c r="Q224" i="108"/>
  <c r="R224" i="108" s="1"/>
  <c r="Q223" i="108"/>
  <c r="R223" i="108" s="1"/>
  <c r="Q222" i="108"/>
  <c r="R222" i="108" s="1"/>
  <c r="Q221" i="108"/>
  <c r="R221" i="108" s="1"/>
  <c r="Q220" i="108"/>
  <c r="R220" i="108" s="1"/>
  <c r="Q219" i="108"/>
  <c r="R219" i="108" s="1"/>
  <c r="Q218" i="108"/>
  <c r="R218" i="108" s="1"/>
  <c r="Q217" i="108"/>
  <c r="R217" i="108" s="1"/>
  <c r="Q216" i="108"/>
  <c r="R216" i="108" s="1"/>
  <c r="Q215" i="108"/>
  <c r="R215" i="108" s="1"/>
  <c r="Q214" i="108"/>
  <c r="R214" i="108" s="1"/>
  <c r="Q213" i="108"/>
  <c r="R213" i="108" s="1"/>
  <c r="Q212" i="108"/>
  <c r="R212" i="108" s="1"/>
  <c r="Q211" i="108"/>
  <c r="R211" i="108" s="1"/>
  <c r="Q210" i="108"/>
  <c r="R210" i="108" s="1"/>
  <c r="Q209" i="108"/>
  <c r="R209" i="108" s="1"/>
  <c r="Q208" i="108"/>
  <c r="R208" i="108" s="1"/>
  <c r="Q207" i="108"/>
  <c r="R207" i="108" s="1"/>
  <c r="Q206" i="108"/>
  <c r="R206" i="108" s="1"/>
  <c r="Q205" i="108"/>
  <c r="R205" i="108" s="1"/>
  <c r="Q204" i="108"/>
  <c r="R204" i="108" s="1"/>
  <c r="Q203" i="108"/>
  <c r="R203" i="108" s="1"/>
  <c r="Q202" i="108"/>
  <c r="R202" i="108" s="1"/>
  <c r="Q201" i="108"/>
  <c r="R201" i="108" s="1"/>
  <c r="Q200" i="108"/>
  <c r="R200" i="108" s="1"/>
  <c r="Q199" i="108"/>
  <c r="R199" i="108" s="1"/>
  <c r="Q198" i="108"/>
  <c r="R198" i="108" s="1"/>
  <c r="Q197" i="108"/>
  <c r="R197" i="108" s="1"/>
  <c r="Q196" i="108"/>
  <c r="R196" i="108" s="1"/>
  <c r="Q195" i="108"/>
  <c r="R195" i="108" s="1"/>
  <c r="Q194" i="108"/>
  <c r="R194" i="108" s="1"/>
  <c r="Q193" i="108"/>
  <c r="R193" i="108" s="1"/>
  <c r="Q192" i="108"/>
  <c r="R192" i="108" s="1"/>
  <c r="Q191" i="108"/>
  <c r="R191" i="108" s="1"/>
  <c r="Q190" i="108"/>
  <c r="R190" i="108" s="1"/>
  <c r="Q189" i="108"/>
  <c r="R189" i="108" s="1"/>
  <c r="Q188" i="108"/>
  <c r="R188" i="108" s="1"/>
  <c r="Q187" i="108"/>
  <c r="R187" i="108" s="1"/>
  <c r="Q186" i="108"/>
  <c r="R186" i="108" s="1"/>
  <c r="Q185" i="108"/>
  <c r="R185" i="108" s="1"/>
  <c r="Q184" i="108"/>
  <c r="R184" i="108" s="1"/>
  <c r="Q183" i="108"/>
  <c r="R183" i="108" s="1"/>
  <c r="Q182" i="108"/>
  <c r="R182" i="108" s="1"/>
  <c r="Q181" i="108"/>
  <c r="R181" i="108" s="1"/>
  <c r="Q180" i="108"/>
  <c r="R180" i="108" s="1"/>
  <c r="Q179" i="108"/>
  <c r="R179" i="108" s="1"/>
  <c r="Q178" i="108"/>
  <c r="R178" i="108" s="1"/>
  <c r="Q177" i="108"/>
  <c r="R177" i="108" s="1"/>
  <c r="Q176" i="108"/>
  <c r="R176" i="108" s="1"/>
  <c r="Q175" i="108"/>
  <c r="R175" i="108" s="1"/>
  <c r="Q174" i="108"/>
  <c r="R174" i="108" s="1"/>
  <c r="Q173" i="108"/>
  <c r="R173" i="108" s="1"/>
  <c r="Q172" i="108"/>
  <c r="R172" i="108" s="1"/>
  <c r="Q171" i="108"/>
  <c r="R171" i="108" s="1"/>
  <c r="Q170" i="108"/>
  <c r="R170" i="108" s="1"/>
  <c r="Q169" i="108"/>
  <c r="R169" i="108" s="1"/>
  <c r="Q168" i="108"/>
  <c r="R168" i="108" s="1"/>
  <c r="Q167" i="108"/>
  <c r="R167" i="108" s="1"/>
  <c r="Q166" i="108"/>
  <c r="R166" i="108" s="1"/>
  <c r="Q165" i="108"/>
  <c r="R165" i="108" s="1"/>
  <c r="Q164" i="108"/>
  <c r="R164" i="108" s="1"/>
  <c r="Q163" i="108"/>
  <c r="R163" i="108" s="1"/>
  <c r="Q162" i="108"/>
  <c r="R162" i="108" s="1"/>
  <c r="Q161" i="108"/>
  <c r="R161" i="108" s="1"/>
  <c r="Q160" i="108"/>
  <c r="R160" i="108" s="1"/>
  <c r="Q159" i="108"/>
  <c r="R159" i="108" s="1"/>
  <c r="Q158" i="108"/>
  <c r="R158" i="108" s="1"/>
  <c r="Q157" i="108"/>
  <c r="R157" i="108" s="1"/>
  <c r="Q156" i="108"/>
  <c r="R156" i="108" s="1"/>
  <c r="Q155" i="108"/>
  <c r="R155" i="108" s="1"/>
  <c r="Q154" i="108"/>
  <c r="R154" i="108" s="1"/>
  <c r="Q153" i="108"/>
  <c r="R153" i="108" s="1"/>
  <c r="Q152" i="108"/>
  <c r="R152" i="108" s="1"/>
  <c r="Q151" i="108"/>
  <c r="R151" i="108" s="1"/>
  <c r="Q150" i="108"/>
  <c r="R150" i="108" s="1"/>
  <c r="Q149" i="108"/>
  <c r="R149" i="108" s="1"/>
  <c r="Q148" i="108"/>
  <c r="R148" i="108" s="1"/>
  <c r="Q147" i="108"/>
  <c r="R147" i="108" s="1"/>
  <c r="Q146" i="108"/>
  <c r="R146" i="108" s="1"/>
  <c r="Q145" i="108"/>
  <c r="R145" i="108" s="1"/>
  <c r="Q144" i="108"/>
  <c r="R144" i="108" s="1"/>
  <c r="Q143" i="108"/>
  <c r="R143" i="108" s="1"/>
  <c r="Q142" i="108"/>
  <c r="R142" i="108" s="1"/>
  <c r="Q141" i="108"/>
  <c r="R141" i="108" s="1"/>
  <c r="Q140" i="108"/>
  <c r="R140" i="108" s="1"/>
  <c r="Q139" i="108"/>
  <c r="R139" i="108" s="1"/>
  <c r="Q138" i="108"/>
  <c r="R138" i="108" s="1"/>
  <c r="Q137" i="108"/>
  <c r="R137" i="108" s="1"/>
  <c r="Q136" i="108"/>
  <c r="R136" i="108" s="1"/>
  <c r="Q135" i="108"/>
  <c r="R135" i="108" s="1"/>
  <c r="Q134" i="108"/>
  <c r="R134" i="108" s="1"/>
  <c r="Q133" i="108"/>
  <c r="R133" i="108" s="1"/>
  <c r="Q132" i="108"/>
  <c r="R132" i="108" s="1"/>
  <c r="Q131" i="108"/>
  <c r="R131" i="108" s="1"/>
  <c r="Q130" i="108"/>
  <c r="R130" i="108" s="1"/>
  <c r="Q129" i="108"/>
  <c r="R129" i="108" s="1"/>
  <c r="Q128" i="108"/>
  <c r="R128" i="108" s="1"/>
  <c r="Q127" i="108"/>
  <c r="R127" i="108" s="1"/>
  <c r="Q126" i="108"/>
  <c r="R126" i="108" s="1"/>
  <c r="Q125" i="108"/>
  <c r="R125" i="108" s="1"/>
  <c r="Q124" i="108"/>
  <c r="R124" i="108" s="1"/>
  <c r="Q123" i="108"/>
  <c r="R123" i="108" s="1"/>
  <c r="Q122" i="108"/>
  <c r="R122" i="108" s="1"/>
  <c r="Q121" i="108"/>
  <c r="R121" i="108" s="1"/>
  <c r="Q120" i="108"/>
  <c r="R120" i="108" s="1"/>
  <c r="Q119" i="108"/>
  <c r="R119" i="108" s="1"/>
  <c r="Q118" i="108"/>
  <c r="R118" i="108" s="1"/>
  <c r="Q117" i="108"/>
  <c r="R117" i="108" s="1"/>
  <c r="Q116" i="108"/>
  <c r="R116" i="108" s="1"/>
  <c r="Q115" i="108"/>
  <c r="R115" i="108" s="1"/>
  <c r="Q114" i="108"/>
  <c r="R114" i="108" s="1"/>
  <c r="Q113" i="108"/>
  <c r="R113" i="108" s="1"/>
  <c r="Q112" i="108"/>
  <c r="R112" i="108" s="1"/>
  <c r="Q111" i="108"/>
  <c r="R111" i="108" s="1"/>
  <c r="Q110" i="108"/>
  <c r="R110" i="108" s="1"/>
  <c r="Q109" i="108"/>
  <c r="R109" i="108" s="1"/>
  <c r="Q108" i="108"/>
  <c r="R108" i="108" s="1"/>
  <c r="Q107" i="108"/>
  <c r="R107" i="108" s="1"/>
  <c r="Q106" i="108"/>
  <c r="R106" i="108" s="1"/>
  <c r="Q105" i="108"/>
  <c r="R105" i="108" s="1"/>
  <c r="Q104" i="108"/>
  <c r="R104" i="108" s="1"/>
  <c r="Q103" i="108"/>
  <c r="R103" i="108" s="1"/>
  <c r="Q102" i="108"/>
  <c r="R102" i="108" s="1"/>
  <c r="Q101" i="108"/>
  <c r="R101" i="108" s="1"/>
  <c r="Q100" i="108"/>
  <c r="R100" i="108" s="1"/>
  <c r="Q99" i="108"/>
  <c r="R99" i="108" s="1"/>
  <c r="Q98" i="108"/>
  <c r="R98" i="108" s="1"/>
  <c r="Q97" i="108"/>
  <c r="R97" i="108" s="1"/>
  <c r="Q96" i="108"/>
  <c r="R96" i="108" s="1"/>
  <c r="Q95" i="108"/>
  <c r="R95" i="108" s="1"/>
  <c r="Q94" i="108"/>
  <c r="R94" i="108" s="1"/>
  <c r="Q93" i="108"/>
  <c r="R93" i="108" s="1"/>
  <c r="Q92" i="108"/>
  <c r="R92" i="108" s="1"/>
  <c r="Q91" i="108"/>
  <c r="R91" i="108" s="1"/>
  <c r="Q90" i="108"/>
  <c r="R90" i="108" s="1"/>
  <c r="Q89" i="108"/>
  <c r="R89" i="108" s="1"/>
  <c r="Q88" i="108"/>
  <c r="R88" i="108" s="1"/>
  <c r="Q87" i="108"/>
  <c r="R87" i="108" s="1"/>
  <c r="Q86" i="108"/>
  <c r="R86" i="108" s="1"/>
  <c r="Q85" i="108"/>
  <c r="R85" i="108" s="1"/>
  <c r="Q84" i="108"/>
  <c r="R84" i="108" s="1"/>
  <c r="Q83" i="108"/>
  <c r="R83" i="108" s="1"/>
  <c r="Q82" i="108"/>
  <c r="R82" i="108" s="1"/>
  <c r="Q81" i="108"/>
  <c r="R81" i="108" s="1"/>
  <c r="Q80" i="108"/>
  <c r="R80" i="108" s="1"/>
  <c r="Q79" i="108"/>
  <c r="R79" i="108" s="1"/>
  <c r="Q78" i="108"/>
  <c r="R78" i="108" s="1"/>
  <c r="Q77" i="108"/>
  <c r="R77" i="108" s="1"/>
  <c r="Q76" i="108"/>
  <c r="R76" i="108" s="1"/>
  <c r="Q75" i="108"/>
  <c r="R75" i="108" s="1"/>
  <c r="Q74" i="108"/>
  <c r="R74" i="108" s="1"/>
  <c r="Q73" i="108"/>
  <c r="R73" i="108" s="1"/>
  <c r="Q72" i="108"/>
  <c r="R72" i="108" s="1"/>
  <c r="Q71" i="108"/>
  <c r="R71" i="108" s="1"/>
  <c r="Q70" i="108"/>
  <c r="R70" i="108" s="1"/>
  <c r="Q69" i="108"/>
  <c r="R69" i="108" s="1"/>
  <c r="Q68" i="108"/>
  <c r="R68" i="108" s="1"/>
  <c r="Q67" i="108"/>
  <c r="R67" i="108" s="1"/>
  <c r="Q66" i="108"/>
  <c r="R66" i="108" s="1"/>
  <c r="Q65" i="108"/>
  <c r="R65" i="108" s="1"/>
  <c r="Q64" i="108"/>
  <c r="R64" i="108" s="1"/>
  <c r="Q63" i="108"/>
  <c r="R63" i="108" s="1"/>
  <c r="Q62" i="108"/>
  <c r="R62" i="108" s="1"/>
  <c r="Q61" i="108"/>
  <c r="R61" i="108" s="1"/>
  <c r="Q60" i="108"/>
  <c r="R60" i="108" s="1"/>
  <c r="Q59" i="108"/>
  <c r="R59" i="108" s="1"/>
  <c r="Q58" i="108"/>
  <c r="R58" i="108" s="1"/>
  <c r="Q57" i="108"/>
  <c r="R57" i="108" s="1"/>
  <c r="Q56" i="108"/>
  <c r="R56" i="108" s="1"/>
  <c r="Q55" i="108"/>
  <c r="R55" i="108" s="1"/>
  <c r="Q54" i="108"/>
  <c r="R54" i="108" s="1"/>
  <c r="Q53" i="108"/>
  <c r="R53" i="108" s="1"/>
  <c r="Q52" i="108"/>
  <c r="R52" i="108" s="1"/>
  <c r="Q51" i="108"/>
  <c r="R51" i="108" s="1"/>
  <c r="Q50" i="108"/>
  <c r="R50" i="108" s="1"/>
  <c r="Q49" i="108"/>
  <c r="R49" i="108" s="1"/>
  <c r="Q48" i="108"/>
  <c r="R48" i="108" s="1"/>
  <c r="Q47" i="108"/>
  <c r="R47" i="108" s="1"/>
  <c r="Q46" i="108"/>
  <c r="R46" i="108" s="1"/>
  <c r="Q45" i="108"/>
  <c r="R45" i="108" s="1"/>
  <c r="Q44" i="108"/>
  <c r="R44" i="108" s="1"/>
  <c r="Q43" i="108"/>
  <c r="R43" i="108" s="1"/>
  <c r="Q42" i="108"/>
  <c r="R42" i="108" s="1"/>
  <c r="Q41" i="108"/>
  <c r="R41" i="108" s="1"/>
  <c r="Q40" i="108"/>
  <c r="R40" i="108" s="1"/>
  <c r="Q39" i="108"/>
  <c r="R39" i="108" s="1"/>
  <c r="Q38" i="108"/>
  <c r="R38" i="108" s="1"/>
  <c r="Q37" i="108"/>
  <c r="R37" i="108" s="1"/>
  <c r="Q36" i="108"/>
  <c r="R36" i="108" s="1"/>
  <c r="Q35" i="108"/>
  <c r="R35" i="108" s="1"/>
  <c r="Q34" i="108"/>
  <c r="R34" i="108" s="1"/>
  <c r="Q33" i="108"/>
  <c r="R33" i="108" s="1"/>
  <c r="Q32" i="108"/>
  <c r="R32" i="108" s="1"/>
  <c r="Q31" i="108"/>
  <c r="R31" i="108" s="1"/>
  <c r="Q30" i="108"/>
  <c r="R30" i="108" s="1"/>
  <c r="Q29" i="108"/>
  <c r="R29" i="108" s="1"/>
  <c r="Q28" i="108"/>
  <c r="R28" i="108" s="1"/>
  <c r="Q27" i="108"/>
  <c r="R27" i="108" s="1"/>
  <c r="Q26" i="108"/>
  <c r="R26" i="108" s="1"/>
  <c r="Q25" i="108"/>
  <c r="R25" i="108" s="1"/>
  <c r="Q24" i="108"/>
  <c r="R24" i="108" s="1"/>
  <c r="Q23" i="108"/>
  <c r="R23" i="108" s="1"/>
  <c r="Q22" i="108"/>
  <c r="R22" i="108" s="1"/>
  <c r="Q21" i="108"/>
  <c r="R21" i="108" s="1"/>
  <c r="Q20" i="108"/>
  <c r="R20" i="108" s="1"/>
  <c r="Q19" i="108"/>
  <c r="R19" i="108" s="1"/>
  <c r="Q18" i="108"/>
  <c r="R18" i="108" s="1"/>
  <c r="Q17" i="108"/>
  <c r="R17" i="108" s="1"/>
  <c r="Q16" i="108"/>
  <c r="Q14" i="108"/>
  <c r="Q13" i="108"/>
  <c r="Q12" i="108"/>
  <c r="L7" i="123"/>
  <c r="BD7" i="123" s="1"/>
  <c r="M7" i="123"/>
  <c r="BE7" i="123" s="1"/>
  <c r="N7" i="123"/>
  <c r="BF7" i="123" s="1"/>
  <c r="V7" i="123"/>
  <c r="BN7" i="123" s="1"/>
  <c r="W7" i="123"/>
  <c r="BO7" i="123" s="1"/>
  <c r="X7" i="123"/>
  <c r="BP7" i="123" s="1"/>
  <c r="M308" i="108"/>
  <c r="L308" i="108"/>
  <c r="K308" i="108"/>
  <c r="M421" i="108"/>
  <c r="L421" i="108"/>
  <c r="K421" i="108"/>
  <c r="M395" i="108"/>
  <c r="L395" i="108"/>
  <c r="K395" i="108"/>
  <c r="M386" i="108"/>
  <c r="L386" i="108"/>
  <c r="K386" i="108"/>
  <c r="M381" i="108"/>
  <c r="L381" i="108"/>
  <c r="K381" i="108"/>
  <c r="M379" i="108"/>
  <c r="L379" i="108"/>
  <c r="K379" i="108"/>
  <c r="M375" i="108"/>
  <c r="L375" i="108"/>
  <c r="K375" i="108"/>
  <c r="K361" i="108"/>
  <c r="L361" i="108"/>
  <c r="M361" i="108"/>
  <c r="K368" i="108"/>
  <c r="L368" i="108"/>
  <c r="M368" i="108"/>
  <c r="K356" i="108"/>
  <c r="L356" i="108"/>
  <c r="M356" i="108"/>
  <c r="K351" i="108"/>
  <c r="L351" i="108"/>
  <c r="M351" i="108"/>
  <c r="K352" i="108"/>
  <c r="L352" i="108"/>
  <c r="M352" i="108"/>
  <c r="K348" i="108"/>
  <c r="L348" i="108"/>
  <c r="M348" i="108"/>
  <c r="M309" i="108"/>
  <c r="L309" i="108"/>
  <c r="K309" i="108"/>
  <c r="M64" i="108"/>
  <c r="L64" i="108"/>
  <c r="K64" i="108"/>
  <c r="F861" i="108"/>
  <c r="C34" i="109" s="1"/>
  <c r="E861" i="108"/>
  <c r="C33" i="109" s="1"/>
  <c r="D861" i="108"/>
  <c r="D867" i="108" s="1"/>
  <c r="M60" i="108"/>
  <c r="L60" i="108"/>
  <c r="K60" i="108"/>
  <c r="M78" i="108"/>
  <c r="L78" i="108"/>
  <c r="K78" i="108"/>
  <c r="M859" i="108"/>
  <c r="L859" i="108"/>
  <c r="K859" i="108"/>
  <c r="M856" i="108"/>
  <c r="L856" i="108"/>
  <c r="K856" i="108"/>
  <c r="M851" i="108"/>
  <c r="L851" i="108"/>
  <c r="K851" i="108"/>
  <c r="M850" i="108"/>
  <c r="L850" i="108"/>
  <c r="K850" i="108"/>
  <c r="M846" i="108"/>
  <c r="L846" i="108"/>
  <c r="K846" i="108"/>
  <c r="M681" i="108"/>
  <c r="L681" i="108"/>
  <c r="K681" i="108"/>
  <c r="M680" i="108"/>
  <c r="L680" i="108"/>
  <c r="K680" i="108"/>
  <c r="M679" i="108"/>
  <c r="L679" i="108"/>
  <c r="K679" i="108"/>
  <c r="M341" i="108"/>
  <c r="L341" i="108"/>
  <c r="K341" i="108"/>
  <c r="M256" i="108"/>
  <c r="L256" i="108"/>
  <c r="K256" i="108"/>
  <c r="M55" i="108"/>
  <c r="L55" i="108"/>
  <c r="K55" i="108"/>
  <c r="M52" i="108"/>
  <c r="L52" i="108"/>
  <c r="K52" i="108"/>
  <c r="M51" i="108"/>
  <c r="L51" i="108"/>
  <c r="K51" i="108"/>
  <c r="M25" i="108"/>
  <c r="L25" i="108"/>
  <c r="K25" i="108"/>
  <c r="M76" i="108"/>
  <c r="L76" i="108"/>
  <c r="K76" i="108"/>
  <c r="M696" i="108"/>
  <c r="L696" i="108"/>
  <c r="K696" i="108"/>
  <c r="M389" i="108"/>
  <c r="L389" i="108"/>
  <c r="K389" i="108"/>
  <c r="M79" i="108"/>
  <c r="L79" i="108"/>
  <c r="K79" i="108"/>
  <c r="M77" i="108"/>
  <c r="L77" i="108"/>
  <c r="K77" i="108"/>
  <c r="M75" i="108"/>
  <c r="L75" i="108"/>
  <c r="K75" i="108"/>
  <c r="M74" i="108"/>
  <c r="L74" i="108"/>
  <c r="K74" i="108"/>
  <c r="M73" i="108"/>
  <c r="L73" i="108"/>
  <c r="K73" i="108"/>
  <c r="M72" i="108"/>
  <c r="L72" i="108"/>
  <c r="K72" i="108"/>
  <c r="M71" i="108"/>
  <c r="L71" i="108"/>
  <c r="K71" i="108"/>
  <c r="M70" i="108"/>
  <c r="L70" i="108"/>
  <c r="K70" i="108"/>
  <c r="M69" i="108"/>
  <c r="L69" i="108"/>
  <c r="K69" i="108"/>
  <c r="M68" i="108"/>
  <c r="L68" i="108"/>
  <c r="K68" i="108"/>
  <c r="M67" i="108"/>
  <c r="L67" i="108"/>
  <c r="K67" i="108"/>
  <c r="M65" i="108"/>
  <c r="L65" i="108"/>
  <c r="K65" i="108"/>
  <c r="M63" i="108"/>
  <c r="L63" i="108"/>
  <c r="K63" i="108"/>
  <c r="M62" i="108"/>
  <c r="L62" i="108"/>
  <c r="K62" i="108"/>
  <c r="K59" i="108"/>
  <c r="L59" i="108"/>
  <c r="M59" i="108"/>
  <c r="M58" i="108"/>
  <c r="L58" i="108"/>
  <c r="K58" i="108"/>
  <c r="M57" i="108"/>
  <c r="L57" i="108"/>
  <c r="K57" i="108"/>
  <c r="M56" i="108"/>
  <c r="L56" i="108"/>
  <c r="K56" i="108"/>
  <c r="M33" i="108"/>
  <c r="L33" i="108"/>
  <c r="K33" i="108"/>
  <c r="M22" i="108"/>
  <c r="L22" i="108"/>
  <c r="K22" i="108"/>
  <c r="M21" i="108"/>
  <c r="L21" i="108"/>
  <c r="K21" i="108"/>
  <c r="M20" i="108"/>
  <c r="L20" i="108"/>
  <c r="K20" i="108"/>
  <c r="M19" i="108"/>
  <c r="L19" i="108"/>
  <c r="K19" i="108"/>
  <c r="L50" i="108"/>
  <c r="M50" i="108"/>
  <c r="K50" i="108"/>
  <c r="M66" i="108"/>
  <c r="L66" i="108"/>
  <c r="K66" i="108"/>
  <c r="M61" i="108"/>
  <c r="L61" i="108"/>
  <c r="K61" i="108"/>
  <c r="M37" i="108"/>
  <c r="L37" i="108"/>
  <c r="K37" i="108"/>
  <c r="K258" i="108"/>
  <c r="L258" i="108"/>
  <c r="M258" i="108"/>
  <c r="K684" i="108"/>
  <c r="L684" i="108"/>
  <c r="M684" i="108"/>
  <c r="L693" i="108"/>
  <c r="M693" i="108"/>
  <c r="K693" i="108"/>
  <c r="AX25" i="123"/>
  <c r="AY25" i="123"/>
  <c r="AZ25" i="123"/>
  <c r="BA25" i="123"/>
  <c r="BB25" i="123"/>
  <c r="BC25" i="123"/>
  <c r="BD25" i="123"/>
  <c r="BE25" i="123"/>
  <c r="BF25" i="123"/>
  <c r="BH25" i="123"/>
  <c r="BI25" i="123"/>
  <c r="BJ25" i="123"/>
  <c r="BK25" i="123"/>
  <c r="BL25" i="123"/>
  <c r="BM25" i="123"/>
  <c r="BN25" i="123"/>
  <c r="BO25" i="123"/>
  <c r="BP25" i="123"/>
  <c r="AV25" i="123"/>
  <c r="V23" i="123"/>
  <c r="BN23" i="123" s="1"/>
  <c r="W23" i="123"/>
  <c r="BO23" i="123" s="1"/>
  <c r="X23" i="123"/>
  <c r="BP23" i="123" s="1"/>
  <c r="L23" i="123"/>
  <c r="BD23" i="123" s="1"/>
  <c r="M23" i="123"/>
  <c r="BE23" i="123" s="1"/>
  <c r="N23" i="123"/>
  <c r="BF23" i="123" s="1"/>
  <c r="I16" i="110"/>
  <c r="J16" i="110"/>
  <c r="H16" i="110"/>
  <c r="I14" i="110"/>
  <c r="J14" i="110"/>
  <c r="H14" i="110"/>
  <c r="AX23" i="123"/>
  <c r="AY23" i="123"/>
  <c r="AZ23" i="123"/>
  <c r="BA23" i="123"/>
  <c r="BB23" i="123"/>
  <c r="BC23" i="123"/>
  <c r="BH23" i="123"/>
  <c r="BI23" i="123"/>
  <c r="BJ23" i="123"/>
  <c r="BK23" i="123"/>
  <c r="BL23" i="123"/>
  <c r="BM23" i="123"/>
  <c r="B37" i="109"/>
  <c r="O145" i="132"/>
  <c r="M145" i="132"/>
  <c r="L145" i="132"/>
  <c r="N145" i="132" s="1"/>
  <c r="K145" i="132"/>
  <c r="J145" i="132"/>
  <c r="I145" i="132"/>
  <c r="H145" i="132"/>
  <c r="G145" i="132"/>
  <c r="F145" i="132"/>
  <c r="E145" i="132"/>
  <c r="D145" i="132"/>
  <c r="C145" i="132"/>
  <c r="O117" i="132"/>
  <c r="M117" i="132"/>
  <c r="N117" i="132" s="1"/>
  <c r="J117" i="132"/>
  <c r="K117" i="132"/>
  <c r="L117" i="132"/>
  <c r="I117" i="132"/>
  <c r="H117" i="132"/>
  <c r="G117" i="132"/>
  <c r="F117" i="132"/>
  <c r="E117" i="132"/>
  <c r="D117" i="132"/>
  <c r="C117" i="132"/>
  <c r="O91" i="132"/>
  <c r="N91" i="132"/>
  <c r="M91" i="132"/>
  <c r="L91" i="132"/>
  <c r="K91" i="132"/>
  <c r="J91" i="132"/>
  <c r="I91" i="132"/>
  <c r="H91" i="132"/>
  <c r="G91" i="132"/>
  <c r="F91" i="132"/>
  <c r="E91" i="132"/>
  <c r="D91" i="132"/>
  <c r="C91" i="132"/>
  <c r="O43" i="132"/>
  <c r="N43" i="132"/>
  <c r="M43" i="132"/>
  <c r="L43" i="132"/>
  <c r="K43" i="132"/>
  <c r="J43" i="132"/>
  <c r="I43" i="132"/>
  <c r="H43" i="132"/>
  <c r="G43" i="132"/>
  <c r="F43" i="132"/>
  <c r="E43" i="132"/>
  <c r="D43" i="132"/>
  <c r="C43" i="132"/>
  <c r="O14" i="132"/>
  <c r="O147" i="132" s="1"/>
  <c r="M14" i="132"/>
  <c r="M147" i="132" s="1"/>
  <c r="L14" i="132"/>
  <c r="L147" i="132" s="1"/>
  <c r="N147" i="132" s="1"/>
  <c r="N14" i="132"/>
  <c r="K14" i="132"/>
  <c r="K147" i="132" s="1"/>
  <c r="K549" i="132" s="1"/>
  <c r="C22" i="109" s="1"/>
  <c r="J14" i="132"/>
  <c r="J147" i="132" s="1"/>
  <c r="J549" i="132" s="1"/>
  <c r="C21" i="109" s="1"/>
  <c r="I14" i="132"/>
  <c r="I147" i="132" s="1"/>
  <c r="I549" i="132" s="1"/>
  <c r="C20" i="109" s="1"/>
  <c r="G20" i="109" s="1"/>
  <c r="H14" i="132"/>
  <c r="H147" i="132" s="1"/>
  <c r="H549" i="132" s="1"/>
  <c r="C19" i="109" s="1"/>
  <c r="G14" i="132"/>
  <c r="G147" i="132" s="1"/>
  <c r="G549" i="132" s="1"/>
  <c r="C18" i="109" s="1"/>
  <c r="F14" i="132"/>
  <c r="F147" i="132" s="1"/>
  <c r="F549" i="132" s="1"/>
  <c r="C17" i="109" s="1"/>
  <c r="E14" i="132"/>
  <c r="E147" i="132" s="1"/>
  <c r="E549" i="132" s="1"/>
  <c r="D14" i="132"/>
  <c r="D147" i="132" s="1"/>
  <c r="D549" i="132" s="1"/>
  <c r="C14" i="132"/>
  <c r="C147" i="132" s="1"/>
  <c r="C549" i="132" s="1"/>
  <c r="F449" i="110"/>
  <c r="E449" i="110"/>
  <c r="D449" i="110"/>
  <c r="X5" i="116"/>
  <c r="AA5" i="116" s="1"/>
  <c r="Y5" i="116"/>
  <c r="Z5" i="116"/>
  <c r="AC5" i="116" s="1"/>
  <c r="AF5" i="116"/>
  <c r="AG5" i="116"/>
  <c r="AH5" i="116"/>
  <c r="AN5" i="116"/>
  <c r="AW5" i="116" s="1"/>
  <c r="AO5" i="116"/>
  <c r="AP5" i="116"/>
  <c r="AY5" i="116" s="1"/>
  <c r="BA5" i="116"/>
  <c r="BB5" i="116"/>
  <c r="BC5" i="116"/>
  <c r="X6" i="116"/>
  <c r="AA6" i="116" s="1"/>
  <c r="Y6" i="116"/>
  <c r="Z6" i="116"/>
  <c r="AC6" i="116" s="1"/>
  <c r="AF6" i="116"/>
  <c r="AG6" i="116"/>
  <c r="AH6" i="116"/>
  <c r="AN6" i="116"/>
  <c r="AO6" i="116"/>
  <c r="AP6" i="116"/>
  <c r="AY6" i="116" s="1"/>
  <c r="BA6" i="116"/>
  <c r="BB6" i="116"/>
  <c r="BC6" i="116"/>
  <c r="X7" i="116"/>
  <c r="Y7" i="116"/>
  <c r="AB7" i="116" s="1"/>
  <c r="Z7" i="116"/>
  <c r="AC7" i="116" s="1"/>
  <c r="AF7" i="116"/>
  <c r="AG7" i="116"/>
  <c r="AH7" i="116"/>
  <c r="AN7" i="116"/>
  <c r="AO7" i="116"/>
  <c r="AP7" i="116"/>
  <c r="AY7" i="116" s="1"/>
  <c r="BA7" i="116"/>
  <c r="BB7" i="116"/>
  <c r="BC7" i="116"/>
  <c r="X8" i="116"/>
  <c r="Y8" i="116"/>
  <c r="AB8" i="116" s="1"/>
  <c r="Z8" i="116"/>
  <c r="AC8" i="116" s="1"/>
  <c r="AF8" i="116"/>
  <c r="AG8" i="116"/>
  <c r="AH8" i="116"/>
  <c r="AN8" i="116"/>
  <c r="AO8" i="116"/>
  <c r="AP8" i="116"/>
  <c r="AY8" i="116" s="1"/>
  <c r="BA8" i="116"/>
  <c r="BB8" i="116"/>
  <c r="BC8" i="116"/>
  <c r="X9" i="116"/>
  <c r="AA9" i="116" s="1"/>
  <c r="Y9" i="116"/>
  <c r="AB9" i="116" s="1"/>
  <c r="Z9" i="116"/>
  <c r="AF9" i="116"/>
  <c r="AG9" i="116"/>
  <c r="AH9" i="116"/>
  <c r="AN9" i="116"/>
  <c r="AO9" i="116"/>
  <c r="AP9" i="116"/>
  <c r="AY9" i="116" s="1"/>
  <c r="BA9" i="116"/>
  <c r="BB9" i="116"/>
  <c r="BC9" i="116"/>
  <c r="X10" i="116"/>
  <c r="AA10" i="116" s="1"/>
  <c r="Y10" i="116"/>
  <c r="Z10" i="116"/>
  <c r="AC10" i="116" s="1"/>
  <c r="AF10" i="116"/>
  <c r="AG10" i="116"/>
  <c r="AH10" i="116"/>
  <c r="AN10" i="116"/>
  <c r="AO10" i="116"/>
  <c r="AP10" i="116"/>
  <c r="AY10" i="116" s="1"/>
  <c r="BA10" i="116"/>
  <c r="BB10" i="116"/>
  <c r="BC10" i="116"/>
  <c r="X11" i="116"/>
  <c r="Y11" i="116"/>
  <c r="AB11" i="116" s="1"/>
  <c r="Z11" i="116"/>
  <c r="AF11" i="116"/>
  <c r="AG11" i="116"/>
  <c r="AH11" i="116"/>
  <c r="AN11" i="116"/>
  <c r="AO11" i="116"/>
  <c r="AP11" i="116"/>
  <c r="AY11" i="116" s="1"/>
  <c r="BA11" i="116"/>
  <c r="BB11" i="116"/>
  <c r="BC11" i="116"/>
  <c r="X12" i="116"/>
  <c r="AA12" i="116" s="1"/>
  <c r="Y12" i="116"/>
  <c r="AB12" i="116" s="1"/>
  <c r="Z12" i="116"/>
  <c r="AF12" i="116"/>
  <c r="AG12" i="116"/>
  <c r="AH12" i="116"/>
  <c r="AN12" i="116"/>
  <c r="AO12" i="116"/>
  <c r="AP12" i="116"/>
  <c r="BA12" i="116"/>
  <c r="BB12" i="116"/>
  <c r="BC12" i="116"/>
  <c r="X13" i="116"/>
  <c r="Y13" i="116"/>
  <c r="AB13" i="116" s="1"/>
  <c r="Z13" i="116"/>
  <c r="AC13" i="116" s="1"/>
  <c r="AF13" i="116"/>
  <c r="AG13" i="116"/>
  <c r="AH13" i="116"/>
  <c r="AN13" i="116"/>
  <c r="AO13" i="116"/>
  <c r="AP13" i="116"/>
  <c r="BA13" i="116"/>
  <c r="BB13" i="116"/>
  <c r="BC13" i="116"/>
  <c r="X14" i="116"/>
  <c r="AA14" i="116" s="1"/>
  <c r="Y14" i="116"/>
  <c r="Z14" i="116"/>
  <c r="AC14" i="116" s="1"/>
  <c r="AF14" i="116"/>
  <c r="AG14" i="116"/>
  <c r="AH14" i="116"/>
  <c r="AN14" i="116"/>
  <c r="AO14" i="116"/>
  <c r="AP14" i="116"/>
  <c r="BA14" i="116"/>
  <c r="BB14" i="116"/>
  <c r="BC14" i="116"/>
  <c r="X15" i="116"/>
  <c r="AA15" i="116" s="1"/>
  <c r="Y15" i="116"/>
  <c r="AB15" i="116" s="1"/>
  <c r="Z15" i="116"/>
  <c r="AF15" i="116"/>
  <c r="AG15" i="116"/>
  <c r="AH15" i="116"/>
  <c r="AN15" i="116"/>
  <c r="AO15" i="116"/>
  <c r="AP15" i="116"/>
  <c r="BA15" i="116"/>
  <c r="BB15" i="116"/>
  <c r="BC15" i="116"/>
  <c r="X16" i="116"/>
  <c r="AA16" i="116" s="1"/>
  <c r="Y16" i="116"/>
  <c r="Z16" i="116"/>
  <c r="AC16" i="116" s="1"/>
  <c r="AF16" i="116"/>
  <c r="AG16" i="116"/>
  <c r="AH16" i="116"/>
  <c r="AN16" i="116"/>
  <c r="AO16" i="116"/>
  <c r="AP16" i="116"/>
  <c r="BA16" i="116"/>
  <c r="BB16" i="116"/>
  <c r="BC16" i="116"/>
  <c r="X17" i="116"/>
  <c r="Y17" i="116"/>
  <c r="AB17" i="116" s="1"/>
  <c r="Z17" i="116"/>
  <c r="AC17" i="116" s="1"/>
  <c r="AF17" i="116"/>
  <c r="AG17" i="116"/>
  <c r="AH17" i="116"/>
  <c r="AN17" i="116"/>
  <c r="AO17" i="116"/>
  <c r="AP17" i="116"/>
  <c r="BA17" i="116"/>
  <c r="BB17" i="116"/>
  <c r="BC17" i="116"/>
  <c r="X18" i="116"/>
  <c r="AA18" i="116" s="1"/>
  <c r="Y18" i="116"/>
  <c r="Z18" i="116"/>
  <c r="AF18" i="116"/>
  <c r="AG18" i="116"/>
  <c r="AH18" i="116"/>
  <c r="AN18" i="116"/>
  <c r="AO18" i="116"/>
  <c r="AP18" i="116"/>
  <c r="BA18" i="116"/>
  <c r="BB18" i="116"/>
  <c r="BC18" i="116"/>
  <c r="X19" i="116"/>
  <c r="Y19" i="116"/>
  <c r="Z19" i="116"/>
  <c r="AF19" i="116"/>
  <c r="AG19" i="116"/>
  <c r="AH19" i="116"/>
  <c r="AN19" i="116"/>
  <c r="AO19" i="116"/>
  <c r="AP19" i="116"/>
  <c r="BA19" i="116"/>
  <c r="BB19" i="116"/>
  <c r="BC19" i="116"/>
  <c r="X20" i="116"/>
  <c r="Y20" i="116"/>
  <c r="Z20" i="116"/>
  <c r="AC20" i="116" s="1"/>
  <c r="AF20" i="116"/>
  <c r="AG20" i="116"/>
  <c r="AH20" i="116"/>
  <c r="AN20" i="116"/>
  <c r="AO20" i="116"/>
  <c r="AP20" i="116"/>
  <c r="BA20" i="116"/>
  <c r="BB20" i="116"/>
  <c r="BC20" i="116"/>
  <c r="X21" i="116"/>
  <c r="AA21" i="116" s="1"/>
  <c r="Y21" i="116"/>
  <c r="AB21" i="116" s="1"/>
  <c r="Z21" i="116"/>
  <c r="AF21" i="116"/>
  <c r="AG21" i="116"/>
  <c r="AH21" i="116"/>
  <c r="AN21" i="116"/>
  <c r="AO21" i="116"/>
  <c r="AP21" i="116"/>
  <c r="BA21" i="116"/>
  <c r="BB21" i="116"/>
  <c r="BC21" i="116"/>
  <c r="X22" i="116"/>
  <c r="AA22" i="116" s="1"/>
  <c r="Y22" i="116"/>
  <c r="Z22" i="116"/>
  <c r="AF22" i="116"/>
  <c r="AG22" i="116"/>
  <c r="AH22" i="116"/>
  <c r="AN22" i="116"/>
  <c r="AO22" i="116"/>
  <c r="AP22" i="116"/>
  <c r="BA22" i="116"/>
  <c r="BB22" i="116"/>
  <c r="BC22" i="116"/>
  <c r="X23" i="116"/>
  <c r="Y23" i="116"/>
  <c r="AB23" i="116" s="1"/>
  <c r="Z23" i="116"/>
  <c r="AC23" i="116" s="1"/>
  <c r="AF23" i="116"/>
  <c r="AG23" i="116"/>
  <c r="AH23" i="116"/>
  <c r="AN23" i="116"/>
  <c r="AO23" i="116"/>
  <c r="AP23" i="116"/>
  <c r="BA23" i="116"/>
  <c r="BB23" i="116"/>
  <c r="BC23" i="116"/>
  <c r="X24" i="116"/>
  <c r="Y24" i="116"/>
  <c r="AB24" i="116" s="1"/>
  <c r="Z24" i="116"/>
  <c r="AC24" i="116" s="1"/>
  <c r="AF24" i="116"/>
  <c r="AG24" i="116"/>
  <c r="AH24" i="116"/>
  <c r="AN24" i="116"/>
  <c r="AO24" i="116"/>
  <c r="AP24" i="116"/>
  <c r="P24" i="116" s="1"/>
  <c r="BA24" i="116"/>
  <c r="BB24" i="116"/>
  <c r="BC24" i="116"/>
  <c r="X25" i="116"/>
  <c r="AA25" i="116" s="1"/>
  <c r="Y25" i="116"/>
  <c r="AB25" i="116" s="1"/>
  <c r="Z25" i="116"/>
  <c r="AC25" i="116" s="1"/>
  <c r="AF25" i="116"/>
  <c r="AG25" i="116"/>
  <c r="AH25" i="116"/>
  <c r="AN25" i="116"/>
  <c r="AO25" i="116"/>
  <c r="O25" i="116" s="1"/>
  <c r="R25" i="116" s="1"/>
  <c r="L390" i="110" s="1"/>
  <c r="AP25" i="116"/>
  <c r="P25" i="116" s="1"/>
  <c r="BA25" i="116"/>
  <c r="BB25" i="116"/>
  <c r="BC25" i="116"/>
  <c r="X26" i="116"/>
  <c r="AA26" i="116" s="1"/>
  <c r="Y26" i="116"/>
  <c r="Z26" i="116"/>
  <c r="AC26" i="116" s="1"/>
  <c r="AF26" i="116"/>
  <c r="AG26" i="116"/>
  <c r="AH26" i="116"/>
  <c r="AN26" i="116"/>
  <c r="AO26" i="116"/>
  <c r="O26" i="116" s="1"/>
  <c r="AP26" i="116"/>
  <c r="P26" i="116" s="1"/>
  <c r="BA26" i="116"/>
  <c r="BB26" i="116"/>
  <c r="BC26" i="116"/>
  <c r="X27" i="116"/>
  <c r="Y27" i="116"/>
  <c r="AB27" i="116" s="1"/>
  <c r="Z27" i="116"/>
  <c r="AF27" i="116"/>
  <c r="AG27" i="116"/>
  <c r="AH27" i="116"/>
  <c r="AN27" i="116"/>
  <c r="AO27" i="116"/>
  <c r="O27" i="116" s="1"/>
  <c r="I392" i="110" s="1"/>
  <c r="AP27" i="116"/>
  <c r="P27" i="116" s="1"/>
  <c r="BA27" i="116"/>
  <c r="BB27" i="116"/>
  <c r="BC27" i="116"/>
  <c r="X28" i="116"/>
  <c r="AA28" i="116" s="1"/>
  <c r="Y28" i="116"/>
  <c r="AB28" i="116" s="1"/>
  <c r="Z28" i="116"/>
  <c r="AC28" i="116" s="1"/>
  <c r="AF28" i="116"/>
  <c r="AG28" i="116"/>
  <c r="AH28" i="116"/>
  <c r="AN28" i="116"/>
  <c r="AO28" i="116"/>
  <c r="O28" i="116" s="1"/>
  <c r="I393" i="110" s="1"/>
  <c r="AP28" i="116"/>
  <c r="P28" i="116" s="1"/>
  <c r="BA28" i="116"/>
  <c r="BB28" i="116"/>
  <c r="BC28" i="116"/>
  <c r="X29" i="116"/>
  <c r="Y29" i="116"/>
  <c r="AB29" i="116" s="1"/>
  <c r="Z29" i="116"/>
  <c r="AC29" i="116" s="1"/>
  <c r="AF29" i="116"/>
  <c r="AG29" i="116"/>
  <c r="AH29" i="116"/>
  <c r="AN29" i="116"/>
  <c r="AO29" i="116"/>
  <c r="O29" i="116" s="1"/>
  <c r="AP29" i="116"/>
  <c r="P29" i="116" s="1"/>
  <c r="BA29" i="116"/>
  <c r="BB29" i="116"/>
  <c r="BC29" i="116"/>
  <c r="X30" i="116"/>
  <c r="AA30" i="116" s="1"/>
  <c r="Y30" i="116"/>
  <c r="Z30" i="116"/>
  <c r="AC30" i="116" s="1"/>
  <c r="AF30" i="116"/>
  <c r="AG30" i="116"/>
  <c r="AH30" i="116"/>
  <c r="AN30" i="116"/>
  <c r="AO30" i="116"/>
  <c r="AP30" i="116"/>
  <c r="BA30" i="116"/>
  <c r="BB30" i="116"/>
  <c r="BC30" i="116"/>
  <c r="X31" i="116"/>
  <c r="Y31" i="116"/>
  <c r="Z31" i="116"/>
  <c r="AC31" i="116" s="1"/>
  <c r="AF31" i="116"/>
  <c r="AG31" i="116"/>
  <c r="AH31" i="116"/>
  <c r="AN31" i="116"/>
  <c r="AO31" i="116"/>
  <c r="AP31" i="116"/>
  <c r="BA31" i="116"/>
  <c r="BB31" i="116"/>
  <c r="BC31" i="116"/>
  <c r="X32" i="116"/>
  <c r="AA32" i="116" s="1"/>
  <c r="Y32" i="116"/>
  <c r="Z32" i="116"/>
  <c r="AF32" i="116"/>
  <c r="AG32" i="116"/>
  <c r="AH32" i="116"/>
  <c r="AN32" i="116"/>
  <c r="N32" i="116" s="1"/>
  <c r="AO32" i="116"/>
  <c r="AP32" i="116"/>
  <c r="BA32" i="116"/>
  <c r="BB32" i="116"/>
  <c r="BC32" i="116"/>
  <c r="X33" i="116"/>
  <c r="AA33" i="116" s="1"/>
  <c r="Y33" i="116"/>
  <c r="AB33" i="116" s="1"/>
  <c r="Z33" i="116"/>
  <c r="AC33" i="116" s="1"/>
  <c r="AF33" i="116"/>
  <c r="AG33" i="116"/>
  <c r="AH33" i="116"/>
  <c r="AN33" i="116"/>
  <c r="AO33" i="116"/>
  <c r="AP33" i="116"/>
  <c r="BA33" i="116"/>
  <c r="BB33" i="116"/>
  <c r="BC33" i="116"/>
  <c r="X34" i="116"/>
  <c r="AA34" i="116" s="1"/>
  <c r="Y34" i="116"/>
  <c r="Z34" i="116"/>
  <c r="AC34" i="116" s="1"/>
  <c r="AF34" i="116"/>
  <c r="AG34" i="116"/>
  <c r="AH34" i="116"/>
  <c r="AN34" i="116"/>
  <c r="AO34" i="116"/>
  <c r="AP34" i="116"/>
  <c r="P34" i="116" s="1"/>
  <c r="BA34" i="116"/>
  <c r="BB34" i="116"/>
  <c r="BC34" i="116"/>
  <c r="X35" i="116"/>
  <c r="Y35" i="116"/>
  <c r="Z35" i="116"/>
  <c r="AC35" i="116" s="1"/>
  <c r="AF35" i="116"/>
  <c r="AG35" i="116"/>
  <c r="AH35" i="116"/>
  <c r="AN35" i="116"/>
  <c r="AO35" i="116"/>
  <c r="AP35" i="116"/>
  <c r="BA35" i="116"/>
  <c r="BB35" i="116"/>
  <c r="BC35" i="116"/>
  <c r="X36" i="116"/>
  <c r="Y36" i="116"/>
  <c r="Z36" i="116"/>
  <c r="AC36" i="116" s="1"/>
  <c r="AF36" i="116"/>
  <c r="AG36" i="116"/>
  <c r="AH36" i="116"/>
  <c r="AN36" i="116"/>
  <c r="AO36" i="116"/>
  <c r="O36" i="116" s="1"/>
  <c r="R36" i="116" s="1"/>
  <c r="AP36" i="116"/>
  <c r="BA36" i="116"/>
  <c r="BB36" i="116"/>
  <c r="BC36" i="116"/>
  <c r="X37" i="116"/>
  <c r="Y37" i="116"/>
  <c r="AB37" i="116" s="1"/>
  <c r="Z37" i="116"/>
  <c r="AC37" i="116" s="1"/>
  <c r="AF37" i="116"/>
  <c r="AG37" i="116"/>
  <c r="AH37" i="116"/>
  <c r="AN37" i="116"/>
  <c r="N37" i="116" s="1"/>
  <c r="AO37" i="116"/>
  <c r="AP37" i="116"/>
  <c r="BA37" i="116"/>
  <c r="BB37" i="116"/>
  <c r="BC37" i="116"/>
  <c r="X38" i="116"/>
  <c r="Y38" i="116"/>
  <c r="AB38" i="116" s="1"/>
  <c r="Z38" i="116"/>
  <c r="AC38" i="116" s="1"/>
  <c r="AF38" i="116"/>
  <c r="AG38" i="116"/>
  <c r="AH38" i="116"/>
  <c r="AN38" i="116"/>
  <c r="AO38" i="116"/>
  <c r="O38" i="116" s="1"/>
  <c r="R38" i="116" s="1"/>
  <c r="AP38" i="116"/>
  <c r="BA38" i="116"/>
  <c r="BB38" i="116"/>
  <c r="BC38" i="116"/>
  <c r="X39" i="116"/>
  <c r="Y39" i="116"/>
  <c r="Z39" i="116"/>
  <c r="AC39" i="116" s="1"/>
  <c r="AF39" i="116"/>
  <c r="AG39" i="116"/>
  <c r="AH39" i="116"/>
  <c r="AN39" i="116"/>
  <c r="AO39" i="116"/>
  <c r="AP39" i="116"/>
  <c r="BA39" i="116"/>
  <c r="BB39" i="116"/>
  <c r="BC39" i="116"/>
  <c r="X40" i="116"/>
  <c r="Y40" i="116"/>
  <c r="AB40" i="116" s="1"/>
  <c r="Z40" i="116"/>
  <c r="AC40" i="116" s="1"/>
  <c r="AF40" i="116"/>
  <c r="AG40" i="116"/>
  <c r="AH40" i="116"/>
  <c r="AN40" i="116"/>
  <c r="N40" i="116" s="1"/>
  <c r="AO40" i="116"/>
  <c r="AP40" i="116"/>
  <c r="BA40" i="116"/>
  <c r="BB40" i="116"/>
  <c r="BC40" i="116"/>
  <c r="X41" i="116"/>
  <c r="AA41" i="116" s="1"/>
  <c r="Y41" i="116"/>
  <c r="AB41" i="116" s="1"/>
  <c r="Z41" i="116"/>
  <c r="AF41" i="116"/>
  <c r="AG41" i="116"/>
  <c r="AH41" i="116"/>
  <c r="AN41" i="116"/>
  <c r="N41" i="116" s="1"/>
  <c r="AO41" i="116"/>
  <c r="AP41" i="116"/>
  <c r="BA41" i="116"/>
  <c r="BB41" i="116"/>
  <c r="BC41" i="116"/>
  <c r="X42" i="116"/>
  <c r="AA42" i="116" s="1"/>
  <c r="Y42" i="116"/>
  <c r="AB42" i="116" s="1"/>
  <c r="Z42" i="116"/>
  <c r="AC42" i="116" s="1"/>
  <c r="AF42" i="116"/>
  <c r="AG42" i="116"/>
  <c r="AH42" i="116"/>
  <c r="AN42" i="116"/>
  <c r="AO42" i="116"/>
  <c r="AP42" i="116"/>
  <c r="BA42" i="116"/>
  <c r="BB42" i="116"/>
  <c r="BC42" i="116"/>
  <c r="X43" i="116"/>
  <c r="AA43" i="116" s="1"/>
  <c r="Y43" i="116"/>
  <c r="AB43" i="116" s="1"/>
  <c r="Z43" i="116"/>
  <c r="AF43" i="116"/>
  <c r="AG43" i="116"/>
  <c r="AH43" i="116"/>
  <c r="AN43" i="116"/>
  <c r="N43" i="116" s="1"/>
  <c r="AO43" i="116"/>
  <c r="AP43" i="116"/>
  <c r="BA43" i="116"/>
  <c r="BB43" i="116"/>
  <c r="BC43" i="116"/>
  <c r="X44" i="116"/>
  <c r="AA44" i="116" s="1"/>
  <c r="Y44" i="116"/>
  <c r="Z44" i="116"/>
  <c r="AC44" i="116" s="1"/>
  <c r="AF44" i="116"/>
  <c r="AG44" i="116"/>
  <c r="AX44" i="116" s="1"/>
  <c r="AH44" i="116"/>
  <c r="AN44" i="116"/>
  <c r="AO44" i="116"/>
  <c r="O44" i="116" s="1"/>
  <c r="AP44" i="116"/>
  <c r="BA44" i="116"/>
  <c r="BB44" i="116"/>
  <c r="BC44" i="116"/>
  <c r="X45" i="116"/>
  <c r="Y45" i="116"/>
  <c r="AB45" i="116" s="1"/>
  <c r="Z45" i="116"/>
  <c r="AF45" i="116"/>
  <c r="AG45" i="116"/>
  <c r="AH45" i="116"/>
  <c r="AN45" i="116"/>
  <c r="N45" i="116" s="1"/>
  <c r="H410" i="110" s="1"/>
  <c r="AO45" i="116"/>
  <c r="AP45" i="116"/>
  <c r="BA45" i="116"/>
  <c r="BB45" i="116"/>
  <c r="BC45" i="116"/>
  <c r="X46" i="116"/>
  <c r="AA46" i="116" s="1"/>
  <c r="Y46" i="116"/>
  <c r="Z46" i="116"/>
  <c r="AC46" i="116" s="1"/>
  <c r="AF46" i="116"/>
  <c r="AG46" i="116"/>
  <c r="AH46" i="116"/>
  <c r="AN46" i="116"/>
  <c r="AO46" i="116"/>
  <c r="O46" i="116" s="1"/>
  <c r="AP46" i="116"/>
  <c r="BA46" i="116"/>
  <c r="BB46" i="116"/>
  <c r="BC46" i="116"/>
  <c r="X47" i="116"/>
  <c r="Y47" i="116"/>
  <c r="Z47" i="116"/>
  <c r="AF47" i="116"/>
  <c r="AG47" i="116"/>
  <c r="AH47" i="116"/>
  <c r="AN47" i="116"/>
  <c r="AO47" i="116"/>
  <c r="AP47" i="116"/>
  <c r="BA47" i="116"/>
  <c r="BB47" i="116"/>
  <c r="BC47" i="116"/>
  <c r="X48" i="116"/>
  <c r="Y48" i="116"/>
  <c r="AB48" i="116" s="1"/>
  <c r="Z48" i="116"/>
  <c r="AC48" i="116" s="1"/>
  <c r="AF48" i="116"/>
  <c r="AG48" i="116"/>
  <c r="AH48" i="116"/>
  <c r="AN48" i="116"/>
  <c r="N48" i="116" s="1"/>
  <c r="H413" i="110" s="1"/>
  <c r="AO48" i="116"/>
  <c r="AP48" i="116"/>
  <c r="BA48" i="116"/>
  <c r="BB48" i="116"/>
  <c r="BC48" i="116"/>
  <c r="X49" i="116"/>
  <c r="AA49" i="116" s="1"/>
  <c r="Y49" i="116"/>
  <c r="Z49" i="116"/>
  <c r="AC49" i="116" s="1"/>
  <c r="AF49" i="116"/>
  <c r="AG49" i="116"/>
  <c r="AH49" i="116"/>
  <c r="AN49" i="116"/>
  <c r="AO49" i="116"/>
  <c r="AP49" i="116"/>
  <c r="P49" i="116" s="1"/>
  <c r="J414" i="110" s="1"/>
  <c r="BA49" i="116"/>
  <c r="BB49" i="116"/>
  <c r="BC49" i="116"/>
  <c r="X50" i="116"/>
  <c r="Y50" i="116"/>
  <c r="AB50" i="116" s="1"/>
  <c r="Z50" i="116"/>
  <c r="AF50" i="116"/>
  <c r="AG50" i="116"/>
  <c r="AH50" i="116"/>
  <c r="AN50" i="116"/>
  <c r="N50" i="116" s="1"/>
  <c r="Q50" i="116" s="1"/>
  <c r="K415" i="110" s="1"/>
  <c r="AO50" i="116"/>
  <c r="AP50" i="116"/>
  <c r="P50" i="116" s="1"/>
  <c r="J415" i="110" s="1"/>
  <c r="BA50" i="116"/>
  <c r="BB50" i="116"/>
  <c r="BC50" i="116"/>
  <c r="X51" i="116"/>
  <c r="AA51" i="116" s="1"/>
  <c r="Y51" i="116"/>
  <c r="Z51" i="116"/>
  <c r="AC51" i="116" s="1"/>
  <c r="AF51" i="116"/>
  <c r="AG51" i="116"/>
  <c r="AH51" i="116"/>
  <c r="AN51" i="116"/>
  <c r="N51" i="116" s="1"/>
  <c r="AO51" i="116"/>
  <c r="AP51" i="116"/>
  <c r="P51" i="116" s="1"/>
  <c r="BA51" i="116"/>
  <c r="BB51" i="116"/>
  <c r="BC51" i="116"/>
  <c r="X52" i="116"/>
  <c r="Y52" i="116"/>
  <c r="Z52" i="116"/>
  <c r="AC52" i="116" s="1"/>
  <c r="AF52" i="116"/>
  <c r="AG52" i="116"/>
  <c r="AH52" i="116"/>
  <c r="AN52" i="116"/>
  <c r="N52" i="116" s="1"/>
  <c r="H417" i="110" s="1"/>
  <c r="AO52" i="116"/>
  <c r="AP52" i="116"/>
  <c r="AY52" i="116" s="1"/>
  <c r="BA52" i="116"/>
  <c r="BB52" i="116"/>
  <c r="BC52" i="116"/>
  <c r="X53" i="116"/>
  <c r="AA53" i="116" s="1"/>
  <c r="Y53" i="116"/>
  <c r="Z53" i="116"/>
  <c r="AF53" i="116"/>
  <c r="AG53" i="116"/>
  <c r="AH53" i="116"/>
  <c r="AN53" i="116"/>
  <c r="N53" i="116" s="1"/>
  <c r="Q53" i="116" s="1"/>
  <c r="K418" i="110" s="1"/>
  <c r="AO53" i="116"/>
  <c r="AP53" i="116"/>
  <c r="P53" i="116" s="1"/>
  <c r="BA53" i="116"/>
  <c r="BB53" i="116"/>
  <c r="BC53" i="116"/>
  <c r="X54" i="116"/>
  <c r="Y54" i="116"/>
  <c r="Z54" i="116"/>
  <c r="AF54" i="116"/>
  <c r="AG54" i="116"/>
  <c r="AH54" i="116"/>
  <c r="AN54" i="116"/>
  <c r="N54" i="116" s="1"/>
  <c r="Q54" i="116" s="1"/>
  <c r="K419" i="110" s="1"/>
  <c r="AO54" i="116"/>
  <c r="O54" i="116" s="1"/>
  <c r="R54" i="116" s="1"/>
  <c r="L419" i="110" s="1"/>
  <c r="AP54" i="116"/>
  <c r="AY54" i="116" s="1"/>
  <c r="BA54" i="116"/>
  <c r="BB54" i="116"/>
  <c r="BC54" i="116"/>
  <c r="X55" i="116"/>
  <c r="Y55" i="116"/>
  <c r="AB55" i="116" s="1"/>
  <c r="Z55" i="116"/>
  <c r="AC55" i="116" s="1"/>
  <c r="AF55" i="116"/>
  <c r="AG55" i="116"/>
  <c r="AH55" i="116"/>
  <c r="AN55" i="116"/>
  <c r="N55" i="116" s="1"/>
  <c r="AO55" i="116"/>
  <c r="AP55" i="116"/>
  <c r="P55" i="116" s="1"/>
  <c r="J420" i="110" s="1"/>
  <c r="BA55" i="116"/>
  <c r="BB55" i="116"/>
  <c r="BC55" i="116"/>
  <c r="X56" i="116"/>
  <c r="Y56" i="116"/>
  <c r="AB56" i="116" s="1"/>
  <c r="Z56" i="116"/>
  <c r="AC56" i="116" s="1"/>
  <c r="AF56" i="116"/>
  <c r="AG56" i="116"/>
  <c r="AH56" i="116"/>
  <c r="AN56" i="116"/>
  <c r="AW56" i="116" s="1"/>
  <c r="AO56" i="116"/>
  <c r="O56" i="116" s="1"/>
  <c r="AP56" i="116"/>
  <c r="P56" i="116" s="1"/>
  <c r="BA56" i="116"/>
  <c r="BB56" i="116"/>
  <c r="BC56" i="116"/>
  <c r="X57" i="116"/>
  <c r="Y57" i="116"/>
  <c r="AB57" i="116" s="1"/>
  <c r="Z57" i="116"/>
  <c r="AF57" i="116"/>
  <c r="AG57" i="116"/>
  <c r="AX57" i="116" s="1"/>
  <c r="AH57" i="116"/>
  <c r="AN57" i="116"/>
  <c r="AO57" i="116"/>
  <c r="O57" i="116" s="1"/>
  <c r="I422" i="110" s="1"/>
  <c r="AP57" i="116"/>
  <c r="P57" i="116" s="1"/>
  <c r="J422" i="110" s="1"/>
  <c r="BA57" i="116"/>
  <c r="BB57" i="116"/>
  <c r="BC57" i="116"/>
  <c r="X58" i="116"/>
  <c r="Y58" i="116"/>
  <c r="Z58" i="116"/>
  <c r="AC58" i="116" s="1"/>
  <c r="AF58" i="116"/>
  <c r="AG58" i="116"/>
  <c r="AH58" i="116"/>
  <c r="AN58" i="116"/>
  <c r="N58" i="116" s="1"/>
  <c r="H423" i="110" s="1"/>
  <c r="AO58" i="116"/>
  <c r="AP58" i="116"/>
  <c r="P58" i="116" s="1"/>
  <c r="BA58" i="116"/>
  <c r="BB58" i="116"/>
  <c r="BC58" i="116"/>
  <c r="X59" i="116"/>
  <c r="AA59" i="116" s="1"/>
  <c r="Y59" i="116"/>
  <c r="Z59" i="116"/>
  <c r="AC59" i="116" s="1"/>
  <c r="AF59" i="116"/>
  <c r="AG59" i="116"/>
  <c r="AH59" i="116"/>
  <c r="AN59" i="116"/>
  <c r="AW59" i="116" s="1"/>
  <c r="AO59" i="116"/>
  <c r="AP59" i="116"/>
  <c r="P59" i="116" s="1"/>
  <c r="J424" i="110" s="1"/>
  <c r="BA59" i="116"/>
  <c r="BB59" i="116"/>
  <c r="BC59" i="116"/>
  <c r="X60" i="116"/>
  <c r="Y60" i="116"/>
  <c r="Z60" i="116"/>
  <c r="AF60" i="116"/>
  <c r="AG60" i="116"/>
  <c r="AH60" i="116"/>
  <c r="AN60" i="116"/>
  <c r="N60" i="116" s="1"/>
  <c r="AO60" i="116"/>
  <c r="AP60" i="116"/>
  <c r="P60" i="116" s="1"/>
  <c r="BA60" i="116"/>
  <c r="BB60" i="116"/>
  <c r="BC60" i="116"/>
  <c r="X61" i="116"/>
  <c r="Y61" i="116"/>
  <c r="AB61" i="116" s="1"/>
  <c r="Z61" i="116"/>
  <c r="AC61" i="116" s="1"/>
  <c r="AF61" i="116"/>
  <c r="AG61" i="116"/>
  <c r="AH61" i="116"/>
  <c r="AN61" i="116"/>
  <c r="AW61" i="116" s="1"/>
  <c r="AO61" i="116"/>
  <c r="AP61" i="116"/>
  <c r="P61" i="116" s="1"/>
  <c r="BA61" i="116"/>
  <c r="BB61" i="116"/>
  <c r="BC61" i="116"/>
  <c r="X62" i="116"/>
  <c r="Y62" i="116"/>
  <c r="AB62" i="116" s="1"/>
  <c r="Z62" i="116"/>
  <c r="AF62" i="116"/>
  <c r="AG62" i="116"/>
  <c r="AH62" i="116"/>
  <c r="AN62" i="116"/>
  <c r="N62" i="116" s="1"/>
  <c r="H427" i="110" s="1"/>
  <c r="AO62" i="116"/>
  <c r="AP62" i="116"/>
  <c r="P62" i="116" s="1"/>
  <c r="BA62" i="116"/>
  <c r="BB62" i="116"/>
  <c r="BC62" i="116"/>
  <c r="X63" i="116"/>
  <c r="AA63" i="116" s="1"/>
  <c r="Y63" i="116"/>
  <c r="AB63" i="116" s="1"/>
  <c r="Z63" i="116"/>
  <c r="AC63" i="116" s="1"/>
  <c r="AF63" i="116"/>
  <c r="AG63" i="116"/>
  <c r="AH63" i="116"/>
  <c r="AN63" i="116"/>
  <c r="N63" i="116" s="1"/>
  <c r="AO63" i="116"/>
  <c r="O63" i="116" s="1"/>
  <c r="I428" i="110" s="1"/>
  <c r="AP63" i="116"/>
  <c r="P63" i="116" s="1"/>
  <c r="J428" i="110" s="1"/>
  <c r="BA63" i="116"/>
  <c r="BB63" i="116"/>
  <c r="BC63" i="116"/>
  <c r="X64" i="116"/>
  <c r="AA64" i="116" s="1"/>
  <c r="Y64" i="116"/>
  <c r="Z64" i="116"/>
  <c r="AC64" i="116" s="1"/>
  <c r="AF64" i="116"/>
  <c r="AG64" i="116"/>
  <c r="AH64" i="116"/>
  <c r="AN64" i="116"/>
  <c r="N64" i="116" s="1"/>
  <c r="Q64" i="116" s="1"/>
  <c r="K429" i="110" s="1"/>
  <c r="AO64" i="116"/>
  <c r="AP64" i="116"/>
  <c r="P64" i="116" s="1"/>
  <c r="J429" i="110" s="1"/>
  <c r="BA64" i="116"/>
  <c r="BB64" i="116"/>
  <c r="BC64" i="116"/>
  <c r="X65" i="116"/>
  <c r="AA65" i="116" s="1"/>
  <c r="Y65" i="116"/>
  <c r="AB65" i="116" s="1"/>
  <c r="Z65" i="116"/>
  <c r="AF65" i="116"/>
  <c r="AG65" i="116"/>
  <c r="AH65" i="116"/>
  <c r="AN65" i="116"/>
  <c r="N65" i="116" s="1"/>
  <c r="AO65" i="116"/>
  <c r="AP65" i="116"/>
  <c r="BA65" i="116"/>
  <c r="BB65" i="116"/>
  <c r="BC65" i="116"/>
  <c r="X66" i="116"/>
  <c r="AA66" i="116" s="1"/>
  <c r="Y66" i="116"/>
  <c r="Z66" i="116"/>
  <c r="AC66" i="116" s="1"/>
  <c r="AF66" i="116"/>
  <c r="AG66" i="116"/>
  <c r="AH66" i="116"/>
  <c r="AN66" i="116"/>
  <c r="N66" i="116" s="1"/>
  <c r="Q66" i="116" s="1"/>
  <c r="K431" i="110" s="1"/>
  <c r="AO66" i="116"/>
  <c r="O66" i="116" s="1"/>
  <c r="AP66" i="116"/>
  <c r="BA66" i="116"/>
  <c r="BB66" i="116"/>
  <c r="BC66" i="116"/>
  <c r="X67" i="116"/>
  <c r="AA67" i="116" s="1"/>
  <c r="Y67" i="116"/>
  <c r="AB67" i="116" s="1"/>
  <c r="Z67" i="116"/>
  <c r="AF67" i="116"/>
  <c r="AG67" i="116"/>
  <c r="AH67" i="116"/>
  <c r="AN67" i="116"/>
  <c r="N67" i="116" s="1"/>
  <c r="AO67" i="116"/>
  <c r="O67" i="116" s="1"/>
  <c r="AP67" i="116"/>
  <c r="P67" i="116" s="1"/>
  <c r="S67" i="116" s="1"/>
  <c r="BA67" i="116"/>
  <c r="BB67" i="116"/>
  <c r="BC67" i="116"/>
  <c r="X68" i="116"/>
  <c r="AA68" i="116" s="1"/>
  <c r="Y68" i="116"/>
  <c r="AB68" i="116" s="1"/>
  <c r="Z68" i="116"/>
  <c r="AF68" i="116"/>
  <c r="AG68" i="116"/>
  <c r="AH68" i="116"/>
  <c r="AN68" i="116"/>
  <c r="N68" i="116" s="1"/>
  <c r="Q68" i="116" s="1"/>
  <c r="K433" i="110" s="1"/>
  <c r="AO68" i="116"/>
  <c r="O68" i="116" s="1"/>
  <c r="AP68" i="116"/>
  <c r="P68" i="116" s="1"/>
  <c r="S68" i="116" s="1"/>
  <c r="M433" i="110" s="1"/>
  <c r="BA68" i="116"/>
  <c r="BB68" i="116"/>
  <c r="BC68" i="116"/>
  <c r="X69" i="116"/>
  <c r="AA69" i="116" s="1"/>
  <c r="Y69" i="116"/>
  <c r="AB69" i="116" s="1"/>
  <c r="Z69" i="116"/>
  <c r="AF69" i="116"/>
  <c r="AG69" i="116"/>
  <c r="AH69" i="116"/>
  <c r="AN69" i="116"/>
  <c r="AO69" i="116"/>
  <c r="AP69" i="116"/>
  <c r="P69" i="116" s="1"/>
  <c r="BA69" i="116"/>
  <c r="BB69" i="116"/>
  <c r="BC69" i="116"/>
  <c r="X70" i="116"/>
  <c r="AA70" i="116" s="1"/>
  <c r="Y70" i="116"/>
  <c r="AB70" i="116" s="1"/>
  <c r="Z70" i="116"/>
  <c r="AC70" i="116" s="1"/>
  <c r="AF70" i="116"/>
  <c r="AG70" i="116"/>
  <c r="AH70" i="116"/>
  <c r="AN70" i="116"/>
  <c r="N70" i="116" s="1"/>
  <c r="AO70" i="116"/>
  <c r="O70" i="116" s="1"/>
  <c r="I435" i="110" s="1"/>
  <c r="AP70" i="116"/>
  <c r="P70" i="116" s="1"/>
  <c r="S70" i="116" s="1"/>
  <c r="M435" i="110" s="1"/>
  <c r="BA70" i="116"/>
  <c r="BB70" i="116"/>
  <c r="BC70" i="116"/>
  <c r="X71" i="116"/>
  <c r="AA71" i="116" s="1"/>
  <c r="Y71" i="116"/>
  <c r="Z71" i="116"/>
  <c r="AC71" i="116" s="1"/>
  <c r="AF71" i="116"/>
  <c r="AG71" i="116"/>
  <c r="AH71" i="116"/>
  <c r="AN71" i="116"/>
  <c r="AO71" i="116"/>
  <c r="O71" i="116" s="1"/>
  <c r="R71" i="116" s="1"/>
  <c r="L436" i="110" s="1"/>
  <c r="AP71" i="116"/>
  <c r="P71" i="116" s="1"/>
  <c r="BA71" i="116"/>
  <c r="BB71" i="116"/>
  <c r="BC71" i="116"/>
  <c r="X72" i="116"/>
  <c r="AA72" i="116" s="1"/>
  <c r="Y72" i="116"/>
  <c r="Z72" i="116"/>
  <c r="AC72" i="116" s="1"/>
  <c r="AF72" i="116"/>
  <c r="AG72" i="116"/>
  <c r="AH72" i="116"/>
  <c r="AN72" i="116"/>
  <c r="AW72" i="116" s="1"/>
  <c r="AO72" i="116"/>
  <c r="O72" i="116" s="1"/>
  <c r="R72" i="116" s="1"/>
  <c r="L437" i="110" s="1"/>
  <c r="AP72" i="116"/>
  <c r="P72" i="116" s="1"/>
  <c r="BA72" i="116"/>
  <c r="BB72" i="116"/>
  <c r="BC72" i="116"/>
  <c r="X73" i="116"/>
  <c r="AA73" i="116" s="1"/>
  <c r="Y73" i="116"/>
  <c r="Z73" i="116"/>
  <c r="AC73" i="116" s="1"/>
  <c r="AF73" i="116"/>
  <c r="AG73" i="116"/>
  <c r="AH73" i="116"/>
  <c r="AN73" i="116"/>
  <c r="N73" i="116" s="1"/>
  <c r="AO73" i="116"/>
  <c r="O73" i="116" s="1"/>
  <c r="R73" i="116" s="1"/>
  <c r="AP73" i="116"/>
  <c r="P73" i="116" s="1"/>
  <c r="S73" i="116" s="1"/>
  <c r="BA73" i="116"/>
  <c r="BB73" i="116"/>
  <c r="BC73" i="116"/>
  <c r="X74" i="116"/>
  <c r="AA74" i="116" s="1"/>
  <c r="Y74" i="116"/>
  <c r="AB74" i="116" s="1"/>
  <c r="Z74" i="116"/>
  <c r="AF74" i="116"/>
  <c r="AG74" i="116"/>
  <c r="AH74" i="116"/>
  <c r="AN74" i="116"/>
  <c r="N74" i="116" s="1"/>
  <c r="AO74" i="116"/>
  <c r="O74" i="116" s="1"/>
  <c r="AP74" i="116"/>
  <c r="BA74" i="116"/>
  <c r="BB74" i="116"/>
  <c r="BC74" i="116"/>
  <c r="X75" i="116"/>
  <c r="AA75" i="116" s="1"/>
  <c r="Y75" i="116"/>
  <c r="Z75" i="116"/>
  <c r="AC75" i="116" s="1"/>
  <c r="AF75" i="116"/>
  <c r="AG75" i="116"/>
  <c r="AH75" i="116"/>
  <c r="AN75" i="116"/>
  <c r="N75" i="116" s="1"/>
  <c r="H439" i="110" s="1"/>
  <c r="AO75" i="116"/>
  <c r="AP75" i="116"/>
  <c r="BA75" i="116"/>
  <c r="BB75" i="116"/>
  <c r="BC75" i="116"/>
  <c r="X76" i="116"/>
  <c r="Y76" i="116"/>
  <c r="AB76" i="116" s="1"/>
  <c r="Z76" i="116"/>
  <c r="AC76" i="116" s="1"/>
  <c r="AF76" i="116"/>
  <c r="AG76" i="116"/>
  <c r="AH76" i="116"/>
  <c r="AN76" i="116"/>
  <c r="N76" i="116" s="1"/>
  <c r="AO76" i="116"/>
  <c r="AP76" i="116"/>
  <c r="P76" i="116" s="1"/>
  <c r="BA76" i="116"/>
  <c r="BB76" i="116"/>
  <c r="BC76" i="116"/>
  <c r="X77" i="116"/>
  <c r="AA77" i="116" s="1"/>
  <c r="Y77" i="116"/>
  <c r="AB77" i="116" s="1"/>
  <c r="Z77" i="116"/>
  <c r="AC77" i="116" s="1"/>
  <c r="AF77" i="116"/>
  <c r="AG77" i="116"/>
  <c r="AH77" i="116"/>
  <c r="AN77" i="116"/>
  <c r="N77" i="116" s="1"/>
  <c r="AO77" i="116"/>
  <c r="O77" i="116" s="1"/>
  <c r="AP77" i="116"/>
  <c r="P77" i="116" s="1"/>
  <c r="BA77" i="116"/>
  <c r="BB77" i="116"/>
  <c r="BC77" i="116"/>
  <c r="X78" i="116"/>
  <c r="AA78" i="116" s="1"/>
  <c r="Y78" i="116"/>
  <c r="AB78" i="116" s="1"/>
  <c r="Z78" i="116"/>
  <c r="AF78" i="116"/>
  <c r="AG78" i="116"/>
  <c r="AH78" i="116"/>
  <c r="AN78" i="116"/>
  <c r="N78" i="116" s="1"/>
  <c r="Q78" i="116" s="1"/>
  <c r="K442" i="110" s="1"/>
  <c r="AO78" i="116"/>
  <c r="O78" i="116" s="1"/>
  <c r="AP78" i="116"/>
  <c r="BA78" i="116"/>
  <c r="BB78" i="116"/>
  <c r="BC78" i="116"/>
  <c r="X79" i="116"/>
  <c r="AA79" i="116" s="1"/>
  <c r="Y79" i="116"/>
  <c r="Z79" i="116"/>
  <c r="AC79" i="116" s="1"/>
  <c r="AF79" i="116"/>
  <c r="AG79" i="116"/>
  <c r="AX79" i="116" s="1"/>
  <c r="AH79" i="116"/>
  <c r="AN79" i="116"/>
  <c r="N79" i="116" s="1"/>
  <c r="Q79" i="116" s="1"/>
  <c r="K443" i="110" s="1"/>
  <c r="AO79" i="116"/>
  <c r="O79" i="116" s="1"/>
  <c r="AP79" i="116"/>
  <c r="BA79" i="116"/>
  <c r="BB79" i="116"/>
  <c r="BC79" i="116"/>
  <c r="X80" i="116"/>
  <c r="AA80" i="116" s="1"/>
  <c r="Y80" i="116"/>
  <c r="AB80" i="116" s="1"/>
  <c r="Z80" i="116"/>
  <c r="AF80" i="116"/>
  <c r="AG80" i="116"/>
  <c r="AH80" i="116"/>
  <c r="AN80" i="116"/>
  <c r="N80" i="116" s="1"/>
  <c r="H444" i="110" s="1"/>
  <c r="AO80" i="116"/>
  <c r="O80" i="116" s="1"/>
  <c r="AP80" i="116"/>
  <c r="BA80" i="116"/>
  <c r="BB80" i="116"/>
  <c r="BC80" i="116"/>
  <c r="X81" i="116"/>
  <c r="AA81" i="116" s="1"/>
  <c r="Y81" i="116"/>
  <c r="Z81" i="116"/>
  <c r="AC81" i="116" s="1"/>
  <c r="AF81" i="116"/>
  <c r="AG81" i="116"/>
  <c r="AH81" i="116"/>
  <c r="AN81" i="116"/>
  <c r="N81" i="116" s="1"/>
  <c r="AO81" i="116"/>
  <c r="AP81" i="116"/>
  <c r="P81" i="116" s="1"/>
  <c r="J445" i="110" s="1"/>
  <c r="BA81" i="116"/>
  <c r="BB81" i="116"/>
  <c r="BC81" i="116"/>
  <c r="X82" i="116"/>
  <c r="Y82" i="116"/>
  <c r="AB82" i="116" s="1"/>
  <c r="Z82" i="116"/>
  <c r="AF82" i="116"/>
  <c r="AG82" i="116"/>
  <c r="AX82" i="116" s="1"/>
  <c r="AH82" i="116"/>
  <c r="AN82" i="116"/>
  <c r="N82" i="116" s="1"/>
  <c r="AO82" i="116"/>
  <c r="AP82" i="116"/>
  <c r="P82" i="116" s="1"/>
  <c r="S82" i="116" s="1"/>
  <c r="M446" i="110" s="1"/>
  <c r="BA82" i="116"/>
  <c r="BB82" i="116"/>
  <c r="BC82" i="116"/>
  <c r="X83" i="116"/>
  <c r="AA83" i="116" s="1"/>
  <c r="Y83" i="116"/>
  <c r="Z83" i="116"/>
  <c r="AC83" i="116" s="1"/>
  <c r="AF83" i="116"/>
  <c r="AG83" i="116"/>
  <c r="AH83" i="116"/>
  <c r="AN83" i="116"/>
  <c r="AO83" i="116"/>
  <c r="AP83" i="116"/>
  <c r="BA83" i="116"/>
  <c r="BB83" i="116"/>
  <c r="BC83" i="116"/>
  <c r="X84" i="116"/>
  <c r="Y84" i="116"/>
  <c r="AB84" i="116" s="1"/>
  <c r="Z84" i="116"/>
  <c r="AF84" i="116"/>
  <c r="AG84" i="116"/>
  <c r="AX84" i="116" s="1"/>
  <c r="AH84" i="116"/>
  <c r="AN84" i="116"/>
  <c r="N84" i="116" s="1"/>
  <c r="H448" i="110" s="1"/>
  <c r="AO84" i="116"/>
  <c r="O84" i="116" s="1"/>
  <c r="AP84" i="116"/>
  <c r="P84" i="116" s="1"/>
  <c r="BA84" i="116"/>
  <c r="BB84" i="116"/>
  <c r="BC84" i="116"/>
  <c r="M311" i="110"/>
  <c r="K315" i="110"/>
  <c r="AZ8" i="123"/>
  <c r="BA8" i="123"/>
  <c r="BB8" i="123"/>
  <c r="BC8" i="123"/>
  <c r="BJ8" i="123"/>
  <c r="BK8" i="123"/>
  <c r="AX8" i="123"/>
  <c r="AY8" i="123"/>
  <c r="BH8" i="123"/>
  <c r="BI8" i="123"/>
  <c r="BL8" i="123"/>
  <c r="BM8" i="123"/>
  <c r="AX9" i="123"/>
  <c r="AZ9" i="123"/>
  <c r="BA9" i="123"/>
  <c r="BB9" i="123"/>
  <c r="BC9" i="123"/>
  <c r="BI9" i="123"/>
  <c r="BJ9" i="123"/>
  <c r="BK9" i="123"/>
  <c r="BL9" i="123"/>
  <c r="BM9" i="123"/>
  <c r="AY9" i="123"/>
  <c r="BH9" i="123"/>
  <c r="AX10" i="123"/>
  <c r="AY10" i="123"/>
  <c r="AZ10" i="123"/>
  <c r="BA10" i="123"/>
  <c r="BB10" i="123"/>
  <c r="BC10" i="123"/>
  <c r="BH10" i="123"/>
  <c r="BI10" i="123"/>
  <c r="BJ10" i="123"/>
  <c r="BK10" i="123"/>
  <c r="BL10" i="123"/>
  <c r="BM10" i="123"/>
  <c r="AX11" i="123"/>
  <c r="AY11" i="123"/>
  <c r="AZ11" i="123"/>
  <c r="BA11" i="123"/>
  <c r="BC11" i="123"/>
  <c r="BH11" i="123"/>
  <c r="BI11" i="123"/>
  <c r="BJ11" i="123"/>
  <c r="BK11" i="123"/>
  <c r="BB11" i="123"/>
  <c r="BL11" i="123"/>
  <c r="BM11" i="123"/>
  <c r="AZ12" i="123"/>
  <c r="BA12" i="123"/>
  <c r="BB12" i="123"/>
  <c r="BC12" i="123"/>
  <c r="BJ12" i="123"/>
  <c r="BK12" i="123"/>
  <c r="AX12" i="123"/>
  <c r="AY12" i="123"/>
  <c r="BH12" i="123"/>
  <c r="BI12" i="123"/>
  <c r="BL12" i="123"/>
  <c r="BM12" i="123"/>
  <c r="AX13" i="123"/>
  <c r="AZ13" i="123"/>
  <c r="BA13" i="123"/>
  <c r="BB13" i="123"/>
  <c r="BC13" i="123"/>
  <c r="BI13" i="123"/>
  <c r="BJ13" i="123"/>
  <c r="BK13" i="123"/>
  <c r="BL13" i="123"/>
  <c r="BM13" i="123"/>
  <c r="AY13" i="123"/>
  <c r="BH13" i="123"/>
  <c r="AX14" i="123"/>
  <c r="AY14" i="123"/>
  <c r="AZ14" i="123"/>
  <c r="BA14" i="123"/>
  <c r="BB14" i="123"/>
  <c r="BC14" i="123"/>
  <c r="BH14" i="123"/>
  <c r="BI14" i="123"/>
  <c r="BJ14" i="123"/>
  <c r="BK14" i="123"/>
  <c r="BL14" i="123"/>
  <c r="BM14" i="123"/>
  <c r="AX15" i="123"/>
  <c r="AY15" i="123"/>
  <c r="AZ15" i="123"/>
  <c r="BA15" i="123"/>
  <c r="BC15" i="123"/>
  <c r="BH15" i="123"/>
  <c r="BI15" i="123"/>
  <c r="BJ15" i="123"/>
  <c r="BK15" i="123"/>
  <c r="BB15" i="123"/>
  <c r="BL15" i="123"/>
  <c r="BM15" i="123"/>
  <c r="AZ16" i="123"/>
  <c r="BA16" i="123"/>
  <c r="BB16" i="123"/>
  <c r="BC16" i="123"/>
  <c r="BJ16" i="123"/>
  <c r="BK16" i="123"/>
  <c r="AX16" i="123"/>
  <c r="AY16" i="123"/>
  <c r="BH16" i="123"/>
  <c r="BI16" i="123"/>
  <c r="BL16" i="123"/>
  <c r="BM16" i="123"/>
  <c r="AX17" i="123"/>
  <c r="AZ17" i="123"/>
  <c r="BA17" i="123"/>
  <c r="BB17" i="123"/>
  <c r="BC17" i="123"/>
  <c r="BI17" i="123"/>
  <c r="BJ17" i="123"/>
  <c r="BK17" i="123"/>
  <c r="BL17" i="123"/>
  <c r="BM17" i="123"/>
  <c r="AY17" i="123"/>
  <c r="BH17" i="123"/>
  <c r="BA18" i="123"/>
  <c r="BB18" i="123"/>
  <c r="BC18" i="123"/>
  <c r="BH18" i="123"/>
  <c r="BK18" i="123"/>
  <c r="BL18" i="123"/>
  <c r="AX18" i="123"/>
  <c r="AY18" i="123"/>
  <c r="AZ18" i="123"/>
  <c r="BI18" i="123"/>
  <c r="BJ18" i="123"/>
  <c r="BM18" i="123"/>
  <c r="AX19" i="123"/>
  <c r="AY19" i="123"/>
  <c r="AZ19" i="123"/>
  <c r="BA19" i="123"/>
  <c r="BB19" i="123"/>
  <c r="BC19" i="123"/>
  <c r="BH19" i="123"/>
  <c r="BI19" i="123"/>
  <c r="BJ19" i="123"/>
  <c r="BK19" i="123"/>
  <c r="BL19" i="123"/>
  <c r="BM19" i="123"/>
  <c r="AY20" i="123"/>
  <c r="AZ20" i="123"/>
  <c r="BA20" i="123"/>
  <c r="BB20" i="123"/>
  <c r="BC20" i="123"/>
  <c r="BH20" i="123"/>
  <c r="BI20" i="123"/>
  <c r="BK20" i="123"/>
  <c r="BL20" i="123"/>
  <c r="BM20" i="123"/>
  <c r="AX20" i="123"/>
  <c r="BJ20" i="123"/>
  <c r="AY21" i="123"/>
  <c r="AZ21" i="123"/>
  <c r="BA21" i="123"/>
  <c r="BH21" i="123"/>
  <c r="BI21" i="123"/>
  <c r="BL21" i="123"/>
  <c r="BM21" i="123"/>
  <c r="AX21" i="123"/>
  <c r="BB21" i="123"/>
  <c r="BC21" i="123"/>
  <c r="BJ21" i="123"/>
  <c r="BK21" i="123"/>
  <c r="AX22" i="123"/>
  <c r="AY22" i="123"/>
  <c r="AZ22" i="123"/>
  <c r="BA22" i="123"/>
  <c r="BB22" i="123"/>
  <c r="BH22" i="123"/>
  <c r="BI22" i="123"/>
  <c r="BJ22" i="123"/>
  <c r="BK22" i="123"/>
  <c r="BL22" i="123"/>
  <c r="BC22" i="123"/>
  <c r="BM22" i="123"/>
  <c r="AX24" i="123"/>
  <c r="AY24" i="123"/>
  <c r="AZ24" i="123"/>
  <c r="BA24" i="123"/>
  <c r="BB24" i="123"/>
  <c r="BC24" i="123"/>
  <c r="BH24" i="123"/>
  <c r="BI24" i="123"/>
  <c r="BJ24" i="123"/>
  <c r="BK24" i="123"/>
  <c r="BL24" i="123"/>
  <c r="BM24" i="123"/>
  <c r="AX26" i="123"/>
  <c r="AY26" i="123"/>
  <c r="AZ26" i="123"/>
  <c r="BA26" i="123"/>
  <c r="BB26" i="123"/>
  <c r="BC26" i="123"/>
  <c r="BH26" i="123"/>
  <c r="BI26" i="123"/>
  <c r="BJ26" i="123"/>
  <c r="BK26" i="123"/>
  <c r="BL26" i="123"/>
  <c r="BM26" i="123"/>
  <c r="AX28" i="123"/>
  <c r="AY28" i="123"/>
  <c r="AZ28" i="123"/>
  <c r="BA28" i="123"/>
  <c r="BB28" i="123"/>
  <c r="BC28" i="123"/>
  <c r="BH28" i="123"/>
  <c r="BI28" i="123"/>
  <c r="BJ28" i="123"/>
  <c r="BK28" i="123"/>
  <c r="BL28" i="123"/>
  <c r="BM28" i="123"/>
  <c r="D18" i="109"/>
  <c r="D20" i="109"/>
  <c r="D22" i="109"/>
  <c r="D22" i="134" s="1"/>
  <c r="F22" i="134" s="1"/>
  <c r="G22" i="134" s="1"/>
  <c r="M16" i="108"/>
  <c r="M17" i="108"/>
  <c r="L17" i="108"/>
  <c r="M18" i="108"/>
  <c r="K18" i="108"/>
  <c r="K26" i="108"/>
  <c r="M26" i="108"/>
  <c r="K27" i="108"/>
  <c r="M28" i="108"/>
  <c r="L29" i="108"/>
  <c r="M30" i="108"/>
  <c r="M31" i="108"/>
  <c r="L32" i="108"/>
  <c r="M32" i="108"/>
  <c r="M34" i="108"/>
  <c r="L35" i="108"/>
  <c r="K35" i="108"/>
  <c r="M35" i="108"/>
  <c r="M36" i="108"/>
  <c r="K38" i="108"/>
  <c r="L38" i="108"/>
  <c r="M38" i="108"/>
  <c r="G39" i="108"/>
  <c r="K39" i="108"/>
  <c r="L39" i="108"/>
  <c r="M39" i="108"/>
  <c r="L40" i="108"/>
  <c r="M40" i="108"/>
  <c r="K40" i="108"/>
  <c r="K41" i="108"/>
  <c r="L41" i="108"/>
  <c r="M41" i="108"/>
  <c r="M42" i="108"/>
  <c r="L42" i="108"/>
  <c r="M43" i="108"/>
  <c r="M44" i="108"/>
  <c r="L45" i="108"/>
  <c r="M45" i="108"/>
  <c r="K46" i="108"/>
  <c r="M46" i="108"/>
  <c r="K47" i="108"/>
  <c r="M47" i="108"/>
  <c r="L47" i="108"/>
  <c r="L48" i="108"/>
  <c r="M48" i="108"/>
  <c r="K49" i="108"/>
  <c r="L49" i="108"/>
  <c r="M49" i="108"/>
  <c r="K53" i="108"/>
  <c r="K54" i="108"/>
  <c r="M54" i="108"/>
  <c r="L54" i="108"/>
  <c r="L80" i="108"/>
  <c r="L81" i="108"/>
  <c r="M81" i="108"/>
  <c r="L82" i="108"/>
  <c r="M82" i="108"/>
  <c r="L83" i="108"/>
  <c r="K83" i="108"/>
  <c r="L84" i="108"/>
  <c r="M84" i="108"/>
  <c r="L85" i="108"/>
  <c r="K86" i="108"/>
  <c r="L87" i="108"/>
  <c r="M87" i="108"/>
  <c r="K88" i="108"/>
  <c r="L88" i="108"/>
  <c r="M88" i="108"/>
  <c r="K89" i="108"/>
  <c r="M89" i="108"/>
  <c r="L91" i="108"/>
  <c r="M91" i="108"/>
  <c r="L92" i="108"/>
  <c r="G93" i="108"/>
  <c r="K93" i="108"/>
  <c r="L93" i="108"/>
  <c r="M93" i="108"/>
  <c r="M94" i="108"/>
  <c r="M95" i="108"/>
  <c r="M96" i="108"/>
  <c r="L96" i="108"/>
  <c r="L97" i="108"/>
  <c r="K98" i="108"/>
  <c r="L98" i="108"/>
  <c r="K99" i="108"/>
  <c r="L100" i="108"/>
  <c r="K101" i="108"/>
  <c r="L101" i="108"/>
  <c r="M102" i="108"/>
  <c r="M104" i="108"/>
  <c r="K104" i="108"/>
  <c r="M105" i="108"/>
  <c r="L106" i="108"/>
  <c r="M107" i="108"/>
  <c r="L108" i="108"/>
  <c r="L109" i="108"/>
  <c r="M109" i="108"/>
  <c r="L110" i="108"/>
  <c r="K111" i="108"/>
  <c r="M111" i="108"/>
  <c r="K112" i="108"/>
  <c r="L112" i="108"/>
  <c r="M112" i="108"/>
  <c r="M113" i="108"/>
  <c r="L114" i="108"/>
  <c r="M115" i="108"/>
  <c r="K116" i="108"/>
  <c r="K117" i="108"/>
  <c r="L117" i="108"/>
  <c r="M117" i="108"/>
  <c r="M118" i="108"/>
  <c r="L118" i="108"/>
  <c r="L119" i="108"/>
  <c r="M119" i="108"/>
  <c r="K120" i="108"/>
  <c r="M120" i="108"/>
  <c r="K121" i="108"/>
  <c r="L121" i="108"/>
  <c r="M121" i="108"/>
  <c r="L122" i="108"/>
  <c r="K123" i="108"/>
  <c r="L123" i="108"/>
  <c r="M123" i="108"/>
  <c r="L124" i="108"/>
  <c r="M124" i="108"/>
  <c r="L125" i="108"/>
  <c r="M125" i="108"/>
  <c r="L126" i="108"/>
  <c r="M126" i="108"/>
  <c r="L127" i="108"/>
  <c r="M127" i="108"/>
  <c r="L128" i="108"/>
  <c r="M128" i="108"/>
  <c r="M129" i="108"/>
  <c r="L129" i="108"/>
  <c r="L130" i="108"/>
  <c r="M130" i="108"/>
  <c r="K131" i="108"/>
  <c r="M131" i="108"/>
  <c r="L131" i="108"/>
  <c r="K132" i="108"/>
  <c r="L132" i="108"/>
  <c r="M132" i="108"/>
  <c r="K133" i="108"/>
  <c r="L133" i="108"/>
  <c r="M133" i="108"/>
  <c r="K134" i="108"/>
  <c r="L134" i="108"/>
  <c r="M134" i="108"/>
  <c r="K135" i="108"/>
  <c r="L135" i="108"/>
  <c r="M135" i="108"/>
  <c r="K136" i="108"/>
  <c r="L136" i="108"/>
  <c r="M136" i="108"/>
  <c r="K137" i="108"/>
  <c r="L137" i="108"/>
  <c r="M137" i="108"/>
  <c r="K138" i="108"/>
  <c r="M138" i="108"/>
  <c r="K139" i="108"/>
  <c r="L139" i="108"/>
  <c r="M139" i="108"/>
  <c r="K141" i="108"/>
  <c r="L141" i="108"/>
  <c r="M141" i="108"/>
  <c r="M143" i="108"/>
  <c r="K144" i="108"/>
  <c r="M144" i="108"/>
  <c r="M145" i="108"/>
  <c r="M146" i="108"/>
  <c r="L146" i="108"/>
  <c r="M147" i="108"/>
  <c r="M148" i="108"/>
  <c r="K149" i="108"/>
  <c r="M149" i="108"/>
  <c r="K150" i="108"/>
  <c r="M150" i="108"/>
  <c r="L150" i="108"/>
  <c r="L151" i="108"/>
  <c r="M151" i="108"/>
  <c r="K151" i="108"/>
  <c r="K152" i="108"/>
  <c r="L152" i="108"/>
  <c r="M152" i="108"/>
  <c r="K153" i="108"/>
  <c r="M153" i="108"/>
  <c r="L153" i="108"/>
  <c r="K154" i="108"/>
  <c r="L154" i="108"/>
  <c r="L155" i="108"/>
  <c r="M155" i="108"/>
  <c r="K156" i="108"/>
  <c r="L156" i="108"/>
  <c r="L157" i="108"/>
  <c r="M157" i="108"/>
  <c r="L158" i="108"/>
  <c r="K158" i="108"/>
  <c r="L159" i="108"/>
  <c r="M159" i="108"/>
  <c r="K160" i="108"/>
  <c r="L160" i="108"/>
  <c r="M161" i="108"/>
  <c r="L161" i="108"/>
  <c r="M162" i="108"/>
  <c r="K162" i="108"/>
  <c r="L162" i="108"/>
  <c r="K163" i="108"/>
  <c r="L163" i="108"/>
  <c r="M164" i="108"/>
  <c r="L164" i="108"/>
  <c r="K165" i="108"/>
  <c r="L165" i="108"/>
  <c r="L166" i="108"/>
  <c r="M166" i="108"/>
  <c r="K167" i="108"/>
  <c r="L167" i="108"/>
  <c r="L168" i="108"/>
  <c r="M168" i="108"/>
  <c r="K169" i="108"/>
  <c r="L169" i="108"/>
  <c r="L170" i="108"/>
  <c r="M170" i="108"/>
  <c r="K171" i="108"/>
  <c r="L171" i="108"/>
  <c r="L172" i="108"/>
  <c r="M172" i="108"/>
  <c r="K173" i="108"/>
  <c r="L173" i="108"/>
  <c r="M174" i="108"/>
  <c r="L174" i="108"/>
  <c r="K175" i="108"/>
  <c r="L176" i="108"/>
  <c r="L177" i="108"/>
  <c r="L178" i="108"/>
  <c r="K178" i="108"/>
  <c r="M178" i="108"/>
  <c r="L179" i="108"/>
  <c r="K180" i="108"/>
  <c r="L180" i="108"/>
  <c r="L181" i="108"/>
  <c r="M181" i="108"/>
  <c r="K182" i="108"/>
  <c r="M182" i="108"/>
  <c r="L183" i="108"/>
  <c r="M183" i="108"/>
  <c r="K183" i="108"/>
  <c r="L184" i="108"/>
  <c r="L185" i="108"/>
  <c r="M185" i="108"/>
  <c r="K186" i="108"/>
  <c r="L186" i="108"/>
  <c r="M186" i="108"/>
  <c r="K187" i="108"/>
  <c r="L187" i="108"/>
  <c r="M187" i="108"/>
  <c r="M188" i="108"/>
  <c r="K189" i="108"/>
  <c r="L189" i="108"/>
  <c r="L190" i="108"/>
  <c r="K191" i="108"/>
  <c r="L191" i="108"/>
  <c r="M192" i="108"/>
  <c r="K193" i="108"/>
  <c r="L193" i="108"/>
  <c r="M193" i="108"/>
  <c r="L194" i="108"/>
  <c r="M194" i="108"/>
  <c r="K195" i="108"/>
  <c r="L195" i="108"/>
  <c r="M195" i="108"/>
  <c r="M196" i="108"/>
  <c r="L196" i="108"/>
  <c r="K197" i="108"/>
  <c r="L197" i="108"/>
  <c r="M197" i="108"/>
  <c r="G198" i="108"/>
  <c r="K198" i="108"/>
  <c r="L198" i="108"/>
  <c r="M198" i="108"/>
  <c r="K199" i="108"/>
  <c r="L199" i="108"/>
  <c r="M199" i="108"/>
  <c r="L200" i="108"/>
  <c r="K201" i="108"/>
  <c r="L201" i="108"/>
  <c r="M201" i="108"/>
  <c r="K202" i="108"/>
  <c r="L202" i="108"/>
  <c r="M202" i="108"/>
  <c r="K203" i="108"/>
  <c r="L203" i="108"/>
  <c r="M203" i="108"/>
  <c r="M204" i="108"/>
  <c r="K205" i="108"/>
  <c r="L205" i="108"/>
  <c r="L206" i="108"/>
  <c r="M206" i="108"/>
  <c r="K206" i="108"/>
  <c r="M209" i="108"/>
  <c r="M210" i="108"/>
  <c r="L210" i="108"/>
  <c r="K211" i="108"/>
  <c r="L211" i="108"/>
  <c r="M211" i="108"/>
  <c r="L212" i="108"/>
  <c r="M212" i="108"/>
  <c r="L213" i="108"/>
  <c r="L214" i="108"/>
  <c r="M214" i="108"/>
  <c r="M215" i="108"/>
  <c r="L215" i="108"/>
  <c r="K216" i="108"/>
  <c r="L216" i="108"/>
  <c r="M216" i="108"/>
  <c r="K217" i="108"/>
  <c r="L218" i="108"/>
  <c r="L219" i="108"/>
  <c r="K219" i="108"/>
  <c r="L220" i="108"/>
  <c r="L221" i="108"/>
  <c r="L222" i="108"/>
  <c r="K222" i="108"/>
  <c r="L223" i="108"/>
  <c r="G224" i="108"/>
  <c r="M224" i="108"/>
  <c r="L225" i="108"/>
  <c r="L226" i="108"/>
  <c r="K227" i="108"/>
  <c r="L227" i="108"/>
  <c r="M227" i="108"/>
  <c r="L228" i="108"/>
  <c r="L229" i="108"/>
  <c r="L230" i="108"/>
  <c r="M230" i="108"/>
  <c r="L231" i="108"/>
  <c r="M231" i="108"/>
  <c r="L232" i="108"/>
  <c r="M233" i="108"/>
  <c r="K234" i="108"/>
  <c r="L234" i="108"/>
  <c r="K235" i="108"/>
  <c r="L235" i="108"/>
  <c r="M235" i="108"/>
  <c r="K236" i="108"/>
  <c r="L236" i="108"/>
  <c r="M236" i="108"/>
  <c r="L237" i="108"/>
  <c r="L238" i="108"/>
  <c r="L239" i="108"/>
  <c r="L240" i="108"/>
  <c r="M240" i="108"/>
  <c r="L241" i="108"/>
  <c r="K242" i="108"/>
  <c r="L242" i="108"/>
  <c r="L244" i="108"/>
  <c r="M244" i="108"/>
  <c r="K245" i="108"/>
  <c r="M245" i="108"/>
  <c r="M246" i="108"/>
  <c r="K246" i="108"/>
  <c r="L249" i="108"/>
  <c r="K250" i="108"/>
  <c r="L250" i="108"/>
  <c r="M251" i="108"/>
  <c r="L252" i="108"/>
  <c r="K253" i="108"/>
  <c r="L253" i="108"/>
  <c r="M254" i="108"/>
  <c r="K254" i="108"/>
  <c r="L255" i="108"/>
  <c r="M257" i="108"/>
  <c r="L259" i="108"/>
  <c r="M259" i="108"/>
  <c r="K259" i="108"/>
  <c r="L260" i="108"/>
  <c r="M260" i="108"/>
  <c r="G261" i="108"/>
  <c r="K261" i="108"/>
  <c r="M261" i="108"/>
  <c r="L262" i="108"/>
  <c r="K263" i="108"/>
  <c r="L264" i="108"/>
  <c r="M264" i="108"/>
  <c r="K265" i="108"/>
  <c r="L265" i="108"/>
  <c r="K266" i="108"/>
  <c r="L266" i="108"/>
  <c r="K267" i="108"/>
  <c r="K268" i="108"/>
  <c r="K269" i="108"/>
  <c r="L269" i="108"/>
  <c r="M269" i="108"/>
  <c r="L270" i="108"/>
  <c r="K271" i="108"/>
  <c r="L272" i="108"/>
  <c r="L274" i="108"/>
  <c r="L275" i="108"/>
  <c r="M275" i="108"/>
  <c r="M276" i="108"/>
  <c r="M277" i="108"/>
  <c r="L277" i="108"/>
  <c r="M278" i="108"/>
  <c r="M279" i="108"/>
  <c r="L279" i="108"/>
  <c r="L280" i="108"/>
  <c r="M280" i="108"/>
  <c r="L281" i="108"/>
  <c r="K282" i="108"/>
  <c r="M282" i="108"/>
  <c r="L283" i="108"/>
  <c r="L284" i="108"/>
  <c r="L286" i="108"/>
  <c r="K287" i="108"/>
  <c r="L290" i="108"/>
  <c r="K291" i="108"/>
  <c r="L291" i="108"/>
  <c r="K292" i="108"/>
  <c r="L292" i="108"/>
  <c r="L293" i="108"/>
  <c r="M293" i="108"/>
  <c r="L294" i="108"/>
  <c r="L295" i="108"/>
  <c r="K296" i="108"/>
  <c r="L296" i="108"/>
  <c r="M296" i="108"/>
  <c r="K297" i="108"/>
  <c r="M297" i="108"/>
  <c r="L298" i="108"/>
  <c r="M298" i="108"/>
  <c r="K299" i="108"/>
  <c r="L300" i="108"/>
  <c r="M300" i="108"/>
  <c r="K301" i="108"/>
  <c r="L301" i="108"/>
  <c r="M301" i="108"/>
  <c r="K302" i="108"/>
  <c r="M302" i="108"/>
  <c r="L303" i="108"/>
  <c r="M303" i="108"/>
  <c r="K303" i="108"/>
  <c r="K304" i="108"/>
  <c r="M304" i="108"/>
  <c r="K305" i="108"/>
  <c r="M305" i="108"/>
  <c r="K306" i="108"/>
  <c r="L306" i="108"/>
  <c r="M306" i="108"/>
  <c r="M307" i="108"/>
  <c r="K310" i="108"/>
  <c r="L310" i="108"/>
  <c r="M310" i="108"/>
  <c r="K311" i="108"/>
  <c r="L311" i="108"/>
  <c r="M311" i="108"/>
  <c r="L312" i="108"/>
  <c r="M312" i="108"/>
  <c r="K312" i="108"/>
  <c r="K313" i="108"/>
  <c r="M313" i="108"/>
  <c r="L315" i="108"/>
  <c r="L316" i="108"/>
  <c r="K317" i="108"/>
  <c r="M317" i="108"/>
  <c r="M318" i="108"/>
  <c r="K319" i="108"/>
  <c r="M319" i="108"/>
  <c r="K320" i="108"/>
  <c r="L320" i="108"/>
  <c r="M320" i="108"/>
  <c r="M321" i="108"/>
  <c r="L322" i="108"/>
  <c r="L324" i="108"/>
  <c r="K324" i="108"/>
  <c r="M324" i="108"/>
  <c r="K326" i="108"/>
  <c r="M326" i="108"/>
  <c r="K329" i="108"/>
  <c r="M330" i="108"/>
  <c r="M331" i="108"/>
  <c r="L332" i="108"/>
  <c r="M333" i="108"/>
  <c r="L333" i="108"/>
  <c r="G334" i="108"/>
  <c r="K334" i="108"/>
  <c r="L334" i="108"/>
  <c r="M334" i="108"/>
  <c r="K335" i="108"/>
  <c r="L336" i="108"/>
  <c r="K337" i="108"/>
  <c r="M337" i="108"/>
  <c r="K338" i="108"/>
  <c r="L338" i="108"/>
  <c r="M339" i="108"/>
  <c r="L340" i="108"/>
  <c r="K342" i="108"/>
  <c r="M342" i="108"/>
  <c r="K343" i="108"/>
  <c r="L343" i="108"/>
  <c r="K344" i="108"/>
  <c r="L344" i="108"/>
  <c r="L345" i="108"/>
  <c r="M345" i="108"/>
  <c r="L346" i="108"/>
  <c r="M346" i="108"/>
  <c r="K347" i="108"/>
  <c r="L347" i="108"/>
  <c r="M347" i="108"/>
  <c r="L349" i="108"/>
  <c r="K350" i="108"/>
  <c r="M350" i="108"/>
  <c r="M353" i="108"/>
  <c r="K353" i="108"/>
  <c r="K354" i="108"/>
  <c r="M354" i="108"/>
  <c r="M355" i="108"/>
  <c r="L355" i="108"/>
  <c r="K357" i="108"/>
  <c r="L357" i="108"/>
  <c r="M357" i="108"/>
  <c r="K358" i="108"/>
  <c r="L358" i="108"/>
  <c r="L359" i="108"/>
  <c r="K362" i="108"/>
  <c r="L363" i="108"/>
  <c r="K364" i="108"/>
  <c r="L364" i="108"/>
  <c r="M364" i="108"/>
  <c r="L365" i="108"/>
  <c r="M365" i="108"/>
  <c r="K365" i="108"/>
  <c r="L366" i="108"/>
  <c r="K367" i="108"/>
  <c r="L367" i="108"/>
  <c r="K369" i="108"/>
  <c r="M369" i="108"/>
  <c r="L370" i="108"/>
  <c r="L371" i="108"/>
  <c r="L372" i="108"/>
  <c r="R12" i="108"/>
  <c r="M12" i="108" s="1"/>
  <c r="K376" i="108"/>
  <c r="L376" i="108"/>
  <c r="L377" i="108"/>
  <c r="M377" i="108"/>
  <c r="M378" i="108"/>
  <c r="M380" i="108"/>
  <c r="L382" i="108"/>
  <c r="K383" i="108"/>
  <c r="M383" i="108"/>
  <c r="K384" i="108"/>
  <c r="M384" i="108"/>
  <c r="M385" i="108"/>
  <c r="L387" i="108"/>
  <c r="K388" i="108"/>
  <c r="L388" i="108"/>
  <c r="M388" i="108"/>
  <c r="K390" i="108"/>
  <c r="K391" i="108"/>
  <c r="G391" i="108"/>
  <c r="K392" i="108"/>
  <c r="M392" i="108"/>
  <c r="G393" i="108"/>
  <c r="M393" i="108"/>
  <c r="L393" i="108"/>
  <c r="L394" i="108"/>
  <c r="K396" i="108"/>
  <c r="L396" i="108"/>
  <c r="M396" i="108"/>
  <c r="K397" i="108"/>
  <c r="M397" i="108"/>
  <c r="K398" i="108"/>
  <c r="M398" i="108"/>
  <c r="L398" i="108"/>
  <c r="K399" i="108"/>
  <c r="M399" i="108"/>
  <c r="L399" i="108"/>
  <c r="K400" i="108"/>
  <c r="L400" i="108"/>
  <c r="M400" i="108"/>
  <c r="K401" i="108"/>
  <c r="M401" i="108"/>
  <c r="L402" i="108"/>
  <c r="M402" i="108"/>
  <c r="M403" i="108"/>
  <c r="K403" i="108"/>
  <c r="L404" i="108"/>
  <c r="L405" i="108"/>
  <c r="L407" i="108"/>
  <c r="L408" i="108"/>
  <c r="L409" i="108"/>
  <c r="L411" i="108"/>
  <c r="L412" i="108"/>
  <c r="L417" i="108"/>
  <c r="L418" i="108"/>
  <c r="L420" i="108"/>
  <c r="L422" i="108"/>
  <c r="K423" i="108"/>
  <c r="M423" i="108"/>
  <c r="K424" i="108"/>
  <c r="M424" i="108"/>
  <c r="K425" i="108"/>
  <c r="M425" i="108"/>
  <c r="L426" i="108"/>
  <c r="M426" i="108"/>
  <c r="K426" i="108"/>
  <c r="K427" i="108"/>
  <c r="M427" i="108"/>
  <c r="K428" i="108"/>
  <c r="M428" i="108"/>
  <c r="M429" i="108"/>
  <c r="K429" i="108"/>
  <c r="K430" i="108"/>
  <c r="M430" i="108"/>
  <c r="L431" i="108"/>
  <c r="M431" i="108"/>
  <c r="M432" i="108"/>
  <c r="K432" i="108"/>
  <c r="M433" i="108"/>
  <c r="K433" i="108"/>
  <c r="M434" i="108"/>
  <c r="M435" i="108"/>
  <c r="K435" i="108"/>
  <c r="M436" i="108"/>
  <c r="K437" i="108"/>
  <c r="M437" i="108"/>
  <c r="L438" i="108"/>
  <c r="M438" i="108"/>
  <c r="K439" i="108"/>
  <c r="K440" i="108"/>
  <c r="L440" i="108"/>
  <c r="M440" i="108"/>
  <c r="M441" i="108"/>
  <c r="K442" i="108"/>
  <c r="L442" i="108"/>
  <c r="L443" i="108"/>
  <c r="M443" i="108"/>
  <c r="K444" i="108"/>
  <c r="L446" i="108"/>
  <c r="K447" i="108"/>
  <c r="L447" i="108"/>
  <c r="L448" i="108"/>
  <c r="K449" i="108"/>
  <c r="K450" i="108"/>
  <c r="L450" i="108"/>
  <c r="K451" i="108"/>
  <c r="M452" i="108"/>
  <c r="K452" i="108"/>
  <c r="L453" i="108"/>
  <c r="L454" i="108"/>
  <c r="M454" i="108"/>
  <c r="L455" i="108"/>
  <c r="L456" i="108"/>
  <c r="M456" i="108"/>
  <c r="K457" i="108"/>
  <c r="K458" i="108"/>
  <c r="L458" i="108"/>
  <c r="L459" i="108"/>
  <c r="L460" i="108"/>
  <c r="L461" i="108"/>
  <c r="K462" i="108"/>
  <c r="L462" i="108"/>
  <c r="L463" i="108"/>
  <c r="L464" i="108"/>
  <c r="M464" i="108"/>
  <c r="K464" i="108"/>
  <c r="L465" i="108"/>
  <c r="M466" i="108"/>
  <c r="K466" i="108"/>
  <c r="L466" i="108"/>
  <c r="L467" i="108"/>
  <c r="K467" i="108"/>
  <c r="K468" i="108"/>
  <c r="L468" i="108"/>
  <c r="L469" i="108"/>
  <c r="L470" i="108"/>
  <c r="K470" i="108"/>
  <c r="M470" i="108"/>
  <c r="L471" i="108"/>
  <c r="M471" i="108"/>
  <c r="L472" i="108"/>
  <c r="M472" i="108"/>
  <c r="L473" i="108"/>
  <c r="K473" i="108"/>
  <c r="K474" i="108"/>
  <c r="L474" i="108"/>
  <c r="K475" i="108"/>
  <c r="M475" i="108"/>
  <c r="L475" i="108"/>
  <c r="K476" i="108"/>
  <c r="M476" i="108"/>
  <c r="L476" i="108"/>
  <c r="K477" i="108"/>
  <c r="L478" i="108"/>
  <c r="K478" i="108"/>
  <c r="L479" i="108"/>
  <c r="M479" i="108"/>
  <c r="L481" i="108"/>
  <c r="K481" i="108"/>
  <c r="M481" i="108"/>
  <c r="K482" i="108"/>
  <c r="L482" i="108"/>
  <c r="L483" i="108"/>
  <c r="M483" i="108"/>
  <c r="K483" i="108"/>
  <c r="L485" i="108"/>
  <c r="K485" i="108"/>
  <c r="M486" i="108"/>
  <c r="L486" i="108"/>
  <c r="K487" i="108"/>
  <c r="L488" i="108"/>
  <c r="L490" i="108"/>
  <c r="M490" i="108"/>
  <c r="K491" i="108"/>
  <c r="M491" i="108"/>
  <c r="L491" i="108"/>
  <c r="L492" i="108"/>
  <c r="L493" i="108"/>
  <c r="M493" i="108"/>
  <c r="L495" i="108"/>
  <c r="M495" i="108"/>
  <c r="M496" i="108"/>
  <c r="L497" i="108"/>
  <c r="K497" i="108"/>
  <c r="M497" i="108"/>
  <c r="L498" i="108"/>
  <c r="K498" i="108"/>
  <c r="M498" i="108"/>
  <c r="K499" i="108"/>
  <c r="M499" i="108"/>
  <c r="M500" i="108"/>
  <c r="M501" i="108"/>
  <c r="K501" i="108"/>
  <c r="L501" i="108"/>
  <c r="L502" i="108"/>
  <c r="M502" i="108"/>
  <c r="M503" i="108"/>
  <c r="M504" i="108"/>
  <c r="L505" i="108"/>
  <c r="L506" i="108"/>
  <c r="M506" i="108"/>
  <c r="K506" i="108"/>
  <c r="L507" i="108"/>
  <c r="L508" i="108"/>
  <c r="M508" i="108"/>
  <c r="K508" i="108"/>
  <c r="K509" i="108"/>
  <c r="L509" i="108"/>
  <c r="M509" i="108"/>
  <c r="L510" i="108"/>
  <c r="L511" i="108"/>
  <c r="L512" i="108"/>
  <c r="G513" i="108"/>
  <c r="K513" i="108"/>
  <c r="L513" i="108"/>
  <c r="M513" i="108"/>
  <c r="L514" i="108"/>
  <c r="M514" i="108"/>
  <c r="K515" i="108"/>
  <c r="M516" i="108"/>
  <c r="K516" i="108"/>
  <c r="K517" i="108"/>
  <c r="L517" i="108"/>
  <c r="K518" i="108"/>
  <c r="M518" i="108"/>
  <c r="K519" i="108"/>
  <c r="M519" i="108"/>
  <c r="M520" i="108"/>
  <c r="L520" i="108"/>
  <c r="K521" i="108"/>
  <c r="L521" i="108"/>
  <c r="K522" i="108"/>
  <c r="M522" i="108"/>
  <c r="K523" i="108"/>
  <c r="M523" i="108"/>
  <c r="M524" i="108"/>
  <c r="L524" i="108"/>
  <c r="K525" i="108"/>
  <c r="L525" i="108"/>
  <c r="M526" i="108"/>
  <c r="K526" i="108"/>
  <c r="K527" i="108"/>
  <c r="M527" i="108"/>
  <c r="M528" i="108"/>
  <c r="L528" i="108"/>
  <c r="L529" i="108"/>
  <c r="M530" i="108"/>
  <c r="K531" i="108"/>
  <c r="L531" i="108"/>
  <c r="M532" i="108"/>
  <c r="L533" i="108"/>
  <c r="M534" i="108"/>
  <c r="K535" i="108"/>
  <c r="L535" i="108"/>
  <c r="L536" i="108"/>
  <c r="M536" i="108"/>
  <c r="K537" i="108"/>
  <c r="L538" i="108"/>
  <c r="M538" i="108"/>
  <c r="K539" i="108"/>
  <c r="L539" i="108"/>
  <c r="L540" i="108"/>
  <c r="M540" i="108"/>
  <c r="K541" i="108"/>
  <c r="L542" i="108"/>
  <c r="M542" i="108"/>
  <c r="K543" i="108"/>
  <c r="L543" i="108"/>
  <c r="L544" i="108"/>
  <c r="M544" i="108"/>
  <c r="K545" i="108"/>
  <c r="L546" i="108"/>
  <c r="M546" i="108"/>
  <c r="K547" i="108"/>
  <c r="L547" i="108"/>
  <c r="M548" i="108"/>
  <c r="K549" i="108"/>
  <c r="L549" i="108"/>
  <c r="L550" i="108"/>
  <c r="M550" i="108"/>
  <c r="K551" i="108"/>
  <c r="L551" i="108"/>
  <c r="M552" i="108"/>
  <c r="K553" i="108"/>
  <c r="L553" i="108"/>
  <c r="L554" i="108"/>
  <c r="M554" i="108"/>
  <c r="K555" i="108"/>
  <c r="L555" i="108"/>
  <c r="L556" i="108"/>
  <c r="M556" i="108"/>
  <c r="K557" i="108"/>
  <c r="L557" i="108"/>
  <c r="L558" i="108"/>
  <c r="M558" i="108"/>
  <c r="L559" i="108"/>
  <c r="K559" i="108"/>
  <c r="L560" i="108"/>
  <c r="M560" i="108"/>
  <c r="L561" i="108"/>
  <c r="K561" i="108"/>
  <c r="L562" i="108"/>
  <c r="M562" i="108"/>
  <c r="L563" i="108"/>
  <c r="K563" i="108"/>
  <c r="M564" i="108"/>
  <c r="L564" i="108"/>
  <c r="K565" i="108"/>
  <c r="L565" i="108"/>
  <c r="M566" i="108"/>
  <c r="L566" i="108"/>
  <c r="K567" i="108"/>
  <c r="L567" i="108"/>
  <c r="L568" i="108"/>
  <c r="M568" i="108"/>
  <c r="K569" i="108"/>
  <c r="L569" i="108"/>
  <c r="L570" i="108"/>
  <c r="M570" i="108"/>
  <c r="K571" i="108"/>
  <c r="L571" i="108"/>
  <c r="M572" i="108"/>
  <c r="L572" i="108"/>
  <c r="K573" i="108"/>
  <c r="L573" i="108"/>
  <c r="L574" i="108"/>
  <c r="M574" i="108"/>
  <c r="K575" i="108"/>
  <c r="L575" i="108"/>
  <c r="L576" i="108"/>
  <c r="M576" i="108"/>
  <c r="K577" i="108"/>
  <c r="L577" i="108"/>
  <c r="L578" i="108"/>
  <c r="M578" i="108"/>
  <c r="K579" i="108"/>
  <c r="K580" i="108"/>
  <c r="L580" i="108"/>
  <c r="M581" i="108"/>
  <c r="K582" i="108"/>
  <c r="L582" i="108"/>
  <c r="L583" i="108"/>
  <c r="M583" i="108"/>
  <c r="K584" i="108"/>
  <c r="L584" i="108"/>
  <c r="M585" i="108"/>
  <c r="K586" i="108"/>
  <c r="L586" i="108"/>
  <c r="L587" i="108"/>
  <c r="M587" i="108"/>
  <c r="K588" i="108"/>
  <c r="K589" i="108"/>
  <c r="L589" i="108"/>
  <c r="M590" i="108"/>
  <c r="L590" i="108"/>
  <c r="K591" i="108"/>
  <c r="M592" i="108"/>
  <c r="L592" i="108"/>
  <c r="K593" i="108"/>
  <c r="L593" i="108"/>
  <c r="M594" i="108"/>
  <c r="L594" i="108"/>
  <c r="L595" i="108"/>
  <c r="L596" i="108"/>
  <c r="L597" i="108"/>
  <c r="L598" i="108"/>
  <c r="L599" i="108"/>
  <c r="L600" i="108"/>
  <c r="L601" i="108"/>
  <c r="L602" i="108"/>
  <c r="L603" i="108"/>
  <c r="L604" i="108"/>
  <c r="L605" i="108"/>
  <c r="L606" i="108"/>
  <c r="L608" i="108"/>
  <c r="L609" i="108"/>
  <c r="L610" i="108"/>
  <c r="M610" i="108"/>
  <c r="K611" i="108"/>
  <c r="L611" i="108"/>
  <c r="M612" i="108"/>
  <c r="L612" i="108"/>
  <c r="K613" i="108"/>
  <c r="L613" i="108"/>
  <c r="L614" i="108"/>
  <c r="M614" i="108"/>
  <c r="K615" i="108"/>
  <c r="L615" i="108"/>
  <c r="L616" i="108"/>
  <c r="M616" i="108"/>
  <c r="K617" i="108"/>
  <c r="L617" i="108"/>
  <c r="L618" i="108"/>
  <c r="M618" i="108"/>
  <c r="L619" i="108"/>
  <c r="K619" i="108"/>
  <c r="L620" i="108"/>
  <c r="M620" i="108"/>
  <c r="K621" i="108"/>
  <c r="L621" i="108"/>
  <c r="L622" i="108"/>
  <c r="M622" i="108"/>
  <c r="K623" i="108"/>
  <c r="L623" i="108"/>
  <c r="L624" i="108"/>
  <c r="M624" i="108"/>
  <c r="K625" i="108"/>
  <c r="L625" i="108"/>
  <c r="M626" i="108"/>
  <c r="L628" i="108"/>
  <c r="L629" i="108"/>
  <c r="M629" i="108"/>
  <c r="K630" i="108"/>
  <c r="L631" i="108"/>
  <c r="L633" i="108"/>
  <c r="L634" i="108"/>
  <c r="L635" i="108"/>
  <c r="L636" i="108"/>
  <c r="L637" i="108"/>
  <c r="L638" i="108"/>
  <c r="L640" i="108"/>
  <c r="M640" i="108"/>
  <c r="K641" i="108"/>
  <c r="L641" i="108"/>
  <c r="L642" i="108"/>
  <c r="M642" i="108"/>
  <c r="K643" i="108"/>
  <c r="L643" i="108"/>
  <c r="L644" i="108"/>
  <c r="M644" i="108"/>
  <c r="K645" i="108"/>
  <c r="L645" i="108"/>
  <c r="L646" i="108"/>
  <c r="M646" i="108"/>
  <c r="K647" i="108"/>
  <c r="L647" i="108"/>
  <c r="L648" i="108"/>
  <c r="M648" i="108"/>
  <c r="K649" i="108"/>
  <c r="L649" i="108"/>
  <c r="L650" i="108"/>
  <c r="M650" i="108"/>
  <c r="K651" i="108"/>
  <c r="L651" i="108"/>
  <c r="L652" i="108"/>
  <c r="M652" i="108"/>
  <c r="K653" i="108"/>
  <c r="L653" i="108"/>
  <c r="L654" i="108"/>
  <c r="M654" i="108"/>
  <c r="K655" i="108"/>
  <c r="L655" i="108"/>
  <c r="L656" i="108"/>
  <c r="M656" i="108"/>
  <c r="K657" i="108"/>
  <c r="L657" i="108"/>
  <c r="L658" i="108"/>
  <c r="M658" i="108"/>
  <c r="K659" i="108"/>
  <c r="L659" i="108"/>
  <c r="L660" i="108"/>
  <c r="M660" i="108"/>
  <c r="L661" i="108"/>
  <c r="K661" i="108"/>
  <c r="L662" i="108"/>
  <c r="M662" i="108"/>
  <c r="K663" i="108"/>
  <c r="L663" i="108"/>
  <c r="L664" i="108"/>
  <c r="M664" i="108"/>
  <c r="K665" i="108"/>
  <c r="L665" i="108"/>
  <c r="L666" i="108"/>
  <c r="M666" i="108"/>
  <c r="K667" i="108"/>
  <c r="L667" i="108"/>
  <c r="M668" i="108"/>
  <c r="L669" i="108"/>
  <c r="L670" i="108"/>
  <c r="L671" i="108"/>
  <c r="L673" i="108"/>
  <c r="L674" i="108"/>
  <c r="L675" i="108"/>
  <c r="M682" i="108"/>
  <c r="K682" i="108"/>
  <c r="K683" i="108"/>
  <c r="M685" i="108"/>
  <c r="K686" i="108"/>
  <c r="M686" i="108"/>
  <c r="M687" i="108"/>
  <c r="K688" i="108"/>
  <c r="M688" i="108"/>
  <c r="M689" i="108"/>
  <c r="K691" i="108"/>
  <c r="M692" i="108"/>
  <c r="M695" i="108"/>
  <c r="L697" i="108"/>
  <c r="M699" i="108"/>
  <c r="L700" i="108"/>
  <c r="M700" i="108"/>
  <c r="M701" i="108"/>
  <c r="K701" i="108"/>
  <c r="M702" i="108"/>
  <c r="L703" i="108"/>
  <c r="M703" i="108"/>
  <c r="G704" i="108"/>
  <c r="K704" i="108"/>
  <c r="L704" i="108"/>
  <c r="M704" i="108"/>
  <c r="K705" i="108"/>
  <c r="K706" i="108"/>
  <c r="L707" i="108"/>
  <c r="L708" i="108"/>
  <c r="K708" i="108"/>
  <c r="K709" i="108"/>
  <c r="M709" i="108"/>
  <c r="M710" i="108"/>
  <c r="K710" i="108"/>
  <c r="L711" i="108"/>
  <c r="K712" i="108"/>
  <c r="L712" i="108"/>
  <c r="L713" i="108"/>
  <c r="K714" i="108"/>
  <c r="L715" i="108"/>
  <c r="M715" i="108"/>
  <c r="M717" i="108"/>
  <c r="K718" i="108"/>
  <c r="L719" i="108"/>
  <c r="M719" i="108"/>
  <c r="L720" i="108"/>
  <c r="L721" i="108"/>
  <c r="K721" i="108"/>
  <c r="L722" i="108"/>
  <c r="M722" i="108"/>
  <c r="L723" i="108"/>
  <c r="L724" i="108"/>
  <c r="M724" i="108"/>
  <c r="L725" i="108"/>
  <c r="M725" i="108"/>
  <c r="L726" i="108"/>
  <c r="G727" i="108"/>
  <c r="K727" i="108"/>
  <c r="L727" i="108"/>
  <c r="M727" i="108"/>
  <c r="M728" i="108"/>
  <c r="L728" i="108"/>
  <c r="L729" i="108"/>
  <c r="K729" i="108"/>
  <c r="L730" i="108"/>
  <c r="L731" i="108"/>
  <c r="M731" i="108"/>
  <c r="K731" i="108"/>
  <c r="L732" i="108"/>
  <c r="K733" i="108"/>
  <c r="L733" i="108"/>
  <c r="M733" i="108"/>
  <c r="L734" i="108"/>
  <c r="M735" i="108"/>
  <c r="L736" i="108"/>
  <c r="M736" i="108"/>
  <c r="L737" i="108"/>
  <c r="M737" i="108"/>
  <c r="M738" i="108"/>
  <c r="G739" i="108"/>
  <c r="K739" i="108"/>
  <c r="L739" i="108"/>
  <c r="M739" i="108"/>
  <c r="L741" i="108"/>
  <c r="L742" i="108"/>
  <c r="M742" i="108"/>
  <c r="L743" i="108"/>
  <c r="L745" i="108"/>
  <c r="M746" i="108"/>
  <c r="K747" i="108"/>
  <c r="M747" i="108"/>
  <c r="K748" i="108"/>
  <c r="M748" i="108"/>
  <c r="K749" i="108"/>
  <c r="K750" i="108"/>
  <c r="L750" i="108"/>
  <c r="M751" i="108"/>
  <c r="K752" i="108"/>
  <c r="L753" i="108"/>
  <c r="M754" i="108"/>
  <c r="L756" i="108"/>
  <c r="M756" i="108"/>
  <c r="M757" i="108"/>
  <c r="K757" i="108"/>
  <c r="L757" i="108"/>
  <c r="K758" i="108"/>
  <c r="L759" i="108"/>
  <c r="M759" i="108"/>
  <c r="K760" i="108"/>
  <c r="L760" i="108"/>
  <c r="M761" i="108"/>
  <c r="L761" i="108"/>
  <c r="L762" i="108"/>
  <c r="K762" i="108"/>
  <c r="L763" i="108"/>
  <c r="M763" i="108"/>
  <c r="K764" i="108"/>
  <c r="K765" i="108"/>
  <c r="M766" i="108"/>
  <c r="K767" i="108"/>
  <c r="M768" i="108"/>
  <c r="K769" i="108"/>
  <c r="M770" i="108"/>
  <c r="K771" i="108"/>
  <c r="L771" i="108"/>
  <c r="M772" i="108"/>
  <c r="K773" i="108"/>
  <c r="L773" i="108"/>
  <c r="M774" i="108"/>
  <c r="K775" i="108"/>
  <c r="M776" i="108"/>
  <c r="K777" i="108"/>
  <c r="M778" i="108"/>
  <c r="K779" i="108"/>
  <c r="M780" i="108"/>
  <c r="K781" i="108"/>
  <c r="M782" i="108"/>
  <c r="K783" i="108"/>
  <c r="M784" i="108"/>
  <c r="L784" i="108"/>
  <c r="K785" i="108"/>
  <c r="L785" i="108"/>
  <c r="M786" i="108"/>
  <c r="L786" i="108"/>
  <c r="K787" i="108"/>
  <c r="M788" i="108"/>
  <c r="L789" i="108"/>
  <c r="K789" i="108"/>
  <c r="M791" i="108"/>
  <c r="L794" i="108"/>
  <c r="M794" i="108"/>
  <c r="K795" i="108"/>
  <c r="L795" i="108"/>
  <c r="M796" i="108"/>
  <c r="L796" i="108"/>
  <c r="K797" i="108"/>
  <c r="M798" i="108"/>
  <c r="K799" i="108"/>
  <c r="L800" i="108"/>
  <c r="M800" i="108"/>
  <c r="L801" i="108"/>
  <c r="K801" i="108"/>
  <c r="M803" i="108"/>
  <c r="M804" i="108"/>
  <c r="M805" i="108"/>
  <c r="K805" i="108"/>
  <c r="M806" i="108"/>
  <c r="K806" i="108"/>
  <c r="L806" i="108"/>
  <c r="L807" i="108"/>
  <c r="M808" i="108"/>
  <c r="L809" i="108"/>
  <c r="M809" i="108"/>
  <c r="K811" i="108"/>
  <c r="L811" i="108"/>
  <c r="M812" i="108"/>
  <c r="K813" i="108"/>
  <c r="L813" i="108"/>
  <c r="M813" i="108"/>
  <c r="L814" i="108"/>
  <c r="M814" i="108"/>
  <c r="K815" i="108"/>
  <c r="M815" i="108"/>
  <c r="L816" i="108"/>
  <c r="M816" i="108"/>
  <c r="K817" i="108"/>
  <c r="L817" i="108"/>
  <c r="M817" i="108"/>
  <c r="L818" i="108"/>
  <c r="M818" i="108"/>
  <c r="K819" i="108"/>
  <c r="L819" i="108"/>
  <c r="M819" i="108"/>
  <c r="K820" i="108"/>
  <c r="L820" i="108"/>
  <c r="M820" i="108"/>
  <c r="K821" i="108"/>
  <c r="M821" i="108"/>
  <c r="L821" i="108"/>
  <c r="L822" i="108"/>
  <c r="M822" i="108"/>
  <c r="K823" i="108"/>
  <c r="L823" i="108"/>
  <c r="M823" i="108"/>
  <c r="L824" i="108"/>
  <c r="M824" i="108"/>
  <c r="K825" i="108"/>
  <c r="M825" i="108"/>
  <c r="K826" i="108"/>
  <c r="L826" i="108"/>
  <c r="M826" i="108"/>
  <c r="K827" i="108"/>
  <c r="L827" i="108"/>
  <c r="M827" i="108"/>
  <c r="K828" i="108"/>
  <c r="L828" i="108"/>
  <c r="M828" i="108"/>
  <c r="K829" i="108"/>
  <c r="L829" i="108"/>
  <c r="M829" i="108"/>
  <c r="L830" i="108"/>
  <c r="M830" i="108"/>
  <c r="K831" i="108"/>
  <c r="M831" i="108"/>
  <c r="M832" i="108"/>
  <c r="L832" i="108"/>
  <c r="L833" i="108"/>
  <c r="M833" i="108"/>
  <c r="L834" i="108"/>
  <c r="M834" i="108"/>
  <c r="G835" i="108"/>
  <c r="L835" i="108"/>
  <c r="M835" i="108"/>
  <c r="K836" i="108"/>
  <c r="L836" i="108"/>
  <c r="M836" i="108"/>
  <c r="L837" i="108"/>
  <c r="M837" i="108"/>
  <c r="K837" i="108"/>
  <c r="L838" i="108"/>
  <c r="M838" i="108"/>
  <c r="K839" i="108"/>
  <c r="M839" i="108"/>
  <c r="L840" i="108"/>
  <c r="M840" i="108"/>
  <c r="K841" i="108"/>
  <c r="M841" i="108"/>
  <c r="K842" i="108"/>
  <c r="L842" i="108"/>
  <c r="M842" i="108"/>
  <c r="K843" i="108"/>
  <c r="L843" i="108"/>
  <c r="M843" i="108"/>
  <c r="L844" i="108"/>
  <c r="M844" i="108"/>
  <c r="K845" i="108"/>
  <c r="M845" i="108"/>
  <c r="K847" i="108"/>
  <c r="L847" i="108"/>
  <c r="M847" i="108"/>
  <c r="M848" i="108"/>
  <c r="L848" i="108"/>
  <c r="L849" i="108"/>
  <c r="K852" i="108"/>
  <c r="L852" i="108"/>
  <c r="M852" i="108"/>
  <c r="K853" i="108"/>
  <c r="L853" i="108"/>
  <c r="M853" i="108"/>
  <c r="L854" i="108"/>
  <c r="M854" i="108"/>
  <c r="M855" i="108"/>
  <c r="K855" i="108"/>
  <c r="L857" i="108"/>
  <c r="M857" i="108"/>
  <c r="K858" i="108"/>
  <c r="L858" i="108"/>
  <c r="M858" i="108"/>
  <c r="K860" i="108"/>
  <c r="M860" i="108"/>
  <c r="K676" i="108"/>
  <c r="L676" i="108"/>
  <c r="K677" i="108"/>
  <c r="L677" i="108"/>
  <c r="L678" i="108"/>
  <c r="I10" i="110"/>
  <c r="J10" i="110"/>
  <c r="L36" i="110"/>
  <c r="M36" i="110"/>
  <c r="M37" i="110"/>
  <c r="M40" i="110"/>
  <c r="M41" i="110"/>
  <c r="L41" i="110"/>
  <c r="M42" i="110"/>
  <c r="K43" i="110"/>
  <c r="M43" i="110"/>
  <c r="M44" i="110"/>
  <c r="K44" i="110"/>
  <c r="K45" i="110"/>
  <c r="K47" i="110"/>
  <c r="L48" i="110"/>
  <c r="M48" i="110"/>
  <c r="K49" i="110"/>
  <c r="M50" i="110"/>
  <c r="J309" i="110"/>
  <c r="I309" i="110"/>
  <c r="J310" i="110"/>
  <c r="K310" i="110"/>
  <c r="M310" i="110"/>
  <c r="I311" i="110"/>
  <c r="J312" i="110"/>
  <c r="K313" i="110"/>
  <c r="I314" i="110"/>
  <c r="J314" i="110"/>
  <c r="M51" i="110"/>
  <c r="M52" i="110"/>
  <c r="K52" i="110"/>
  <c r="M53" i="110"/>
  <c r="M54" i="110"/>
  <c r="M55" i="110"/>
  <c r="M57" i="110"/>
  <c r="K57" i="110"/>
  <c r="M58" i="110"/>
  <c r="L58" i="110"/>
  <c r="K59" i="110"/>
  <c r="L59" i="110"/>
  <c r="L60" i="110"/>
  <c r="L62" i="110"/>
  <c r="M62" i="110"/>
  <c r="K63" i="110"/>
  <c r="L64" i="110"/>
  <c r="M65" i="110"/>
  <c r="K66" i="110"/>
  <c r="M66" i="110"/>
  <c r="L68" i="110"/>
  <c r="K69" i="110"/>
  <c r="M70" i="110"/>
  <c r="L71" i="110"/>
  <c r="K71" i="110"/>
  <c r="K72" i="110"/>
  <c r="K73" i="110"/>
  <c r="L73" i="110"/>
  <c r="M75" i="110"/>
  <c r="M76" i="110"/>
  <c r="K77" i="110"/>
  <c r="M77" i="110"/>
  <c r="M78" i="110"/>
  <c r="L79" i="110"/>
  <c r="M79" i="110"/>
  <c r="L80" i="110"/>
  <c r="M81" i="110"/>
  <c r="M82" i="110"/>
  <c r="K83" i="110"/>
  <c r="L83" i="110"/>
  <c r="M83" i="110"/>
  <c r="L84" i="110"/>
  <c r="K84" i="110"/>
  <c r="H11" i="110"/>
  <c r="I11" i="110"/>
  <c r="J11" i="110"/>
  <c r="M85" i="110"/>
  <c r="K86" i="110"/>
  <c r="K87" i="110"/>
  <c r="K88" i="110"/>
  <c r="G375" i="110"/>
  <c r="G421" i="110"/>
  <c r="J12" i="110"/>
  <c r="K317" i="110"/>
  <c r="J318" i="110"/>
  <c r="H318" i="110"/>
  <c r="J319" i="110"/>
  <c r="I319" i="110"/>
  <c r="M319" i="110"/>
  <c r="H320" i="110"/>
  <c r="L89" i="110"/>
  <c r="H321" i="110"/>
  <c r="K90" i="110"/>
  <c r="M90" i="110"/>
  <c r="K322" i="110"/>
  <c r="M323" i="110"/>
  <c r="K323" i="110"/>
  <c r="L324" i="110"/>
  <c r="M325" i="110"/>
  <c r="H325" i="110"/>
  <c r="I326" i="110"/>
  <c r="L327" i="110"/>
  <c r="I15" i="110"/>
  <c r="J15" i="110"/>
  <c r="H15" i="110"/>
  <c r="H328" i="110"/>
  <c r="I329" i="110"/>
  <c r="K330" i="110"/>
  <c r="J330" i="110"/>
  <c r="L330" i="110"/>
  <c r="K331" i="110"/>
  <c r="I332" i="110"/>
  <c r="K332" i="110"/>
  <c r="L332" i="110"/>
  <c r="I18" i="110"/>
  <c r="L91" i="110"/>
  <c r="M91" i="110"/>
  <c r="H19" i="110"/>
  <c r="J19" i="110"/>
  <c r="J333" i="110"/>
  <c r="K93" i="110"/>
  <c r="M93" i="110"/>
  <c r="M336" i="110"/>
  <c r="H336" i="110"/>
  <c r="L337" i="110"/>
  <c r="H338" i="110"/>
  <c r="I20" i="110"/>
  <c r="J20" i="110"/>
  <c r="K340" i="110"/>
  <c r="H21" i="110"/>
  <c r="J21" i="110"/>
  <c r="I341" i="110"/>
  <c r="H341" i="110"/>
  <c r="J341" i="110"/>
  <c r="H342" i="110"/>
  <c r="K343" i="110"/>
  <c r="I22" i="110"/>
  <c r="M94" i="110"/>
  <c r="I344" i="110"/>
  <c r="K95" i="110"/>
  <c r="L95" i="110"/>
  <c r="M95" i="110"/>
  <c r="H345" i="110"/>
  <c r="K345" i="110"/>
  <c r="I346" i="110"/>
  <c r="M346" i="110"/>
  <c r="L96" i="110"/>
  <c r="L347" i="110"/>
  <c r="H347" i="110"/>
  <c r="H348" i="110"/>
  <c r="H349" i="110"/>
  <c r="J349" i="110"/>
  <c r="K349" i="110"/>
  <c r="L97" i="110"/>
  <c r="M97" i="110"/>
  <c r="J23" i="110"/>
  <c r="I24" i="110"/>
  <c r="I350" i="110"/>
  <c r="M351" i="110"/>
  <c r="G352" i="110"/>
  <c r="I352" i="110"/>
  <c r="M352" i="110"/>
  <c r="G353" i="110"/>
  <c r="J353" i="110"/>
  <c r="M353" i="110"/>
  <c r="H354" i="110"/>
  <c r="K354" i="110"/>
  <c r="H355" i="110"/>
  <c r="K356" i="110"/>
  <c r="M356" i="110"/>
  <c r="J357" i="110"/>
  <c r="H357" i="110"/>
  <c r="J25" i="110"/>
  <c r="I25" i="110"/>
  <c r="H26" i="110"/>
  <c r="J26" i="110"/>
  <c r="J27" i="110"/>
  <c r="H27" i="110"/>
  <c r="J29" i="110"/>
  <c r="J30" i="110"/>
  <c r="L98" i="110"/>
  <c r="H358" i="110"/>
  <c r="I358" i="110"/>
  <c r="J358" i="110"/>
  <c r="K358" i="110"/>
  <c r="L358" i="110"/>
  <c r="M358" i="110"/>
  <c r="I31" i="110"/>
  <c r="H31" i="110"/>
  <c r="K99" i="110"/>
  <c r="G100" i="110"/>
  <c r="K100" i="110"/>
  <c r="M100" i="110"/>
  <c r="L102" i="110"/>
  <c r="L103" i="110"/>
  <c r="M103" i="110"/>
  <c r="M107" i="110"/>
  <c r="K108" i="110"/>
  <c r="L109" i="110"/>
  <c r="K109" i="110"/>
  <c r="M110" i="110"/>
  <c r="K111" i="110"/>
  <c r="L112" i="110"/>
  <c r="K114" i="110"/>
  <c r="K115" i="110"/>
  <c r="L115" i="110"/>
  <c r="M115" i="110"/>
  <c r="K116" i="110"/>
  <c r="L117" i="110"/>
  <c r="K119" i="110"/>
  <c r="L119" i="110"/>
  <c r="M119" i="110"/>
  <c r="G122" i="110"/>
  <c r="L122" i="110"/>
  <c r="M122" i="110"/>
  <c r="M123" i="110"/>
  <c r="K124" i="110"/>
  <c r="K125" i="110"/>
  <c r="M295" i="110"/>
  <c r="K126" i="110"/>
  <c r="L126" i="110"/>
  <c r="M127" i="110"/>
  <c r="K127" i="110"/>
  <c r="G304" i="110"/>
  <c r="K306" i="110"/>
  <c r="K130" i="110"/>
  <c r="L130" i="110"/>
  <c r="K132" i="110"/>
  <c r="K133" i="110"/>
  <c r="M133" i="110"/>
  <c r="L134" i="110"/>
  <c r="M134" i="110"/>
  <c r="G135" i="110"/>
  <c r="L135" i="110"/>
  <c r="M135" i="110"/>
  <c r="M136" i="110"/>
  <c r="K137" i="110"/>
  <c r="M137" i="110"/>
  <c r="K138" i="110"/>
  <c r="M139" i="110"/>
  <c r="L140" i="110"/>
  <c r="K141" i="110"/>
  <c r="M141" i="110"/>
  <c r="G142" i="110"/>
  <c r="M142" i="110"/>
  <c r="M143" i="110"/>
  <c r="M144" i="110"/>
  <c r="K144" i="110"/>
  <c r="K145" i="110"/>
  <c r="M147" i="110"/>
  <c r="L148" i="110"/>
  <c r="M150" i="110"/>
  <c r="K151" i="110"/>
  <c r="L152" i="110"/>
  <c r="M152" i="110"/>
  <c r="L153" i="110"/>
  <c r="M154" i="110"/>
  <c r="K155" i="110"/>
  <c r="L156" i="110"/>
  <c r="M156" i="110"/>
  <c r="K157" i="110"/>
  <c r="M157" i="110"/>
  <c r="K158" i="110"/>
  <c r="M159" i="110"/>
  <c r="K160" i="110"/>
  <c r="M160" i="110"/>
  <c r="K161" i="110"/>
  <c r="L161" i="110"/>
  <c r="H359" i="110"/>
  <c r="M163" i="110"/>
  <c r="M164" i="110"/>
  <c r="J360" i="110"/>
  <c r="M167" i="110"/>
  <c r="K168" i="110"/>
  <c r="L168" i="110"/>
  <c r="M168" i="110"/>
  <c r="K169" i="110"/>
  <c r="K170" i="110"/>
  <c r="L170" i="110"/>
  <c r="L171" i="110"/>
  <c r="K171" i="110"/>
  <c r="K172" i="110"/>
  <c r="L172" i="110"/>
  <c r="K173" i="110"/>
  <c r="L174" i="110"/>
  <c r="K174" i="110"/>
  <c r="M176" i="110"/>
  <c r="L176" i="110"/>
  <c r="L177" i="110"/>
  <c r="M177" i="110"/>
  <c r="L178" i="110"/>
  <c r="M178" i="110"/>
  <c r="M179" i="110"/>
  <c r="L179" i="110"/>
  <c r="L181" i="110"/>
  <c r="L182" i="110"/>
  <c r="M182" i="110"/>
  <c r="K182" i="110"/>
  <c r="L183" i="110"/>
  <c r="M183" i="110"/>
  <c r="L184" i="110"/>
  <c r="M184" i="110"/>
  <c r="M185" i="110"/>
  <c r="L185" i="110"/>
  <c r="M186" i="110"/>
  <c r="K186" i="110"/>
  <c r="K187" i="110"/>
  <c r="L187" i="110"/>
  <c r="J361" i="110"/>
  <c r="K188" i="110"/>
  <c r="L188" i="110"/>
  <c r="K189" i="110"/>
  <c r="K190" i="110"/>
  <c r="M190" i="110"/>
  <c r="M191" i="110"/>
  <c r="L191" i="110"/>
  <c r="M192" i="110"/>
  <c r="L192" i="110"/>
  <c r="M193" i="110"/>
  <c r="L194" i="110"/>
  <c r="L195" i="110"/>
  <c r="M195" i="110"/>
  <c r="H362" i="110"/>
  <c r="M196" i="110"/>
  <c r="G197" i="110"/>
  <c r="M197" i="110"/>
  <c r="J363" i="110"/>
  <c r="K198" i="110"/>
  <c r="M198" i="110"/>
  <c r="L198" i="110"/>
  <c r="L200" i="110"/>
  <c r="M200" i="110"/>
  <c r="K200" i="110"/>
  <c r="K201" i="110"/>
  <c r="M201" i="110"/>
  <c r="M202" i="110"/>
  <c r="K203" i="110"/>
  <c r="L203" i="110"/>
  <c r="K204" i="110"/>
  <c r="K205" i="110"/>
  <c r="L205" i="110"/>
  <c r="L206" i="110"/>
  <c r="M206" i="110"/>
  <c r="L207" i="110"/>
  <c r="M207" i="110"/>
  <c r="L208" i="110"/>
  <c r="M208" i="110"/>
  <c r="L209" i="110"/>
  <c r="M209" i="110"/>
  <c r="L210" i="110"/>
  <c r="K211" i="110"/>
  <c r="L211" i="110"/>
  <c r="K212" i="110"/>
  <c r="K213" i="110"/>
  <c r="L214" i="110"/>
  <c r="L215" i="110"/>
  <c r="M215" i="110"/>
  <c r="L217" i="110"/>
  <c r="M217" i="110"/>
  <c r="M218" i="110"/>
  <c r="K219" i="110"/>
  <c r="L219" i="110"/>
  <c r="M220" i="110"/>
  <c r="K221" i="110"/>
  <c r="L221" i="110"/>
  <c r="K223" i="110"/>
  <c r="M224" i="110"/>
  <c r="L225" i="110"/>
  <c r="K225" i="110"/>
  <c r="L226" i="110"/>
  <c r="K227" i="110"/>
  <c r="M227" i="110"/>
  <c r="M228" i="110"/>
  <c r="L229" i="110"/>
  <c r="M229" i="110"/>
  <c r="K230" i="110"/>
  <c r="M230" i="110"/>
  <c r="M231" i="110"/>
  <c r="L231" i="110"/>
  <c r="M232" i="110"/>
  <c r="K233" i="110"/>
  <c r="L233" i="110"/>
  <c r="M235" i="110"/>
  <c r="K235" i="110"/>
  <c r="M237" i="110"/>
  <c r="L238" i="110"/>
  <c r="K238" i="110"/>
  <c r="K239" i="110"/>
  <c r="L240" i="110"/>
  <c r="L241" i="110"/>
  <c r="M241" i="110"/>
  <c r="M242" i="110"/>
  <c r="L243" i="110"/>
  <c r="M243" i="110"/>
  <c r="M245" i="110"/>
  <c r="L246" i="110"/>
  <c r="M246" i="110"/>
  <c r="L247" i="110"/>
  <c r="M247" i="110"/>
  <c r="K248" i="110"/>
  <c r="M249" i="110"/>
  <c r="M250" i="110"/>
  <c r="G252" i="110"/>
  <c r="M252" i="110"/>
  <c r="M254" i="110"/>
  <c r="M255" i="110"/>
  <c r="L255" i="110"/>
  <c r="K256" i="110"/>
  <c r="M256" i="110"/>
  <c r="L257" i="110"/>
  <c r="M257" i="110"/>
  <c r="K258" i="110"/>
  <c r="L258" i="110"/>
  <c r="K259" i="110"/>
  <c r="L260" i="110"/>
  <c r="M260" i="110"/>
  <c r="K261" i="110"/>
  <c r="L261" i="110"/>
  <c r="M262" i="110"/>
  <c r="M263" i="110"/>
  <c r="M264" i="110"/>
  <c r="M265" i="110"/>
  <c r="L265" i="110"/>
  <c r="M266" i="110"/>
  <c r="M267" i="110"/>
  <c r="M268" i="110"/>
  <c r="M269" i="110"/>
  <c r="K269" i="110"/>
  <c r="K270" i="110"/>
  <c r="L271" i="110"/>
  <c r="M271" i="110"/>
  <c r="K272" i="110"/>
  <c r="L272" i="110"/>
  <c r="M272" i="110"/>
  <c r="K273" i="110"/>
  <c r="L273" i="110"/>
  <c r="K274" i="110"/>
  <c r="L274" i="110"/>
  <c r="L275" i="110"/>
  <c r="M275" i="110"/>
  <c r="L276" i="110"/>
  <c r="M276" i="110"/>
  <c r="M277" i="110"/>
  <c r="K278" i="110"/>
  <c r="L278" i="110"/>
  <c r="L279" i="110"/>
  <c r="M279" i="110"/>
  <c r="L282" i="110"/>
  <c r="K283" i="110"/>
  <c r="M283" i="110"/>
  <c r="M284" i="110"/>
  <c r="K286" i="110"/>
  <c r="J32" i="110"/>
  <c r="I33" i="110"/>
  <c r="H34" i="110"/>
  <c r="I34" i="110"/>
  <c r="J34" i="110"/>
  <c r="M288" i="110"/>
  <c r="H35" i="110"/>
  <c r="J35" i="110"/>
  <c r="M289" i="110"/>
  <c r="L74" i="110"/>
  <c r="M74" i="110"/>
  <c r="H364" i="110"/>
  <c r="I364" i="110"/>
  <c r="J364" i="110"/>
  <c r="K364" i="110"/>
  <c r="L364" i="110"/>
  <c r="M364" i="110"/>
  <c r="H365" i="110"/>
  <c r="I365" i="110"/>
  <c r="J365" i="110"/>
  <c r="K365" i="110"/>
  <c r="L365" i="110"/>
  <c r="M365" i="110"/>
  <c r="H366" i="110"/>
  <c r="I366" i="110"/>
  <c r="J366" i="110"/>
  <c r="K366" i="110"/>
  <c r="L366" i="110"/>
  <c r="M366" i="110"/>
  <c r="H367" i="110"/>
  <c r="I367" i="110"/>
  <c r="J367" i="110"/>
  <c r="K367" i="110"/>
  <c r="L367" i="110"/>
  <c r="M367" i="110"/>
  <c r="H368" i="110"/>
  <c r="I368" i="110"/>
  <c r="J368" i="110"/>
  <c r="K368" i="110"/>
  <c r="L368" i="110"/>
  <c r="M368" i="110"/>
  <c r="H369" i="110"/>
  <c r="I369" i="110"/>
  <c r="J369" i="110"/>
  <c r="K369" i="110"/>
  <c r="L369" i="110"/>
  <c r="M369" i="110"/>
  <c r="G461" i="110"/>
  <c r="G469" i="110"/>
  <c r="D12" i="115"/>
  <c r="G12" i="115" s="1"/>
  <c r="E12" i="115"/>
  <c r="I12" i="115" s="1"/>
  <c r="D13" i="115"/>
  <c r="G13" i="115" s="1"/>
  <c r="E13" i="115"/>
  <c r="I13" i="115" s="1"/>
  <c r="D14" i="115"/>
  <c r="G14" i="115" s="1"/>
  <c r="E14" i="115"/>
  <c r="I14" i="115" s="1"/>
  <c r="D15" i="115"/>
  <c r="H15" i="115" s="1"/>
  <c r="E15" i="115"/>
  <c r="J15" i="115" s="1"/>
  <c r="D16" i="115"/>
  <c r="H16" i="115" s="1"/>
  <c r="E16" i="115"/>
  <c r="J16" i="115" s="1"/>
  <c r="D17" i="115"/>
  <c r="E17" i="115"/>
  <c r="J17" i="115" s="1"/>
  <c r="D18" i="115"/>
  <c r="H18" i="115" s="1"/>
  <c r="E18" i="115"/>
  <c r="J18" i="115" s="1"/>
  <c r="K19" i="115"/>
  <c r="K1" i="109"/>
  <c r="D17" i="109"/>
  <c r="D17" i="134" s="1"/>
  <c r="F17" i="134" s="1"/>
  <c r="G17" i="134" s="1"/>
  <c r="D19" i="109"/>
  <c r="D21" i="109"/>
  <c r="D21" i="134" s="1"/>
  <c r="F21" i="134" s="1"/>
  <c r="G21" i="134" s="1"/>
  <c r="B29" i="109"/>
  <c r="AA58" i="116"/>
  <c r="AA56" i="116"/>
  <c r="AA54" i="116"/>
  <c r="AA47" i="116"/>
  <c r="I36" i="116"/>
  <c r="AC32" i="116"/>
  <c r="AC21" i="116"/>
  <c r="AC19" i="116"/>
  <c r="AC11" i="116"/>
  <c r="AC9" i="116"/>
  <c r="AA40" i="116"/>
  <c r="AB35" i="116"/>
  <c r="I46" i="116"/>
  <c r="I42" i="116"/>
  <c r="AB46" i="116"/>
  <c r="I34" i="116"/>
  <c r="I32" i="116"/>
  <c r="I30" i="116"/>
  <c r="I23" i="116"/>
  <c r="I14" i="116"/>
  <c r="I9" i="116"/>
  <c r="AC62" i="116"/>
  <c r="I48" i="116"/>
  <c r="I47" i="116"/>
  <c r="I38" i="116"/>
  <c r="I37" i="116"/>
  <c r="I35" i="116"/>
  <c r="AB31" i="116"/>
  <c r="AB22" i="116"/>
  <c r="AB20" i="116"/>
  <c r="AB18" i="116"/>
  <c r="AB16" i="116"/>
  <c r="I7" i="116"/>
  <c r="I6" i="116"/>
  <c r="AB53" i="116"/>
  <c r="AB52" i="116"/>
  <c r="AC47" i="116"/>
  <c r="I43" i="116"/>
  <c r="I31" i="116"/>
  <c r="I20" i="116"/>
  <c r="AA19" i="116"/>
  <c r="AA17" i="116"/>
  <c r="AB10" i="116"/>
  <c r="I50" i="116"/>
  <c r="I45" i="116"/>
  <c r="I41" i="116"/>
  <c r="I33" i="116"/>
  <c r="I27" i="116"/>
  <c r="I26" i="116"/>
  <c r="I24" i="116"/>
  <c r="I22" i="116"/>
  <c r="I19" i="116"/>
  <c r="I18" i="116"/>
  <c r="I17" i="116"/>
  <c r="I16" i="116"/>
  <c r="I15" i="116"/>
  <c r="I13" i="116"/>
  <c r="I12" i="116"/>
  <c r="AA11" i="116"/>
  <c r="I51" i="116"/>
  <c r="I40" i="116"/>
  <c r="AA36" i="116"/>
  <c r="I29" i="116"/>
  <c r="I28" i="116"/>
  <c r="I10" i="116"/>
  <c r="I8" i="116"/>
  <c r="L133" i="110"/>
  <c r="K117" i="110"/>
  <c r="L110" i="110"/>
  <c r="K106" i="110"/>
  <c r="K279" i="110"/>
  <c r="G260" i="110"/>
  <c r="K236" i="110"/>
  <c r="I362" i="110"/>
  <c r="J362" i="110"/>
  <c r="G164" i="110"/>
  <c r="L155" i="110"/>
  <c r="L151" i="110"/>
  <c r="K140" i="110"/>
  <c r="K134" i="110"/>
  <c r="K298" i="110"/>
  <c r="K123" i="110"/>
  <c r="M120" i="110"/>
  <c r="L116" i="110"/>
  <c r="K101" i="110"/>
  <c r="H29" i="110"/>
  <c r="L287" i="110"/>
  <c r="G284" i="110"/>
  <c r="M281" i="110"/>
  <c r="G257" i="110"/>
  <c r="M204" i="110"/>
  <c r="M188" i="110"/>
  <c r="L169" i="110"/>
  <c r="M151" i="110"/>
  <c r="M148" i="110"/>
  <c r="L144" i="110"/>
  <c r="L141" i="110"/>
  <c r="M140" i="110"/>
  <c r="L127" i="110"/>
  <c r="K300" i="110"/>
  <c r="M118" i="110"/>
  <c r="M105" i="110"/>
  <c r="K104" i="110"/>
  <c r="M102" i="110"/>
  <c r="J31" i="110"/>
  <c r="M280" i="110"/>
  <c r="M258" i="110"/>
  <c r="L227" i="110"/>
  <c r="L146" i="110"/>
  <c r="L142" i="110"/>
  <c r="M131" i="110"/>
  <c r="L104" i="110"/>
  <c r="L341" i="110"/>
  <c r="K336" i="110"/>
  <c r="H324" i="110"/>
  <c r="J316" i="110"/>
  <c r="G77" i="110"/>
  <c r="M56" i="110"/>
  <c r="L47" i="110"/>
  <c r="K38" i="110"/>
  <c r="K809" i="108"/>
  <c r="L797" i="108"/>
  <c r="L316" i="110"/>
  <c r="G406" i="110"/>
  <c r="L88" i="110"/>
  <c r="L78" i="110"/>
  <c r="L77" i="110"/>
  <c r="K51" i="110"/>
  <c r="L49" i="110"/>
  <c r="K39" i="110"/>
  <c r="K36" i="110"/>
  <c r="M745" i="108"/>
  <c r="M741" i="108"/>
  <c r="G345" i="110"/>
  <c r="M324" i="110"/>
  <c r="L90" i="110"/>
  <c r="K89" i="110"/>
  <c r="K319" i="110"/>
  <c r="G425" i="110"/>
  <c r="M810" i="108"/>
  <c r="M807" i="108"/>
  <c r="G196" i="110"/>
  <c r="G191" i="110"/>
  <c r="G139" i="110"/>
  <c r="G115" i="110"/>
  <c r="I356" i="110"/>
  <c r="I353" i="110"/>
  <c r="M341" i="110"/>
  <c r="G323" i="110"/>
  <c r="K316" i="110"/>
  <c r="G316" i="110"/>
  <c r="G422" i="110"/>
  <c r="M71" i="110"/>
  <c r="K61" i="110"/>
  <c r="K40" i="110"/>
  <c r="K37" i="110"/>
  <c r="G256" i="108"/>
  <c r="N256" i="108" s="1"/>
  <c r="L810" i="108"/>
  <c r="L790" i="108"/>
  <c r="L746" i="108"/>
  <c r="K699" i="108"/>
  <c r="M515" i="108"/>
  <c r="M484" i="108"/>
  <c r="M468" i="108"/>
  <c r="K715" i="108"/>
  <c r="K707" i="108"/>
  <c r="L698" i="108"/>
  <c r="L548" i="108"/>
  <c r="K490" i="108"/>
  <c r="M485" i="108"/>
  <c r="M474" i="108"/>
  <c r="I310" i="110"/>
  <c r="L735" i="108"/>
  <c r="K725" i="108"/>
  <c r="K689" i="108"/>
  <c r="L588" i="108"/>
  <c r="G498" i="108"/>
  <c r="G390" i="110"/>
  <c r="G757" i="108"/>
  <c r="L701" i="108"/>
  <c r="L691" i="108"/>
  <c r="L689" i="108"/>
  <c r="K472" i="108"/>
  <c r="G468" i="108"/>
  <c r="G466" i="108"/>
  <c r="L436" i="108"/>
  <c r="K387" i="108"/>
  <c r="L384" i="108"/>
  <c r="K360" i="108"/>
  <c r="K328" i="108"/>
  <c r="G326" i="108"/>
  <c r="G448" i="108"/>
  <c r="M390" i="108"/>
  <c r="G389" i="108"/>
  <c r="N389" i="108" s="1"/>
  <c r="M344" i="108"/>
  <c r="L326" i="108"/>
  <c r="L317" i="108"/>
  <c r="K293" i="108"/>
  <c r="G452" i="108"/>
  <c r="K325" i="108"/>
  <c r="K307" i="108"/>
  <c r="K495" i="108"/>
  <c r="G490" i="108"/>
  <c r="L445" i="108"/>
  <c r="L437" i="108"/>
  <c r="K393" i="108"/>
  <c r="M391" i="108"/>
  <c r="L380" i="108"/>
  <c r="L354" i="108"/>
  <c r="R11" i="108"/>
  <c r="O11" i="108" s="1"/>
  <c r="K322" i="108"/>
  <c r="G333" i="108"/>
  <c r="K181" i="108"/>
  <c r="K122" i="108"/>
  <c r="G118" i="108"/>
  <c r="L103" i="108"/>
  <c r="K92" i="108"/>
  <c r="K90" i="108"/>
  <c r="G485" i="108"/>
  <c r="G395" i="108"/>
  <c r="M343" i="108"/>
  <c r="K330" i="108"/>
  <c r="K327" i="108"/>
  <c r="M322" i="108"/>
  <c r="G322" i="108"/>
  <c r="M272" i="108"/>
  <c r="G269" i="108"/>
  <c r="L261" i="108"/>
  <c r="G216" i="108"/>
  <c r="G202" i="108"/>
  <c r="G178" i="108"/>
  <c r="M177" i="108"/>
  <c r="M176" i="108"/>
  <c r="K118" i="108"/>
  <c r="M114" i="108"/>
  <c r="K218" i="108"/>
  <c r="K190" i="108"/>
  <c r="K107" i="108"/>
  <c r="G356" i="108"/>
  <c r="N356" i="108" s="1"/>
  <c r="G330" i="108"/>
  <c r="M285" i="108"/>
  <c r="K102" i="108"/>
  <c r="G117" i="108"/>
  <c r="G107" i="108"/>
  <c r="M90" i="108"/>
  <c r="G49" i="108"/>
  <c r="K32" i="108"/>
  <c r="K31" i="108"/>
  <c r="K29" i="108"/>
  <c r="G84" i="108"/>
  <c r="K80" i="108"/>
  <c r="G50" i="108"/>
  <c r="K16" i="108"/>
  <c r="L53" i="108"/>
  <c r="G17" i="108"/>
  <c r="G32" i="110"/>
  <c r="M285" i="110"/>
  <c r="L283" i="110"/>
  <c r="K282" i="110"/>
  <c r="M274" i="110"/>
  <c r="L242" i="110"/>
  <c r="K226" i="110"/>
  <c r="K214" i="110"/>
  <c r="L213" i="110"/>
  <c r="G202" i="110"/>
  <c r="K202" i="110"/>
  <c r="M199" i="110"/>
  <c r="L197" i="110"/>
  <c r="K194" i="110"/>
  <c r="K192" i="110"/>
  <c r="M173" i="110"/>
  <c r="I359" i="110"/>
  <c r="G459" i="110"/>
  <c r="G367" i="110"/>
  <c r="L289" i="110"/>
  <c r="I32" i="110"/>
  <c r="L286" i="110"/>
  <c r="L285" i="110"/>
  <c r="G285" i="110"/>
  <c r="G277" i="110"/>
  <c r="L267" i="110"/>
  <c r="L248" i="110"/>
  <c r="M244" i="110"/>
  <c r="G242" i="110"/>
  <c r="K240" i="110"/>
  <c r="L232" i="110"/>
  <c r="G231" i="110"/>
  <c r="G229" i="110"/>
  <c r="M226" i="110"/>
  <c r="L202" i="110"/>
  <c r="K179" i="110"/>
  <c r="G173" i="110"/>
  <c r="K165" i="110"/>
  <c r="L159" i="110"/>
  <c r="G457" i="110"/>
  <c r="G455" i="110"/>
  <c r="G454" i="110"/>
  <c r="L290" i="110"/>
  <c r="K289" i="110"/>
  <c r="M287" i="110"/>
  <c r="G287" i="110"/>
  <c r="K285" i="110"/>
  <c r="G281" i="110"/>
  <c r="G280" i="110"/>
  <c r="G279" i="110"/>
  <c r="L277" i="110"/>
  <c r="K271" i="110"/>
  <c r="K265" i="110"/>
  <c r="L263" i="110"/>
  <c r="L256" i="110"/>
  <c r="G254" i="110"/>
  <c r="M253" i="110"/>
  <c r="M251" i="110"/>
  <c r="K249" i="110"/>
  <c r="K246" i="110"/>
  <c r="K241" i="110"/>
  <c r="L237" i="110"/>
  <c r="M225" i="110"/>
  <c r="K224" i="110"/>
  <c r="K222" i="110"/>
  <c r="M216" i="110"/>
  <c r="M210" i="110"/>
  <c r="L196" i="110"/>
  <c r="K191" i="110"/>
  <c r="M180" i="110"/>
  <c r="M175" i="110"/>
  <c r="L165" i="110"/>
  <c r="M162" i="110"/>
  <c r="L149" i="110"/>
  <c r="L239" i="110"/>
  <c r="L235" i="110"/>
  <c r="M234" i="110"/>
  <c r="L212" i="110"/>
  <c r="L189" i="110"/>
  <c r="G176" i="110"/>
  <c r="K176" i="110"/>
  <c r="K166" i="110"/>
  <c r="G152" i="110"/>
  <c r="K152" i="110"/>
  <c r="K146" i="110"/>
  <c r="G141" i="110"/>
  <c r="K302" i="110"/>
  <c r="I355" i="110"/>
  <c r="K355" i="110"/>
  <c r="J350" i="110"/>
  <c r="K350" i="110"/>
  <c r="J344" i="110"/>
  <c r="K94" i="110"/>
  <c r="K337" i="110"/>
  <c r="I333" i="110"/>
  <c r="M87" i="110"/>
  <c r="K78" i="110"/>
  <c r="M72" i="110"/>
  <c r="M63" i="110"/>
  <c r="K62" i="110"/>
  <c r="K41" i="110"/>
  <c r="L38" i="110"/>
  <c r="M678" i="108"/>
  <c r="J323" i="110"/>
  <c r="M89" i="110"/>
  <c r="I318" i="110"/>
  <c r="K54" i="110"/>
  <c r="K311" i="110"/>
  <c r="J311" i="110"/>
  <c r="M309" i="110"/>
  <c r="K309" i="110"/>
  <c r="G810" i="108"/>
  <c r="G362" i="110"/>
  <c r="G193" i="110"/>
  <c r="G184" i="110"/>
  <c r="G180" i="110"/>
  <c r="G178" i="110"/>
  <c r="G159" i="110"/>
  <c r="L139" i="110"/>
  <c r="G134" i="110"/>
  <c r="G133" i="110"/>
  <c r="K129" i="110"/>
  <c r="G298" i="110"/>
  <c r="M297" i="110"/>
  <c r="G119" i="110"/>
  <c r="L118" i="110"/>
  <c r="K112" i="110"/>
  <c r="K110" i="110"/>
  <c r="K107" i="110"/>
  <c r="K102" i="110"/>
  <c r="L355" i="110"/>
  <c r="G349" i="110"/>
  <c r="G346" i="110"/>
  <c r="M344" i="110"/>
  <c r="J22" i="110"/>
  <c r="J337" i="110"/>
  <c r="I336" i="110"/>
  <c r="L336" i="110"/>
  <c r="G91" i="110"/>
  <c r="K91" i="110"/>
  <c r="G330" i="110"/>
  <c r="G380" i="110"/>
  <c r="L87" i="110"/>
  <c r="K79" i="110"/>
  <c r="M73" i="110"/>
  <c r="M68" i="110"/>
  <c r="K64" i="110"/>
  <c r="M61" i="110"/>
  <c r="K58" i="110"/>
  <c r="L52" i="110"/>
  <c r="G52" i="110"/>
  <c r="M314" i="110"/>
  <c r="K314" i="110"/>
  <c r="K50" i="110"/>
  <c r="L44" i="110"/>
  <c r="K810" i="108"/>
  <c r="G262" i="110"/>
  <c r="G235" i="110"/>
  <c r="M205" i="110"/>
  <c r="L204" i="110"/>
  <c r="G204" i="110"/>
  <c r="K195" i="110"/>
  <c r="L186" i="110"/>
  <c r="G186" i="110"/>
  <c r="G185" i="110"/>
  <c r="G183" i="110"/>
  <c r="K177" i="110"/>
  <c r="K159" i="110"/>
  <c r="M155" i="110"/>
  <c r="G151" i="110"/>
  <c r="K149" i="110"/>
  <c r="L145" i="110"/>
  <c r="K128" i="110"/>
  <c r="M301" i="110"/>
  <c r="L123" i="110"/>
  <c r="M121" i="110"/>
  <c r="K113" i="110"/>
  <c r="L111" i="110"/>
  <c r="L105" i="110"/>
  <c r="M104" i="110"/>
  <c r="K103" i="110"/>
  <c r="L101" i="110"/>
  <c r="M357" i="110"/>
  <c r="J355" i="110"/>
  <c r="H353" i="110"/>
  <c r="K353" i="110"/>
  <c r="I349" i="110"/>
  <c r="L349" i="110"/>
  <c r="K344" i="110"/>
  <c r="G339" i="110"/>
  <c r="H337" i="110"/>
  <c r="G334" i="110"/>
  <c r="M333" i="110"/>
  <c r="H17" i="110"/>
  <c r="H330" i="110"/>
  <c r="J13" i="110"/>
  <c r="H319" i="110"/>
  <c r="L319" i="110"/>
  <c r="M318" i="110"/>
  <c r="I12" i="110"/>
  <c r="K81" i="110"/>
  <c r="M80" i="110"/>
  <c r="K76" i="110"/>
  <c r="G73" i="110"/>
  <c r="K65" i="110"/>
  <c r="J291" i="110"/>
  <c r="L56" i="110"/>
  <c r="K55" i="110"/>
  <c r="L53" i="110"/>
  <c r="M46" i="110"/>
  <c r="M38" i="110"/>
  <c r="G850" i="108"/>
  <c r="N850" i="108" s="1"/>
  <c r="M811" i="108"/>
  <c r="G356" i="110"/>
  <c r="G407" i="110"/>
  <c r="L69" i="110"/>
  <c r="L57" i="110"/>
  <c r="G44" i="110"/>
  <c r="G846" i="108"/>
  <c r="N846" i="108" s="1"/>
  <c r="G853" i="108"/>
  <c r="G848" i="108"/>
  <c r="G833" i="108"/>
  <c r="L799" i="108"/>
  <c r="K741" i="108"/>
  <c r="K735" i="108"/>
  <c r="K723" i="108"/>
  <c r="L716" i="108"/>
  <c r="K702" i="108"/>
  <c r="G805" i="108"/>
  <c r="L805" i="108"/>
  <c r="L775" i="108"/>
  <c r="M750" i="108"/>
  <c r="M721" i="108"/>
  <c r="K713" i="108"/>
  <c r="G860" i="108"/>
  <c r="G857" i="108"/>
  <c r="G839" i="108"/>
  <c r="L798" i="108"/>
  <c r="L791" i="108"/>
  <c r="L781" i="108"/>
  <c r="L770" i="108"/>
  <c r="G755" i="108"/>
  <c r="M740" i="108"/>
  <c r="M720" i="108"/>
  <c r="G41" i="110"/>
  <c r="L860" i="108"/>
  <c r="K857" i="108"/>
  <c r="G843" i="108"/>
  <c r="L839" i="108"/>
  <c r="G823" i="108"/>
  <c r="G819" i="108"/>
  <c r="G817" i="108"/>
  <c r="G813" i="108"/>
  <c r="L802" i="108"/>
  <c r="K792" i="108"/>
  <c r="L774" i="108"/>
  <c r="L767" i="108"/>
  <c r="L765" i="108"/>
  <c r="L718" i="108"/>
  <c r="M714" i="108"/>
  <c r="G716" i="108"/>
  <c r="M707" i="108"/>
  <c r="M706" i="108"/>
  <c r="K703" i="108"/>
  <c r="M698" i="108"/>
  <c r="M694" i="108"/>
  <c r="L672" i="108"/>
  <c r="K511" i="108"/>
  <c r="M510" i="108"/>
  <c r="G509" i="108"/>
  <c r="K505" i="108"/>
  <c r="G501" i="108"/>
  <c r="M492" i="108"/>
  <c r="K486" i="108"/>
  <c r="M482" i="108"/>
  <c r="G476" i="108"/>
  <c r="L632" i="108"/>
  <c r="L630" i="108"/>
  <c r="K514" i="108"/>
  <c r="K503" i="108"/>
  <c r="L494" i="108"/>
  <c r="K692" i="108"/>
  <c r="L627" i="108"/>
  <c r="L607" i="108"/>
  <c r="L591" i="108"/>
  <c r="L585" i="108"/>
  <c r="L552" i="108"/>
  <c r="K510" i="108"/>
  <c r="M505" i="108"/>
  <c r="K502" i="108"/>
  <c r="M489" i="108"/>
  <c r="M488" i="108"/>
  <c r="L487" i="108"/>
  <c r="K726" i="108"/>
  <c r="M716" i="108"/>
  <c r="G715" i="108"/>
  <c r="G708" i="108"/>
  <c r="G703" i="108"/>
  <c r="M683" i="108"/>
  <c r="L639" i="108"/>
  <c r="L581" i="108"/>
  <c r="L579" i="108"/>
  <c r="L532" i="108"/>
  <c r="G481" i="108"/>
  <c r="M480" i="108"/>
  <c r="K479" i="108"/>
  <c r="K465" i="108"/>
  <c r="G707" i="108"/>
  <c r="L534" i="108"/>
  <c r="K492" i="108"/>
  <c r="K489" i="108"/>
  <c r="K488" i="108"/>
  <c r="K480" i="108"/>
  <c r="K460" i="108"/>
  <c r="M448" i="108"/>
  <c r="M387" i="108"/>
  <c r="K382" i="108"/>
  <c r="L353" i="108"/>
  <c r="L342" i="108"/>
  <c r="G384" i="108"/>
  <c r="K380" i="108"/>
  <c r="M367" i="108"/>
  <c r="K363" i="108"/>
  <c r="K346" i="108"/>
  <c r="M462" i="108"/>
  <c r="M460" i="108"/>
  <c r="G460" i="108"/>
  <c r="K459" i="108"/>
  <c r="M458" i="108"/>
  <c r="G458" i="108"/>
  <c r="K456" i="108"/>
  <c r="K454" i="108"/>
  <c r="L452" i="108"/>
  <c r="M450" i="108"/>
  <c r="G450" i="108"/>
  <c r="K448" i="108"/>
  <c r="L415" i="108"/>
  <c r="K402" i="108"/>
  <c r="K385" i="108"/>
  <c r="G367" i="108"/>
  <c r="G462" i="108"/>
  <c r="M446" i="108"/>
  <c r="K446" i="108"/>
  <c r="L439" i="108"/>
  <c r="L410" i="108"/>
  <c r="L406" i="108"/>
  <c r="G381" i="108"/>
  <c r="N381" i="108" s="1"/>
  <c r="K378" i="108"/>
  <c r="G343" i="108"/>
  <c r="M294" i="108"/>
  <c r="G342" i="108"/>
  <c r="M338" i="108"/>
  <c r="G338" i="108"/>
  <c r="K333" i="108"/>
  <c r="L331" i="108"/>
  <c r="L330" i="108"/>
  <c r="L328" i="108"/>
  <c r="L313" i="108"/>
  <c r="L307" i="108"/>
  <c r="L304" i="108"/>
  <c r="M290" i="108"/>
  <c r="M289" i="108"/>
  <c r="M286" i="108"/>
  <c r="L339" i="108"/>
  <c r="M329" i="108"/>
  <c r="M284" i="108"/>
  <c r="M283" i="108"/>
  <c r="L273" i="108"/>
  <c r="G355" i="108"/>
  <c r="K336" i="108"/>
  <c r="G324" i="108"/>
  <c r="K323" i="108"/>
  <c r="M295" i="108"/>
  <c r="M291" i="108"/>
  <c r="G270" i="108"/>
  <c r="K270" i="108"/>
  <c r="G254" i="108"/>
  <c r="L254" i="108"/>
  <c r="G252" i="108"/>
  <c r="K252" i="108"/>
  <c r="K251" i="108"/>
  <c r="G249" i="108"/>
  <c r="K249" i="108"/>
  <c r="L245" i="108"/>
  <c r="G239" i="108"/>
  <c r="K239" i="108"/>
  <c r="M234" i="108"/>
  <c r="M255" i="108"/>
  <c r="K244" i="108"/>
  <c r="L243" i="108"/>
  <c r="G289" i="108"/>
  <c r="M252" i="108"/>
  <c r="M250" i="108"/>
  <c r="M249" i="108"/>
  <c r="G230" i="108"/>
  <c r="M270" i="108"/>
  <c r="G255" i="108"/>
  <c r="K255" i="108"/>
  <c r="G250" i="108"/>
  <c r="M247" i="108"/>
  <c r="M238" i="108"/>
  <c r="K230" i="108"/>
  <c r="M239" i="108"/>
  <c r="M222" i="108"/>
  <c r="G190" i="108"/>
  <c r="M184" i="108"/>
  <c r="L246" i="108"/>
  <c r="G244" i="108"/>
  <c r="K208" i="108"/>
  <c r="K207" i="108"/>
  <c r="K194" i="108"/>
  <c r="G186" i="108"/>
  <c r="G185" i="108"/>
  <c r="K185" i="108"/>
  <c r="K210" i="108"/>
  <c r="L209" i="108"/>
  <c r="G206" i="108"/>
  <c r="M190" i="108"/>
  <c r="M242" i="108"/>
  <c r="M232" i="108"/>
  <c r="M200" i="108"/>
  <c r="G181" i="108"/>
  <c r="G242" i="108"/>
  <c r="G222" i="108"/>
  <c r="M179" i="108"/>
  <c r="K177" i="108"/>
  <c r="L175" i="108"/>
  <c r="L145" i="108"/>
  <c r="L144" i="108"/>
  <c r="L143" i="108"/>
  <c r="L142" i="108"/>
  <c r="G122" i="108"/>
  <c r="M122" i="108"/>
  <c r="M116" i="108"/>
  <c r="G108" i="108"/>
  <c r="K103" i="108"/>
  <c r="K100" i="108"/>
  <c r="L147" i="108"/>
  <c r="L140" i="108"/>
  <c r="L138" i="108"/>
  <c r="G131" i="108"/>
  <c r="L115" i="108"/>
  <c r="M108" i="108"/>
  <c r="L104" i="108"/>
  <c r="L102" i="108"/>
  <c r="M101" i="108"/>
  <c r="K97" i="108"/>
  <c r="M86" i="108"/>
  <c r="G121" i="108"/>
  <c r="G114" i="108"/>
  <c r="K114" i="108"/>
  <c r="M100" i="108"/>
  <c r="G177" i="108"/>
  <c r="M99" i="108"/>
  <c r="M97" i="108"/>
  <c r="K96" i="108"/>
  <c r="M85" i="108"/>
  <c r="M83" i="108"/>
  <c r="G77" i="108"/>
  <c r="N77" i="108" s="1"/>
  <c r="G101" i="108"/>
  <c r="G69" i="108"/>
  <c r="K43" i="108"/>
  <c r="K30" i="108"/>
  <c r="G20" i="108"/>
  <c r="N20" i="108" s="1"/>
  <c r="K17" i="108"/>
  <c r="M53" i="108"/>
  <c r="K45" i="108"/>
  <c r="K44" i="108"/>
  <c r="K36" i="108"/>
  <c r="K34" i="108"/>
  <c r="G33" i="108"/>
  <c r="N33" i="108" s="1"/>
  <c r="H25" i="110"/>
  <c r="H351" i="110"/>
  <c r="I351" i="110"/>
  <c r="G97" i="110"/>
  <c r="J348" i="110"/>
  <c r="K348" i="110"/>
  <c r="L342" i="110"/>
  <c r="L338" i="110"/>
  <c r="H329" i="110"/>
  <c r="L329" i="110"/>
  <c r="J327" i="110"/>
  <c r="K325" i="110"/>
  <c r="M69" i="110"/>
  <c r="L63" i="110"/>
  <c r="L61" i="110"/>
  <c r="K56" i="110"/>
  <c r="H312" i="110"/>
  <c r="L312" i="110"/>
  <c r="I312" i="110"/>
  <c r="M312" i="110"/>
  <c r="M49" i="110"/>
  <c r="L43" i="110"/>
  <c r="L808" i="108"/>
  <c r="G807" i="108"/>
  <c r="K793" i="108"/>
  <c r="L787" i="108"/>
  <c r="L772" i="108"/>
  <c r="B23" i="109"/>
  <c r="H19" i="109"/>
  <c r="K143" i="110"/>
  <c r="G33" i="110"/>
  <c r="K287" i="110"/>
  <c r="L281" i="110"/>
  <c r="M278" i="110"/>
  <c r="K277" i="110"/>
  <c r="M270" i="110"/>
  <c r="L268" i="110"/>
  <c r="L266" i="110"/>
  <c r="L264" i="110"/>
  <c r="K263" i="110"/>
  <c r="L262" i="110"/>
  <c r="M261" i="110"/>
  <c r="K260" i="110"/>
  <c r="K257" i="110"/>
  <c r="L254" i="110"/>
  <c r="L252" i="110"/>
  <c r="L251" i="110"/>
  <c r="G251" i="110"/>
  <c r="G249" i="110"/>
  <c r="K247" i="110"/>
  <c r="K243" i="110"/>
  <c r="M238" i="110"/>
  <c r="K237" i="110"/>
  <c r="L234" i="110"/>
  <c r="G234" i="110"/>
  <c r="K232" i="110"/>
  <c r="K231" i="110"/>
  <c r="K229" i="110"/>
  <c r="L228" i="110"/>
  <c r="G228" i="110"/>
  <c r="G227" i="110"/>
  <c r="G226" i="110"/>
  <c r="M223" i="110"/>
  <c r="M222" i="110"/>
  <c r="M221" i="110"/>
  <c r="L220" i="110"/>
  <c r="G220" i="110"/>
  <c r="L218" i="110"/>
  <c r="G218" i="110"/>
  <c r="G217" i="110"/>
  <c r="L216" i="110"/>
  <c r="G216" i="110"/>
  <c r="G215" i="110"/>
  <c r="K210" i="110"/>
  <c r="G209" i="110"/>
  <c r="G208" i="110"/>
  <c r="K207" i="110"/>
  <c r="G206" i="110"/>
  <c r="G201" i="110"/>
  <c r="L199" i="110"/>
  <c r="G198" i="110"/>
  <c r="G363" i="110"/>
  <c r="K197" i="110"/>
  <c r="K196" i="110"/>
  <c r="M194" i="110"/>
  <c r="L193" i="110"/>
  <c r="G190" i="110"/>
  <c r="M189" i="110"/>
  <c r="K185" i="110"/>
  <c r="K184" i="110"/>
  <c r="K183" i="110"/>
  <c r="L180" i="110"/>
  <c r="K178" i="110"/>
  <c r="L175" i="110"/>
  <c r="G175" i="110"/>
  <c r="M174" i="110"/>
  <c r="L173" i="110"/>
  <c r="M169" i="110"/>
  <c r="L167" i="110"/>
  <c r="G167" i="110"/>
  <c r="M166" i="110"/>
  <c r="G360" i="110"/>
  <c r="L164" i="110"/>
  <c r="L163" i="110"/>
  <c r="L359" i="110"/>
  <c r="L162" i="110"/>
  <c r="G162" i="110"/>
  <c r="M161" i="110"/>
  <c r="G160" i="110"/>
  <c r="M158" i="110"/>
  <c r="K156" i="110"/>
  <c r="L154" i="110"/>
  <c r="L150" i="110"/>
  <c r="K148" i="110"/>
  <c r="L147" i="110"/>
  <c r="G144" i="110"/>
  <c r="G143" i="110"/>
  <c r="K142" i="110"/>
  <c r="K139" i="110"/>
  <c r="M138" i="110"/>
  <c r="L136" i="110"/>
  <c r="K135" i="110"/>
  <c r="M132" i="110"/>
  <c r="L131" i="110"/>
  <c r="G131" i="110"/>
  <c r="M130" i="110"/>
  <c r="M129" i="110"/>
  <c r="M128" i="110"/>
  <c r="G299" i="110"/>
  <c r="M125" i="110"/>
  <c r="G293" i="110"/>
  <c r="K122" i="110"/>
  <c r="L121" i="110"/>
  <c r="G121" i="110"/>
  <c r="L120" i="110"/>
  <c r="K118" i="110"/>
  <c r="M114" i="110"/>
  <c r="M113" i="110"/>
  <c r="M109" i="110"/>
  <c r="M108" i="110"/>
  <c r="M106" i="110"/>
  <c r="G105" i="110"/>
  <c r="M99" i="110"/>
  <c r="I30" i="110"/>
  <c r="L357" i="110"/>
  <c r="G355" i="110"/>
  <c r="G354" i="110"/>
  <c r="K351" i="110"/>
  <c r="I23" i="110"/>
  <c r="K97" i="110"/>
  <c r="G344" i="110"/>
  <c r="G341" i="110"/>
  <c r="G340" i="110"/>
  <c r="G332" i="110"/>
  <c r="M329" i="110"/>
  <c r="K327" i="110"/>
  <c r="K326" i="110"/>
  <c r="L325" i="110"/>
  <c r="J324" i="110"/>
  <c r="I13" i="110"/>
  <c r="G13" i="110"/>
  <c r="G89" i="110"/>
  <c r="G440" i="110"/>
  <c r="G439" i="110"/>
  <c r="G431" i="110"/>
  <c r="J399" i="110"/>
  <c r="G379" i="110"/>
  <c r="G372" i="110"/>
  <c r="L86" i="110"/>
  <c r="K85" i="110"/>
  <c r="G84" i="110"/>
  <c r="M84" i="110"/>
  <c r="K82" i="110"/>
  <c r="K80" i="110"/>
  <c r="G75" i="110"/>
  <c r="K75" i="110"/>
  <c r="M59" i="110"/>
  <c r="G57" i="110"/>
  <c r="G50" i="110"/>
  <c r="L46" i="110"/>
  <c r="G46" i="110"/>
  <c r="L45" i="110"/>
  <c r="G681" i="108"/>
  <c r="N681" i="108" s="1"/>
  <c r="G678" i="108"/>
  <c r="M676" i="108"/>
  <c r="G676" i="108"/>
  <c r="K848" i="108"/>
  <c r="G842" i="108"/>
  <c r="K835" i="108"/>
  <c r="K833" i="108"/>
  <c r="G829" i="108"/>
  <c r="G812" i="108"/>
  <c r="L812" i="108"/>
  <c r="K807" i="108"/>
  <c r="L782" i="108"/>
  <c r="K105" i="110"/>
  <c r="G19" i="109"/>
  <c r="H18" i="109"/>
  <c r="F474" i="110"/>
  <c r="F481" i="110" s="1"/>
  <c r="G470" i="110"/>
  <c r="G460" i="110"/>
  <c r="K74" i="110"/>
  <c r="L288" i="110"/>
  <c r="J33" i="110"/>
  <c r="H32" i="110"/>
  <c r="L284" i="110"/>
  <c r="M282" i="110"/>
  <c r="L280" i="110"/>
  <c r="G276" i="110"/>
  <c r="G275" i="110"/>
  <c r="M273" i="110"/>
  <c r="K267" i="110"/>
  <c r="M259" i="110"/>
  <c r="G258" i="110"/>
  <c r="K255" i="110"/>
  <c r="L253" i="110"/>
  <c r="L250" i="110"/>
  <c r="L245" i="110"/>
  <c r="L244" i="110"/>
  <c r="K242" i="110"/>
  <c r="M236" i="110"/>
  <c r="G22" i="109"/>
  <c r="G18" i="109"/>
  <c r="G473" i="110"/>
  <c r="G466" i="110"/>
  <c r="G464" i="110"/>
  <c r="G462" i="110"/>
  <c r="M290" i="110"/>
  <c r="G290" i="110"/>
  <c r="K288" i="110"/>
  <c r="M286" i="110"/>
  <c r="G308" i="110"/>
  <c r="K284" i="110"/>
  <c r="K281" i="110"/>
  <c r="K280" i="110"/>
  <c r="G278" i="110"/>
  <c r="K276" i="110"/>
  <c r="K275" i="110"/>
  <c r="G273" i="110"/>
  <c r="G272" i="110"/>
  <c r="L270" i="110"/>
  <c r="L269" i="110"/>
  <c r="K268" i="110"/>
  <c r="K266" i="110"/>
  <c r="K264" i="110"/>
  <c r="K262" i="110"/>
  <c r="G261" i="110"/>
  <c r="L259" i="110"/>
  <c r="G259" i="110"/>
  <c r="G256" i="110"/>
  <c r="K254" i="110"/>
  <c r="K253" i="110"/>
  <c r="K252" i="110"/>
  <c r="K251" i="110"/>
  <c r="K250" i="110"/>
  <c r="L249" i="110"/>
  <c r="M248" i="110"/>
  <c r="K245" i="110"/>
  <c r="K244" i="110"/>
  <c r="M240" i="110"/>
  <c r="M239" i="110"/>
  <c r="L236" i="110"/>
  <c r="K234" i="110"/>
  <c r="M233" i="110"/>
  <c r="L230" i="110"/>
  <c r="G230" i="110"/>
  <c r="K228" i="110"/>
  <c r="G224" i="110"/>
  <c r="L223" i="110"/>
  <c r="G223" i="110"/>
  <c r="L222" i="110"/>
  <c r="G222" i="110"/>
  <c r="G221" i="110"/>
  <c r="K220" i="110"/>
  <c r="M219" i="110"/>
  <c r="K218" i="110"/>
  <c r="K217" i="110"/>
  <c r="K216" i="110"/>
  <c r="K215" i="110"/>
  <c r="M214" i="110"/>
  <c r="M213" i="110"/>
  <c r="M212" i="110"/>
  <c r="M211" i="110"/>
  <c r="K209" i="110"/>
  <c r="K208" i="110"/>
  <c r="K206" i="110"/>
  <c r="M203" i="110"/>
  <c r="L201" i="110"/>
  <c r="G200" i="110"/>
  <c r="K199" i="110"/>
  <c r="K193" i="110"/>
  <c r="G192" i="110"/>
  <c r="L190" i="110"/>
  <c r="G189" i="110"/>
  <c r="G188" i="110"/>
  <c r="M187" i="110"/>
  <c r="G182" i="110"/>
  <c r="M181" i="110"/>
  <c r="G181" i="110"/>
  <c r="K180" i="110"/>
  <c r="G179" i="110"/>
  <c r="G177" i="110"/>
  <c r="K175" i="110"/>
  <c r="G174" i="110"/>
  <c r="M172" i="110"/>
  <c r="M171" i="110"/>
  <c r="M170" i="110"/>
  <c r="G169" i="110"/>
  <c r="K167" i="110"/>
  <c r="L166" i="110"/>
  <c r="M165" i="110"/>
  <c r="K164" i="110"/>
  <c r="K163" i="110"/>
  <c r="K359" i="110"/>
  <c r="K162" i="110"/>
  <c r="G161" i="110"/>
  <c r="L160" i="110"/>
  <c r="L158" i="110"/>
  <c r="G158" i="110"/>
  <c r="L157" i="110"/>
  <c r="K154" i="110"/>
  <c r="M153" i="110"/>
  <c r="K150" i="110"/>
  <c r="M149" i="110"/>
  <c r="K147" i="110"/>
  <c r="M146" i="110"/>
  <c r="M145" i="110"/>
  <c r="L138" i="110"/>
  <c r="G138" i="110"/>
  <c r="G137" i="110"/>
  <c r="K136" i="110"/>
  <c r="L132" i="110"/>
  <c r="G132" i="110"/>
  <c r="K131" i="110"/>
  <c r="G130" i="110"/>
  <c r="L129" i="110"/>
  <c r="L128" i="110"/>
  <c r="G303" i="110"/>
  <c r="G300" i="110"/>
  <c r="K296" i="110"/>
  <c r="M126" i="110"/>
  <c r="G295" i="110"/>
  <c r="L125" i="110"/>
  <c r="G294" i="110"/>
  <c r="K293" i="110"/>
  <c r="M292" i="110"/>
  <c r="L124" i="110"/>
  <c r="G124" i="110"/>
  <c r="K121" i="110"/>
  <c r="K120" i="110"/>
  <c r="M117" i="110"/>
  <c r="M116" i="110"/>
  <c r="L113" i="110"/>
  <c r="M112" i="110"/>
  <c r="M111" i="110"/>
  <c r="L108" i="110"/>
  <c r="G108" i="110"/>
  <c r="L107" i="110"/>
  <c r="L106" i="110"/>
  <c r="G104" i="110"/>
  <c r="M101" i="110"/>
  <c r="L99" i="110"/>
  <c r="G99" i="110"/>
  <c r="G31" i="110"/>
  <c r="H30" i="110"/>
  <c r="I29" i="110"/>
  <c r="G29" i="110"/>
  <c r="J28" i="110"/>
  <c r="G28" i="110"/>
  <c r="H28" i="110"/>
  <c r="G26" i="110"/>
  <c r="K357" i="110"/>
  <c r="H356" i="110"/>
  <c r="J356" i="110"/>
  <c r="J352" i="110"/>
  <c r="K352" i="110"/>
  <c r="J351" i="110"/>
  <c r="G350" i="110"/>
  <c r="H23" i="110"/>
  <c r="M348" i="110"/>
  <c r="K347" i="110"/>
  <c r="H344" i="110"/>
  <c r="L344" i="110"/>
  <c r="L94" i="110"/>
  <c r="H22" i="110"/>
  <c r="K342" i="110"/>
  <c r="K341" i="110"/>
  <c r="K338" i="110"/>
  <c r="I337" i="110"/>
  <c r="M337" i="110"/>
  <c r="L93" i="110"/>
  <c r="H334" i="110"/>
  <c r="L334" i="110"/>
  <c r="I17" i="110"/>
  <c r="M332" i="110"/>
  <c r="H332" i="110"/>
  <c r="K329" i="110"/>
  <c r="G329" i="110"/>
  <c r="I327" i="110"/>
  <c r="G327" i="110"/>
  <c r="G326" i="110"/>
  <c r="J325" i="110"/>
  <c r="K324" i="110"/>
  <c r="G322" i="110"/>
  <c r="H13" i="110"/>
  <c r="G319" i="110"/>
  <c r="L318" i="110"/>
  <c r="G445" i="110"/>
  <c r="I437" i="110"/>
  <c r="G416" i="110"/>
  <c r="G374" i="110"/>
  <c r="M86" i="110"/>
  <c r="G11" i="110"/>
  <c r="L75" i="110"/>
  <c r="G71" i="110"/>
  <c r="K70" i="110"/>
  <c r="G68" i="110"/>
  <c r="L67" i="110"/>
  <c r="M64" i="110"/>
  <c r="G64" i="110"/>
  <c r="G62" i="110"/>
  <c r="K53" i="110"/>
  <c r="L50" i="110"/>
  <c r="M47" i="110"/>
  <c r="K46" i="110"/>
  <c r="M45" i="110"/>
  <c r="L42" i="110"/>
  <c r="L40" i="110"/>
  <c r="L39" i="110"/>
  <c r="L37" i="110"/>
  <c r="H10" i="110"/>
  <c r="K678" i="108"/>
  <c r="L803" i="108"/>
  <c r="L779" i="108"/>
  <c r="L777" i="108"/>
  <c r="B14" i="109"/>
  <c r="B25" i="109" s="1"/>
  <c r="G468" i="110"/>
  <c r="G467" i="110"/>
  <c r="G463" i="110"/>
  <c r="G74" i="110"/>
  <c r="G274" i="110"/>
  <c r="N274" i="110" s="1"/>
  <c r="G265" i="110"/>
  <c r="G233" i="110"/>
  <c r="G219" i="110"/>
  <c r="G212" i="110"/>
  <c r="G211" i="110"/>
  <c r="G205" i="110"/>
  <c r="G203" i="110"/>
  <c r="L362" i="110"/>
  <c r="G361" i="110"/>
  <c r="G187" i="110"/>
  <c r="G172" i="110"/>
  <c r="G171" i="110"/>
  <c r="G170" i="110"/>
  <c r="J359" i="110"/>
  <c r="G156" i="110"/>
  <c r="G155" i="110"/>
  <c r="G146" i="110"/>
  <c r="G145" i="110"/>
  <c r="G302" i="110"/>
  <c r="G296" i="110"/>
  <c r="G126" i="110"/>
  <c r="G116" i="110"/>
  <c r="G114" i="110"/>
  <c r="G111" i="110"/>
  <c r="G102" i="110"/>
  <c r="G101" i="110"/>
  <c r="M98" i="110"/>
  <c r="G98" i="110"/>
  <c r="K98" i="110"/>
  <c r="I28" i="110"/>
  <c r="I27" i="110"/>
  <c r="I357" i="110"/>
  <c r="G357" i="110"/>
  <c r="G351" i="110"/>
  <c r="H350" i="110"/>
  <c r="M350" i="110"/>
  <c r="J24" i="110"/>
  <c r="G24" i="110"/>
  <c r="H24" i="110"/>
  <c r="L348" i="110"/>
  <c r="J342" i="110"/>
  <c r="J338" i="110"/>
  <c r="G338" i="110"/>
  <c r="J336" i="110"/>
  <c r="J17" i="110"/>
  <c r="J332" i="110"/>
  <c r="J329" i="110"/>
  <c r="K328" i="110"/>
  <c r="M327" i="110"/>
  <c r="H327" i="110"/>
  <c r="I325" i="110"/>
  <c r="I324" i="110"/>
  <c r="G90" i="110"/>
  <c r="K321" i="110"/>
  <c r="K320" i="110"/>
  <c r="G12" i="110"/>
  <c r="H12" i="110"/>
  <c r="G438" i="110"/>
  <c r="G433" i="110"/>
  <c r="G419" i="110"/>
  <c r="H418" i="110"/>
  <c r="G413" i="110"/>
  <c r="G410" i="110"/>
  <c r="G387" i="110"/>
  <c r="G373" i="110"/>
  <c r="M88" i="110"/>
  <c r="G79" i="110"/>
  <c r="L76" i="110"/>
  <c r="L72" i="110"/>
  <c r="G61" i="110"/>
  <c r="L55" i="110"/>
  <c r="K312" i="110"/>
  <c r="G48" i="110"/>
  <c r="K48" i="110"/>
  <c r="M39" i="110"/>
  <c r="L804" i="108"/>
  <c r="K802" i="108"/>
  <c r="L776" i="108"/>
  <c r="G756" i="108"/>
  <c r="G746" i="108"/>
  <c r="K742" i="108"/>
  <c r="G732" i="108"/>
  <c r="M732" i="108"/>
  <c r="G711" i="108"/>
  <c r="K711" i="108"/>
  <c r="G700" i="108"/>
  <c r="M697" i="108"/>
  <c r="M690" i="108"/>
  <c r="G855" i="108"/>
  <c r="G845" i="108"/>
  <c r="G841" i="108"/>
  <c r="G834" i="108"/>
  <c r="G831" i="108"/>
  <c r="G825" i="108"/>
  <c r="G818" i="108"/>
  <c r="G815" i="108"/>
  <c r="L778" i="108"/>
  <c r="K756" i="108"/>
  <c r="K754" i="108"/>
  <c r="M752" i="108"/>
  <c r="K746" i="108"/>
  <c r="L744" i="108"/>
  <c r="G736" i="108"/>
  <c r="M730" i="108"/>
  <c r="K724" i="108"/>
  <c r="M723" i="108"/>
  <c r="G723" i="108"/>
  <c r="G719" i="108"/>
  <c r="M712" i="108"/>
  <c r="G712" i="108"/>
  <c r="L702" i="108"/>
  <c r="K700" i="108"/>
  <c r="G692" i="108"/>
  <c r="K687" i="108"/>
  <c r="G347" i="110"/>
  <c r="G343" i="110"/>
  <c r="G17" i="110"/>
  <c r="G324" i="110"/>
  <c r="G429" i="110"/>
  <c r="G397" i="110"/>
  <c r="G392" i="110"/>
  <c r="G315" i="110"/>
  <c r="L314" i="110"/>
  <c r="H314" i="110"/>
  <c r="L311" i="110"/>
  <c r="H311" i="110"/>
  <c r="L309" i="110"/>
  <c r="H309" i="110"/>
  <c r="G45" i="110"/>
  <c r="G859" i="108"/>
  <c r="N859" i="108" s="1"/>
  <c r="G856" i="108"/>
  <c r="N856" i="108" s="1"/>
  <c r="M677" i="108"/>
  <c r="L855" i="108"/>
  <c r="G854" i="108"/>
  <c r="L845" i="108"/>
  <c r="G844" i="108"/>
  <c r="L841" i="108"/>
  <c r="G840" i="108"/>
  <c r="G837" i="108"/>
  <c r="K834" i="108"/>
  <c r="L831" i="108"/>
  <c r="G830" i="108"/>
  <c r="G828" i="108"/>
  <c r="L825" i="108"/>
  <c r="G824" i="108"/>
  <c r="G821" i="108"/>
  <c r="K818" i="108"/>
  <c r="L815" i="108"/>
  <c r="G814" i="108"/>
  <c r="K812" i="108"/>
  <c r="K808" i="108"/>
  <c r="K804" i="108"/>
  <c r="L783" i="108"/>
  <c r="L768" i="108"/>
  <c r="L766" i="108"/>
  <c r="L764" i="108"/>
  <c r="L758" i="108"/>
  <c r="L755" i="108"/>
  <c r="K753" i="108"/>
  <c r="K745" i="108"/>
  <c r="K744" i="108"/>
  <c r="M743" i="108"/>
  <c r="G743" i="108"/>
  <c r="K743" i="108"/>
  <c r="K740" i="108"/>
  <c r="G738" i="108"/>
  <c r="L738" i="108"/>
  <c r="K737" i="108"/>
  <c r="G735" i="108"/>
  <c r="K732" i="108"/>
  <c r="G731" i="108"/>
  <c r="G722" i="108"/>
  <c r="K719" i="108"/>
  <c r="L717" i="108"/>
  <c r="M711" i="108"/>
  <c r="M708" i="108"/>
  <c r="L699" i="108"/>
  <c r="G697" i="108"/>
  <c r="K697" i="108"/>
  <c r="L692" i="108"/>
  <c r="M691" i="108"/>
  <c r="K685" i="108"/>
  <c r="G427" i="110"/>
  <c r="G412" i="110"/>
  <c r="G404" i="110"/>
  <c r="G398" i="110"/>
  <c r="G396" i="110"/>
  <c r="G370" i="110"/>
  <c r="G310" i="110"/>
  <c r="G49" i="110"/>
  <c r="G51" i="108"/>
  <c r="N51" i="108" s="1"/>
  <c r="G858" i="108"/>
  <c r="G852" i="108"/>
  <c r="G847" i="108"/>
  <c r="G827" i="108"/>
  <c r="G15" i="108"/>
  <c r="L793" i="108"/>
  <c r="L792" i="108"/>
  <c r="L788" i="108"/>
  <c r="L780" i="108"/>
  <c r="L769" i="108"/>
  <c r="M755" i="108"/>
  <c r="M753" i="108"/>
  <c r="K751" i="108"/>
  <c r="G742" i="108"/>
  <c r="L740" i="108"/>
  <c r="K738" i="108"/>
  <c r="K736" i="108"/>
  <c r="G734" i="108"/>
  <c r="K730" i="108"/>
  <c r="M729" i="108"/>
  <c r="G724" i="108"/>
  <c r="K716" i="108"/>
  <c r="L705" i="108"/>
  <c r="L694" i="108"/>
  <c r="K728" i="108"/>
  <c r="K722" i="108"/>
  <c r="K720" i="108"/>
  <c r="K717" i="108"/>
  <c r="G693" i="108"/>
  <c r="K675" i="108"/>
  <c r="L626" i="108"/>
  <c r="L537" i="108"/>
  <c r="K529" i="108"/>
  <c r="G524" i="108"/>
  <c r="K524" i="108"/>
  <c r="L523" i="108"/>
  <c r="M521" i="108"/>
  <c r="L518" i="108"/>
  <c r="G502" i="108"/>
  <c r="K500" i="108"/>
  <c r="K496" i="108"/>
  <c r="K494" i="108"/>
  <c r="G486" i="108"/>
  <c r="K484" i="108"/>
  <c r="G482" i="108"/>
  <c r="K471" i="108"/>
  <c r="G470" i="108"/>
  <c r="L695" i="108"/>
  <c r="K690" i="108"/>
  <c r="M675" i="108"/>
  <c r="L668" i="108"/>
  <c r="L541" i="108"/>
  <c r="L527" i="108"/>
  <c r="M525" i="108"/>
  <c r="M512" i="108"/>
  <c r="K507" i="108"/>
  <c r="K504" i="108"/>
  <c r="G493" i="108"/>
  <c r="G489" i="108"/>
  <c r="K755" i="108"/>
  <c r="M749" i="108"/>
  <c r="G740" i="108"/>
  <c r="M734" i="108"/>
  <c r="K734" i="108"/>
  <c r="G728" i="108"/>
  <c r="M726" i="108"/>
  <c r="G720" i="108"/>
  <c r="G691" i="108"/>
  <c r="G689" i="108"/>
  <c r="L682" i="108"/>
  <c r="L545" i="108"/>
  <c r="K533" i="108"/>
  <c r="G528" i="108"/>
  <c r="K528" i="108"/>
  <c r="L522" i="108"/>
  <c r="L519" i="108"/>
  <c r="M517" i="108"/>
  <c r="G514" i="108"/>
  <c r="G510" i="108"/>
  <c r="G497" i="108"/>
  <c r="M494" i="108"/>
  <c r="K493" i="108"/>
  <c r="L489" i="108"/>
  <c r="M478" i="108"/>
  <c r="G474" i="108"/>
  <c r="L530" i="108"/>
  <c r="L526" i="108"/>
  <c r="G520" i="108"/>
  <c r="K520" i="108"/>
  <c r="K512" i="108"/>
  <c r="G505" i="108"/>
  <c r="G494" i="108"/>
  <c r="L480" i="108"/>
  <c r="G478" i="108"/>
  <c r="G730" i="108"/>
  <c r="G726" i="108"/>
  <c r="G522" i="108"/>
  <c r="G506" i="108"/>
  <c r="G475" i="108"/>
  <c r="K469" i="108"/>
  <c r="L457" i="108"/>
  <c r="K438" i="108"/>
  <c r="L414" i="108"/>
  <c r="L397" i="108"/>
  <c r="L390" i="108"/>
  <c r="M382" i="108"/>
  <c r="R13" i="108"/>
  <c r="K13" i="108" s="1"/>
  <c r="M374" i="108"/>
  <c r="L435" i="108"/>
  <c r="L433" i="108"/>
  <c r="L427" i="108"/>
  <c r="L425" i="108"/>
  <c r="L424" i="108"/>
  <c r="L403" i="108"/>
  <c r="L401" i="108"/>
  <c r="L392" i="108"/>
  <c r="G377" i="108"/>
  <c r="L374" i="108"/>
  <c r="M373" i="108"/>
  <c r="M362" i="108"/>
  <c r="L360" i="108"/>
  <c r="G361" i="108"/>
  <c r="N361" i="108" s="1"/>
  <c r="G526" i="108"/>
  <c r="G518" i="108"/>
  <c r="G464" i="108"/>
  <c r="K463" i="108"/>
  <c r="K461" i="108"/>
  <c r="G456" i="108"/>
  <c r="G454" i="108"/>
  <c r="L449" i="108"/>
  <c r="G446" i="108"/>
  <c r="K436" i="108"/>
  <c r="K434" i="108"/>
  <c r="L430" i="108"/>
  <c r="L419" i="108"/>
  <c r="L391" i="108"/>
  <c r="G380" i="108"/>
  <c r="G379" i="108"/>
  <c r="N379" i="108" s="1"/>
  <c r="K377" i="108"/>
  <c r="G365" i="108"/>
  <c r="M363" i="108"/>
  <c r="L362" i="108"/>
  <c r="M358" i="108"/>
  <c r="K355" i="108"/>
  <c r="K455" i="108"/>
  <c r="K453" i="108"/>
  <c r="L451" i="108"/>
  <c r="L444" i="108"/>
  <c r="L441" i="108"/>
  <c r="M439" i="108"/>
  <c r="L434" i="108"/>
  <c r="K431" i="108"/>
  <c r="L429" i="108"/>
  <c r="L428" i="108"/>
  <c r="L423" i="108"/>
  <c r="L416" i="108"/>
  <c r="L413" i="108"/>
  <c r="M394" i="108"/>
  <c r="L385" i="108"/>
  <c r="M376" i="108"/>
  <c r="G375" i="108"/>
  <c r="K366" i="108"/>
  <c r="K359" i="108"/>
  <c r="M336" i="108"/>
  <c r="G335" i="108"/>
  <c r="L335" i="108"/>
  <c r="M328" i="108"/>
  <c r="G327" i="108"/>
  <c r="L327" i="108"/>
  <c r="G325" i="108"/>
  <c r="L325" i="108"/>
  <c r="G323" i="108"/>
  <c r="L323" i="108"/>
  <c r="G321" i="108"/>
  <c r="K318" i="108"/>
  <c r="L299" i="108"/>
  <c r="K294" i="108"/>
  <c r="L289" i="108"/>
  <c r="M287" i="108"/>
  <c r="L278" i="108"/>
  <c r="L432" i="108"/>
  <c r="K394" i="108"/>
  <c r="G390" i="108"/>
  <c r="L383" i="108"/>
  <c r="G13" i="108"/>
  <c r="L378" i="108"/>
  <c r="G357" i="108"/>
  <c r="G352" i="108"/>
  <c r="N352" i="108" s="1"/>
  <c r="G347" i="108"/>
  <c r="G346" i="108"/>
  <c r="K345" i="108"/>
  <c r="M340" i="108"/>
  <c r="K340" i="108"/>
  <c r="K339" i="108"/>
  <c r="L337" i="108"/>
  <c r="G337" i="108"/>
  <c r="M335" i="108"/>
  <c r="M332" i="108"/>
  <c r="K332" i="108"/>
  <c r="K331" i="108"/>
  <c r="L329" i="108"/>
  <c r="G329" i="108"/>
  <c r="M327" i="108"/>
  <c r="M325" i="108"/>
  <c r="M323" i="108"/>
  <c r="K321" i="108"/>
  <c r="L318" i="108"/>
  <c r="L314" i="108"/>
  <c r="L305" i="108"/>
  <c r="L302" i="108"/>
  <c r="M292" i="108"/>
  <c r="K290" i="108"/>
  <c r="G288" i="108"/>
  <c r="L288" i="108"/>
  <c r="K286" i="108"/>
  <c r="G285" i="108"/>
  <c r="L285" i="108"/>
  <c r="L276" i="108"/>
  <c r="G274" i="108"/>
  <c r="K274" i="108"/>
  <c r="G273" i="108"/>
  <c r="K273" i="108"/>
  <c r="K272" i="108"/>
  <c r="M267" i="108"/>
  <c r="L321" i="108"/>
  <c r="G309" i="108"/>
  <c r="N309" i="108" s="1"/>
  <c r="G308" i="108"/>
  <c r="K283" i="108"/>
  <c r="M266" i="108"/>
  <c r="G266" i="108"/>
  <c r="L257" i="108"/>
  <c r="G339" i="108"/>
  <c r="G331" i="108"/>
  <c r="L319" i="108"/>
  <c r="L297" i="108"/>
  <c r="K295" i="108"/>
  <c r="K289" i="108"/>
  <c r="M288" i="108"/>
  <c r="K280" i="108"/>
  <c r="M263" i="108"/>
  <c r="M262" i="108"/>
  <c r="K260" i="108"/>
  <c r="L251" i="108"/>
  <c r="K241" i="108"/>
  <c r="K231" i="108"/>
  <c r="M220" i="108"/>
  <c r="L217" i="108"/>
  <c r="G214" i="108"/>
  <c r="K213" i="108"/>
  <c r="K209" i="108"/>
  <c r="K200" i="108"/>
  <c r="G180" i="108"/>
  <c r="G179" i="108"/>
  <c r="G176" i="108"/>
  <c r="K278" i="108"/>
  <c r="K276" i="108"/>
  <c r="L267" i="108"/>
  <c r="L263" i="108"/>
  <c r="G257" i="108"/>
  <c r="M248" i="108"/>
  <c r="L247" i="108"/>
  <c r="M243" i="108"/>
  <c r="K233" i="108"/>
  <c r="G232" i="108"/>
  <c r="K225" i="108"/>
  <c r="K224" i="108"/>
  <c r="K223" i="108"/>
  <c r="K214" i="108"/>
  <c r="L207" i="108"/>
  <c r="K204" i="108"/>
  <c r="K188" i="108"/>
  <c r="G184" i="108"/>
  <c r="L182" i="108"/>
  <c r="G182" i="108"/>
  <c r="M180" i="108"/>
  <c r="K179" i="108"/>
  <c r="K176" i="108"/>
  <c r="G175" i="108"/>
  <c r="L148" i="108"/>
  <c r="K147" i="108"/>
  <c r="G145" i="108"/>
  <c r="K145" i="108"/>
  <c r="G287" i="108"/>
  <c r="K285" i="108"/>
  <c r="K284" i="108"/>
  <c r="K281" i="108"/>
  <c r="L271" i="108"/>
  <c r="L268" i="108"/>
  <c r="M265" i="108"/>
  <c r="G259" i="108"/>
  <c r="K257" i="108"/>
  <c r="M253" i="108"/>
  <c r="L248" i="108"/>
  <c r="G248" i="108"/>
  <c r="K247" i="108"/>
  <c r="G246" i="108"/>
  <c r="G234" i="108"/>
  <c r="K232" i="108"/>
  <c r="G231" i="108"/>
  <c r="K228" i="108"/>
  <c r="K226" i="108"/>
  <c r="L224" i="108"/>
  <c r="K221" i="108"/>
  <c r="M218" i="108"/>
  <c r="G210" i="108"/>
  <c r="M208" i="108"/>
  <c r="L204" i="108"/>
  <c r="K192" i="108"/>
  <c r="L188" i="108"/>
  <c r="K184" i="108"/>
  <c r="G183" i="108"/>
  <c r="M175" i="108"/>
  <c r="G162" i="108"/>
  <c r="M140" i="108"/>
  <c r="G11" i="108"/>
  <c r="G290" i="108"/>
  <c r="K288" i="108"/>
  <c r="L287" i="108"/>
  <c r="G286" i="108"/>
  <c r="L282" i="108"/>
  <c r="M281" i="108"/>
  <c r="K279" i="108"/>
  <c r="K277" i="108"/>
  <c r="K275" i="108"/>
  <c r="M274" i="108"/>
  <c r="M273" i="108"/>
  <c r="M271" i="108"/>
  <c r="M268" i="108"/>
  <c r="G265" i="108"/>
  <c r="K264" i="108"/>
  <c r="K262" i="108"/>
  <c r="G253" i="108"/>
  <c r="K248" i="108"/>
  <c r="G245" i="108"/>
  <c r="K240" i="108"/>
  <c r="K238" i="108"/>
  <c r="K237" i="108"/>
  <c r="K229" i="108"/>
  <c r="M228" i="108"/>
  <c r="M226" i="108"/>
  <c r="M221" i="108"/>
  <c r="K220" i="108"/>
  <c r="M219" i="108"/>
  <c r="G218" i="108"/>
  <c r="K215" i="108"/>
  <c r="K212" i="108"/>
  <c r="M205" i="108"/>
  <c r="K196" i="108"/>
  <c r="G194" i="108"/>
  <c r="L192" i="108"/>
  <c r="M191" i="108"/>
  <c r="M189" i="108"/>
  <c r="L149" i="108"/>
  <c r="K146" i="108"/>
  <c r="G143" i="108"/>
  <c r="K143" i="108"/>
  <c r="M142" i="108"/>
  <c r="G240" i="108"/>
  <c r="G235" i="108"/>
  <c r="G228" i="108"/>
  <c r="K148" i="108"/>
  <c r="L113" i="108"/>
  <c r="G111" i="108"/>
  <c r="L111" i="108"/>
  <c r="G104" i="108"/>
  <c r="K95" i="108"/>
  <c r="G92" i="108"/>
  <c r="K91" i="108"/>
  <c r="L86" i="108"/>
  <c r="G83" i="108"/>
  <c r="G81" i="108"/>
  <c r="K81" i="108"/>
  <c r="L46" i="108"/>
  <c r="G45" i="108"/>
  <c r="G32" i="108"/>
  <c r="K28" i="108"/>
  <c r="M24" i="108"/>
  <c r="M110" i="108"/>
  <c r="K109" i="108"/>
  <c r="G100" i="108"/>
  <c r="M98" i="108"/>
  <c r="G97" i="108"/>
  <c r="L90" i="108"/>
  <c r="K42" i="108"/>
  <c r="G37" i="108"/>
  <c r="L34" i="108"/>
  <c r="K105" i="108"/>
  <c r="M103" i="108"/>
  <c r="L99" i="108"/>
  <c r="G94" i="108"/>
  <c r="K94" i="108"/>
  <c r="G85" i="108"/>
  <c r="G82" i="108"/>
  <c r="G62" i="108"/>
  <c r="N62" i="108" s="1"/>
  <c r="L44" i="108"/>
  <c r="G43" i="108"/>
  <c r="M29" i="108"/>
  <c r="M23" i="108"/>
  <c r="K115" i="108"/>
  <c r="K108" i="108"/>
  <c r="M106" i="108"/>
  <c r="L105" i="108"/>
  <c r="G98" i="108"/>
  <c r="G96" i="108"/>
  <c r="L95" i="108"/>
  <c r="L94" i="108"/>
  <c r="M92" i="108"/>
  <c r="L89" i="108"/>
  <c r="G89" i="108"/>
  <c r="G88" i="108"/>
  <c r="K87" i="108"/>
  <c r="K85" i="108"/>
  <c r="K84" i="108"/>
  <c r="K82" i="108"/>
  <c r="G79" i="108"/>
  <c r="N79" i="108" s="1"/>
  <c r="G68" i="108"/>
  <c r="N68" i="108" s="1"/>
  <c r="G60" i="108"/>
  <c r="L43" i="108"/>
  <c r="G41" i="108"/>
  <c r="L36" i="108"/>
  <c r="G35" i="108"/>
  <c r="G103" i="108"/>
  <c r="G90" i="108"/>
  <c r="G86" i="108"/>
  <c r="L18" i="108"/>
  <c r="G18" i="108"/>
  <c r="L16" i="108"/>
  <c r="G16" i="108"/>
  <c r="G29" i="108"/>
  <c r="K48" i="108"/>
  <c r="G47" i="108"/>
  <c r="N47" i="108" s="1"/>
  <c r="AB72" i="116"/>
  <c r="M124" i="110"/>
  <c r="E474" i="110"/>
  <c r="E481" i="110" s="1"/>
  <c r="G471" i="110"/>
  <c r="G453" i="110"/>
  <c r="G288" i="110"/>
  <c r="G34" i="110"/>
  <c r="G286" i="110"/>
  <c r="M308" i="110"/>
  <c r="G282" i="110"/>
  <c r="G271" i="110"/>
  <c r="G270" i="110"/>
  <c r="G267" i="110"/>
  <c r="G263" i="110"/>
  <c r="G253" i="110"/>
  <c r="G248" i="110"/>
  <c r="G246" i="110"/>
  <c r="G245" i="110"/>
  <c r="G244" i="110"/>
  <c r="G243" i="110"/>
  <c r="G240" i="110"/>
  <c r="G239" i="110"/>
  <c r="G238" i="110"/>
  <c r="G237" i="110"/>
  <c r="G236" i="110"/>
  <c r="G225" i="110"/>
  <c r="N225" i="110" s="1"/>
  <c r="G214" i="110"/>
  <c r="G213" i="110"/>
  <c r="M363" i="110"/>
  <c r="I363" i="110"/>
  <c r="K362" i="110"/>
  <c r="G195" i="110"/>
  <c r="G194" i="110"/>
  <c r="M361" i="110"/>
  <c r="I361" i="110"/>
  <c r="G168" i="110"/>
  <c r="N168" i="110" s="1"/>
  <c r="G166" i="110"/>
  <c r="M360" i="110"/>
  <c r="I360" i="110"/>
  <c r="G165" i="110"/>
  <c r="G163" i="110"/>
  <c r="G359" i="110"/>
  <c r="G153" i="110"/>
  <c r="G150" i="110"/>
  <c r="G149" i="110"/>
  <c r="G136" i="110"/>
  <c r="G129" i="110"/>
  <c r="M307" i="110"/>
  <c r="G307" i="110"/>
  <c r="G128" i="110"/>
  <c r="G127" i="110"/>
  <c r="G301" i="110"/>
  <c r="M299" i="110"/>
  <c r="G297" i="110"/>
  <c r="G292" i="110"/>
  <c r="G117" i="110"/>
  <c r="G113" i="110"/>
  <c r="G112" i="110"/>
  <c r="G109" i="110"/>
  <c r="G106" i="110"/>
  <c r="G103" i="110"/>
  <c r="G358" i="110"/>
  <c r="G30" i="110"/>
  <c r="G27" i="110"/>
  <c r="G25" i="110"/>
  <c r="J354" i="110"/>
  <c r="L352" i="110"/>
  <c r="H352" i="110"/>
  <c r="G23" i="110"/>
  <c r="G348" i="110"/>
  <c r="I347" i="110"/>
  <c r="M347" i="110"/>
  <c r="M96" i="110"/>
  <c r="K346" i="110"/>
  <c r="L345" i="110"/>
  <c r="G94" i="110"/>
  <c r="J343" i="110"/>
  <c r="I21" i="110"/>
  <c r="G21" i="110"/>
  <c r="J340" i="110"/>
  <c r="H20" i="110"/>
  <c r="K334" i="110"/>
  <c r="I19" i="110"/>
  <c r="G19" i="110"/>
  <c r="J18" i="110"/>
  <c r="J331" i="110"/>
  <c r="L328" i="110"/>
  <c r="G328" i="110"/>
  <c r="M326" i="110"/>
  <c r="G325" i="110"/>
  <c r="H323" i="110"/>
  <c r="L323" i="110"/>
  <c r="J322" i="110"/>
  <c r="L321" i="110"/>
  <c r="G321" i="110"/>
  <c r="L320" i="110"/>
  <c r="G320" i="110"/>
  <c r="J317" i="110"/>
  <c r="I316" i="110"/>
  <c r="M316" i="110"/>
  <c r="G448" i="110"/>
  <c r="G444" i="110"/>
  <c r="G435" i="110"/>
  <c r="G428" i="110"/>
  <c r="I419" i="110"/>
  <c r="G415" i="110"/>
  <c r="G411" i="110"/>
  <c r="G405" i="110"/>
  <c r="G403" i="110"/>
  <c r="G402" i="110"/>
  <c r="G391" i="110"/>
  <c r="G383" i="110"/>
  <c r="G88" i="110"/>
  <c r="L85" i="110"/>
  <c r="G85" i="110"/>
  <c r="J315" i="110"/>
  <c r="L81" i="110"/>
  <c r="G81" i="110"/>
  <c r="L70" i="110"/>
  <c r="G70" i="110"/>
  <c r="K68" i="110"/>
  <c r="M67" i="110"/>
  <c r="L66" i="110"/>
  <c r="G66" i="110"/>
  <c r="M60" i="110"/>
  <c r="G53" i="110"/>
  <c r="L51" i="110"/>
  <c r="G51" i="110"/>
  <c r="G314" i="110"/>
  <c r="J313" i="110"/>
  <c r="K42" i="110"/>
  <c r="G40" i="110"/>
  <c r="G851" i="108"/>
  <c r="N851" i="108" s="1"/>
  <c r="G680" i="108"/>
  <c r="N680" i="108" s="1"/>
  <c r="K854" i="108"/>
  <c r="M849" i="108"/>
  <c r="K844" i="108"/>
  <c r="K840" i="108"/>
  <c r="K830" i="108"/>
  <c r="K824" i="108"/>
  <c r="K814" i="108"/>
  <c r="G809" i="108"/>
  <c r="G803" i="108"/>
  <c r="G800" i="108"/>
  <c r="G791" i="108"/>
  <c r="K790" i="108"/>
  <c r="G788" i="108"/>
  <c r="G786" i="108"/>
  <c r="G784" i="108"/>
  <c r="G782" i="108"/>
  <c r="G780" i="108"/>
  <c r="G778" i="108"/>
  <c r="G776" i="108"/>
  <c r="G774" i="108"/>
  <c r="G772" i="108"/>
  <c r="G770" i="108"/>
  <c r="G768" i="108"/>
  <c r="G751" i="108"/>
  <c r="G749" i="108"/>
  <c r="D474" i="110"/>
  <c r="D481" i="110" s="1"/>
  <c r="G368" i="110"/>
  <c r="K290" i="110"/>
  <c r="G289" i="110"/>
  <c r="N289" i="110" s="1"/>
  <c r="H33" i="110"/>
  <c r="G269" i="110"/>
  <c r="G266" i="110"/>
  <c r="G255" i="110"/>
  <c r="G210" i="110"/>
  <c r="G207" i="110"/>
  <c r="L363" i="110"/>
  <c r="H363" i="110"/>
  <c r="K181" i="110"/>
  <c r="G157" i="110"/>
  <c r="G147" i="110"/>
  <c r="L143" i="110"/>
  <c r="L137" i="110"/>
  <c r="G306" i="110"/>
  <c r="G110" i="110"/>
  <c r="I26" i="110"/>
  <c r="G96" i="110"/>
  <c r="J346" i="110"/>
  <c r="H340" i="110"/>
  <c r="G337" i="110"/>
  <c r="G93" i="110"/>
  <c r="I334" i="110"/>
  <c r="G92" i="110"/>
  <c r="G333" i="110"/>
  <c r="H333" i="110"/>
  <c r="L333" i="110"/>
  <c r="G18" i="110"/>
  <c r="H331" i="110"/>
  <c r="I328" i="110"/>
  <c r="M328" i="110"/>
  <c r="H326" i="110"/>
  <c r="L326" i="110"/>
  <c r="G14" i="110"/>
  <c r="I322" i="110"/>
  <c r="I321" i="110"/>
  <c r="M321" i="110"/>
  <c r="I320" i="110"/>
  <c r="M320" i="110"/>
  <c r="G318" i="110"/>
  <c r="I317" i="110"/>
  <c r="G447" i="110"/>
  <c r="G443" i="110"/>
  <c r="G441" i="110"/>
  <c r="G437" i="110"/>
  <c r="G434" i="110"/>
  <c r="G432" i="110"/>
  <c r="G430" i="110"/>
  <c r="G426" i="110"/>
  <c r="G418" i="110"/>
  <c r="G414" i="110"/>
  <c r="G408" i="110"/>
  <c r="G400" i="110"/>
  <c r="G393" i="110"/>
  <c r="G389" i="110"/>
  <c r="G384" i="110"/>
  <c r="G378" i="110"/>
  <c r="G87" i="110"/>
  <c r="I315" i="110"/>
  <c r="G80" i="110"/>
  <c r="G78" i="110"/>
  <c r="G67" i="110"/>
  <c r="G60" i="110"/>
  <c r="G58" i="110"/>
  <c r="G56" i="110"/>
  <c r="G55" i="110"/>
  <c r="H313" i="110"/>
  <c r="G312" i="110"/>
  <c r="G309" i="110"/>
  <c r="G39" i="110"/>
  <c r="G37" i="110"/>
  <c r="G10" i="110"/>
  <c r="G341" i="108"/>
  <c r="N341" i="108" s="1"/>
  <c r="G55" i="108"/>
  <c r="N55" i="108" s="1"/>
  <c r="G849" i="108"/>
  <c r="G838" i="108"/>
  <c r="G832" i="108"/>
  <c r="G822" i="108"/>
  <c r="G816" i="108"/>
  <c r="K803" i="108"/>
  <c r="M801" i="108"/>
  <c r="K800" i="108"/>
  <c r="G798" i="108"/>
  <c r="G796" i="108"/>
  <c r="G794" i="108"/>
  <c r="M792" i="108"/>
  <c r="K791" i="108"/>
  <c r="M789" i="108"/>
  <c r="K788" i="108"/>
  <c r="M787" i="108"/>
  <c r="K786" i="108"/>
  <c r="M785" i="108"/>
  <c r="K784" i="108"/>
  <c r="M783" i="108"/>
  <c r="K782" i="108"/>
  <c r="M781" i="108"/>
  <c r="K780" i="108"/>
  <c r="M779" i="108"/>
  <c r="K778" i="108"/>
  <c r="M777" i="108"/>
  <c r="K776" i="108"/>
  <c r="M775" i="108"/>
  <c r="K774" i="108"/>
  <c r="M773" i="108"/>
  <c r="K772" i="108"/>
  <c r="M771" i="108"/>
  <c r="K770" i="108"/>
  <c r="M769" i="108"/>
  <c r="K768" i="108"/>
  <c r="G766" i="108"/>
  <c r="G763" i="108"/>
  <c r="G761" i="108"/>
  <c r="G759" i="108"/>
  <c r="G754" i="108"/>
  <c r="G752" i="108"/>
  <c r="L751" i="108"/>
  <c r="L749" i="108"/>
  <c r="L748" i="108"/>
  <c r="G744" i="108"/>
  <c r="I35" i="110"/>
  <c r="K153" i="110"/>
  <c r="G35" i="110"/>
  <c r="G283" i="110"/>
  <c r="N283" i="110" s="1"/>
  <c r="G268" i="110"/>
  <c r="G264" i="110"/>
  <c r="G250" i="110"/>
  <c r="G247" i="110"/>
  <c r="N247" i="110" s="1"/>
  <c r="G241" i="110"/>
  <c r="G232" i="110"/>
  <c r="L224" i="110"/>
  <c r="G199" i="110"/>
  <c r="L361" i="110"/>
  <c r="H361" i="110"/>
  <c r="L360" i="110"/>
  <c r="H360" i="110"/>
  <c r="G154" i="110"/>
  <c r="G148" i="110"/>
  <c r="N148" i="110" s="1"/>
  <c r="G140" i="110"/>
  <c r="G305" i="110"/>
  <c r="G125" i="110"/>
  <c r="G123" i="110"/>
  <c r="G120" i="110"/>
  <c r="G118" i="110"/>
  <c r="L114" i="110"/>
  <c r="G107" i="110"/>
  <c r="L100" i="110"/>
  <c r="M354" i="110"/>
  <c r="I354" i="110"/>
  <c r="I345" i="110"/>
  <c r="M345" i="110"/>
  <c r="H343" i="110"/>
  <c r="G458" i="110"/>
  <c r="G456" i="110"/>
  <c r="K363" i="110"/>
  <c r="M362" i="110"/>
  <c r="K361" i="110"/>
  <c r="K360" i="110"/>
  <c r="M359" i="110"/>
  <c r="N359" i="110" s="1"/>
  <c r="K304" i="110"/>
  <c r="M303" i="110"/>
  <c r="K294" i="110"/>
  <c r="L356" i="110"/>
  <c r="M355" i="110"/>
  <c r="L354" i="110"/>
  <c r="L353" i="110"/>
  <c r="L351" i="110"/>
  <c r="L350" i="110"/>
  <c r="M349" i="110"/>
  <c r="N349" i="110" s="1"/>
  <c r="I348" i="110"/>
  <c r="J347" i="110"/>
  <c r="K96" i="110"/>
  <c r="J345" i="110"/>
  <c r="G95" i="110"/>
  <c r="G22" i="110"/>
  <c r="L343" i="110"/>
  <c r="G342" i="110"/>
  <c r="I342" i="110"/>
  <c r="M342" i="110"/>
  <c r="L340" i="110"/>
  <c r="I338" i="110"/>
  <c r="M338" i="110"/>
  <c r="G335" i="110"/>
  <c r="M334" i="110"/>
  <c r="K333" i="110"/>
  <c r="H18" i="110"/>
  <c r="L331" i="110"/>
  <c r="G331" i="110"/>
  <c r="I330" i="110"/>
  <c r="M330" i="110"/>
  <c r="J328" i="110"/>
  <c r="G15" i="110"/>
  <c r="J326" i="110"/>
  <c r="I323" i="110"/>
  <c r="M322" i="110"/>
  <c r="J321" i="110"/>
  <c r="J320" i="110"/>
  <c r="K318" i="110"/>
  <c r="M317" i="110"/>
  <c r="G317" i="110"/>
  <c r="H316" i="110"/>
  <c r="G446" i="110"/>
  <c r="G442" i="110"/>
  <c r="G436" i="110"/>
  <c r="G424" i="110"/>
  <c r="G420" i="110"/>
  <c r="G417" i="110"/>
  <c r="I411" i="110"/>
  <c r="G409" i="110"/>
  <c r="G401" i="110"/>
  <c r="G399" i="110"/>
  <c r="G395" i="110"/>
  <c r="G394" i="110"/>
  <c r="J390" i="110"/>
  <c r="G388" i="110"/>
  <c r="G386" i="110"/>
  <c r="G385" i="110"/>
  <c r="G382" i="110"/>
  <c r="G381" i="110"/>
  <c r="G377" i="110"/>
  <c r="G376" i="110"/>
  <c r="G86" i="110"/>
  <c r="G83" i="110"/>
  <c r="N83" i="110" s="1"/>
  <c r="M315" i="110"/>
  <c r="L82" i="110"/>
  <c r="G82" i="110"/>
  <c r="G76" i="110"/>
  <c r="G72" i="110"/>
  <c r="G69" i="110"/>
  <c r="N69" i="110" s="1"/>
  <c r="K67" i="110"/>
  <c r="L65" i="110"/>
  <c r="G65" i="110"/>
  <c r="G63" i="110"/>
  <c r="K60" i="110"/>
  <c r="G59" i="110"/>
  <c r="L54" i="110"/>
  <c r="G54" i="110"/>
  <c r="L313" i="110"/>
  <c r="G313" i="110"/>
  <c r="G311" i="110"/>
  <c r="H310" i="110"/>
  <c r="L310" i="110"/>
  <c r="G47" i="110"/>
  <c r="G38" i="110"/>
  <c r="G36" i="110"/>
  <c r="G679" i="108"/>
  <c r="G52" i="108"/>
  <c r="N52" i="108" s="1"/>
  <c r="G25" i="108"/>
  <c r="G677" i="108"/>
  <c r="G76" i="108"/>
  <c r="K849" i="108"/>
  <c r="K838" i="108"/>
  <c r="G836" i="108"/>
  <c r="K832" i="108"/>
  <c r="G826" i="108"/>
  <c r="K822" i="108"/>
  <c r="G820" i="108"/>
  <c r="K816" i="108"/>
  <c r="G811" i="108"/>
  <c r="G808" i="108"/>
  <c r="G806" i="108"/>
  <c r="G804" i="108"/>
  <c r="M802" i="108"/>
  <c r="G801" i="108"/>
  <c r="M799" i="108"/>
  <c r="K798" i="108"/>
  <c r="M797" i="108"/>
  <c r="K796" i="108"/>
  <c r="M795" i="108"/>
  <c r="K794" i="108"/>
  <c r="M793" i="108"/>
  <c r="G792" i="108"/>
  <c r="M790" i="108"/>
  <c r="G789" i="108"/>
  <c r="G787" i="108"/>
  <c r="G785" i="108"/>
  <c r="G783" i="108"/>
  <c r="G781" i="108"/>
  <c r="G779" i="108"/>
  <c r="G777" i="108"/>
  <c r="G775" i="108"/>
  <c r="G773" i="108"/>
  <c r="G771" i="108"/>
  <c r="G769" i="108"/>
  <c r="M767" i="108"/>
  <c r="K766" i="108"/>
  <c r="M765" i="108"/>
  <c r="M764" i="108"/>
  <c r="K763" i="108"/>
  <c r="M762" i="108"/>
  <c r="K761" i="108"/>
  <c r="M760" i="108"/>
  <c r="K759" i="108"/>
  <c r="M758" i="108"/>
  <c r="L754" i="108"/>
  <c r="L752" i="108"/>
  <c r="G750" i="108"/>
  <c r="L747" i="108"/>
  <c r="M744" i="108"/>
  <c r="H346" i="110"/>
  <c r="L346" i="110"/>
  <c r="I343" i="110"/>
  <c r="M343" i="110"/>
  <c r="I340" i="110"/>
  <c r="M340" i="110"/>
  <c r="G20" i="110"/>
  <c r="G336" i="110"/>
  <c r="J334" i="110"/>
  <c r="I331" i="110"/>
  <c r="M331" i="110"/>
  <c r="G16" i="110"/>
  <c r="N16" i="110" s="1"/>
  <c r="H322" i="110"/>
  <c r="L322" i="110"/>
  <c r="H317" i="110"/>
  <c r="L317" i="110"/>
  <c r="G423" i="110"/>
  <c r="G371" i="110"/>
  <c r="H315" i="110"/>
  <c r="L315" i="110"/>
  <c r="N315" i="110" s="1"/>
  <c r="I313" i="110"/>
  <c r="M313" i="110"/>
  <c r="N313" i="110" s="1"/>
  <c r="G43" i="110"/>
  <c r="G42" i="110"/>
  <c r="G802" i="108"/>
  <c r="G799" i="108"/>
  <c r="G797" i="108"/>
  <c r="G795" i="108"/>
  <c r="G793" i="108"/>
  <c r="G790" i="108"/>
  <c r="G767" i="108"/>
  <c r="G765" i="108"/>
  <c r="G764" i="108"/>
  <c r="G762" i="108"/>
  <c r="G760" i="108"/>
  <c r="G758" i="108"/>
  <c r="G753" i="108"/>
  <c r="G745" i="108"/>
  <c r="G714" i="108"/>
  <c r="G710" i="108"/>
  <c r="G709" i="108"/>
  <c r="G706" i="108"/>
  <c r="G698" i="108"/>
  <c r="K698" i="108"/>
  <c r="M673" i="108"/>
  <c r="M669" i="108"/>
  <c r="M636" i="108"/>
  <c r="M632" i="108"/>
  <c r="M606" i="108"/>
  <c r="M602" i="108"/>
  <c r="M598" i="108"/>
  <c r="N19" i="123"/>
  <c r="BF19" i="123" s="1"/>
  <c r="M20" i="123"/>
  <c r="BE20" i="123" s="1"/>
  <c r="L21" i="123"/>
  <c r="BD21" i="123" s="1"/>
  <c r="L26" i="123"/>
  <c r="BD26" i="123" s="1"/>
  <c r="L28" i="123"/>
  <c r="BD28" i="123" s="1"/>
  <c r="L8" i="123"/>
  <c r="BD8" i="123" s="1"/>
  <c r="L9" i="123"/>
  <c r="BD9" i="123" s="1"/>
  <c r="L10" i="123"/>
  <c r="BD10" i="123" s="1"/>
  <c r="L11" i="123"/>
  <c r="BD11" i="123" s="1"/>
  <c r="L12" i="123"/>
  <c r="BD12" i="123" s="1"/>
  <c r="L13" i="123"/>
  <c r="BD13" i="123" s="1"/>
  <c r="L14" i="123"/>
  <c r="BD14" i="123" s="1"/>
  <c r="L15" i="123"/>
  <c r="BD15" i="123" s="1"/>
  <c r="L16" i="123"/>
  <c r="BD16" i="123" s="1"/>
  <c r="L17" i="123"/>
  <c r="BD17" i="123" s="1"/>
  <c r="L18" i="123"/>
  <c r="BD18" i="123" s="1"/>
  <c r="N20" i="123"/>
  <c r="BF20" i="123" s="1"/>
  <c r="M21" i="123"/>
  <c r="BE21" i="123" s="1"/>
  <c r="L22" i="123"/>
  <c r="BD22" i="123" s="1"/>
  <c r="L24" i="123"/>
  <c r="BD24" i="123" s="1"/>
  <c r="M26" i="123"/>
  <c r="BE26" i="123" s="1"/>
  <c r="M28" i="123"/>
  <c r="BE28" i="123" s="1"/>
  <c r="M8" i="123"/>
  <c r="BE8" i="123" s="1"/>
  <c r="M9" i="123"/>
  <c r="BE9" i="123" s="1"/>
  <c r="M10" i="123"/>
  <c r="BE10" i="123" s="1"/>
  <c r="M11" i="123"/>
  <c r="BE11" i="123" s="1"/>
  <c r="M12" i="123"/>
  <c r="BE12" i="123" s="1"/>
  <c r="M13" i="123"/>
  <c r="BE13" i="123" s="1"/>
  <c r="M14" i="123"/>
  <c r="BE14" i="123" s="1"/>
  <c r="M15" i="123"/>
  <c r="BE15" i="123" s="1"/>
  <c r="M16" i="123"/>
  <c r="BE16" i="123" s="1"/>
  <c r="M17" i="123"/>
  <c r="BE17" i="123" s="1"/>
  <c r="M18" i="123"/>
  <c r="L19" i="123"/>
  <c r="BD19" i="123" s="1"/>
  <c r="N21" i="123"/>
  <c r="BF21" i="123" s="1"/>
  <c r="M22" i="123"/>
  <c r="BE22" i="123" s="1"/>
  <c r="M24" i="123"/>
  <c r="BE24" i="123" s="1"/>
  <c r="N26" i="123"/>
  <c r="N28" i="123"/>
  <c r="N8" i="123"/>
  <c r="BF8" i="123" s="1"/>
  <c r="N9" i="123"/>
  <c r="BF9" i="123" s="1"/>
  <c r="N10" i="123"/>
  <c r="N11" i="123"/>
  <c r="BF11" i="123" s="1"/>
  <c r="N12" i="123"/>
  <c r="BF12" i="123" s="1"/>
  <c r="N13" i="123"/>
  <c r="BF13" i="123" s="1"/>
  <c r="N14" i="123"/>
  <c r="BF14" i="123" s="1"/>
  <c r="N15" i="123"/>
  <c r="BF15" i="123" s="1"/>
  <c r="N16" i="123"/>
  <c r="BF16" i="123" s="1"/>
  <c r="N17" i="123"/>
  <c r="BF17" i="123" s="1"/>
  <c r="N18" i="123"/>
  <c r="BF18" i="123" s="1"/>
  <c r="M19" i="123"/>
  <c r="BE19" i="123" s="1"/>
  <c r="L20" i="123"/>
  <c r="BD20" i="123" s="1"/>
  <c r="N22" i="123"/>
  <c r="BF22" i="123" s="1"/>
  <c r="N24" i="123"/>
  <c r="BF24" i="123" s="1"/>
  <c r="G748" i="108"/>
  <c r="G747" i="108"/>
  <c r="M718" i="108"/>
  <c r="G718" i="108"/>
  <c r="L714" i="108"/>
  <c r="L710" i="108"/>
  <c r="L709" i="108"/>
  <c r="L706" i="108"/>
  <c r="G702" i="108"/>
  <c r="G694" i="108"/>
  <c r="K694" i="108"/>
  <c r="G672" i="108"/>
  <c r="K672" i="108"/>
  <c r="G639" i="108"/>
  <c r="K639" i="108"/>
  <c r="G635" i="108"/>
  <c r="K635" i="108"/>
  <c r="G631" i="108"/>
  <c r="K631" i="108"/>
  <c r="G609" i="108"/>
  <c r="K609" i="108"/>
  <c r="G605" i="108"/>
  <c r="K605" i="108"/>
  <c r="G601" i="108"/>
  <c r="K601" i="108"/>
  <c r="G597" i="108"/>
  <c r="K597" i="108"/>
  <c r="G741" i="108"/>
  <c r="G737" i="108"/>
  <c r="G733" i="108"/>
  <c r="G729" i="108"/>
  <c r="G725" i="108"/>
  <c r="G721" i="108"/>
  <c r="G688" i="108"/>
  <c r="M671" i="108"/>
  <c r="M638" i="108"/>
  <c r="M634" i="108"/>
  <c r="G628" i="108"/>
  <c r="K628" i="108"/>
  <c r="M608" i="108"/>
  <c r="M604" i="108"/>
  <c r="M600" i="108"/>
  <c r="M596" i="108"/>
  <c r="G717" i="108"/>
  <c r="M713" i="108"/>
  <c r="G713" i="108"/>
  <c r="M705" i="108"/>
  <c r="L688" i="108"/>
  <c r="G674" i="108"/>
  <c r="K674" i="108"/>
  <c r="G670" i="108"/>
  <c r="K670" i="108"/>
  <c r="G637" i="108"/>
  <c r="K637" i="108"/>
  <c r="G633" i="108"/>
  <c r="K633" i="108"/>
  <c r="M627" i="108"/>
  <c r="G607" i="108"/>
  <c r="K607" i="108"/>
  <c r="G603" i="108"/>
  <c r="K603" i="108"/>
  <c r="G599" i="108"/>
  <c r="K599" i="108"/>
  <c r="G595" i="108"/>
  <c r="K595" i="108"/>
  <c r="G695" i="108"/>
  <c r="L690" i="108"/>
  <c r="G684" i="108"/>
  <c r="G668" i="108"/>
  <c r="G666" i="108"/>
  <c r="G664" i="108"/>
  <c r="G662" i="108"/>
  <c r="G660" i="108"/>
  <c r="G658" i="108"/>
  <c r="G656" i="108"/>
  <c r="G654" i="108"/>
  <c r="G652" i="108"/>
  <c r="G650" i="108"/>
  <c r="G648" i="108"/>
  <c r="G646" i="108"/>
  <c r="G644" i="108"/>
  <c r="G642" i="108"/>
  <c r="G640" i="108"/>
  <c r="G629" i="108"/>
  <c r="G626" i="108"/>
  <c r="G624" i="108"/>
  <c r="G622" i="108"/>
  <c r="G620" i="108"/>
  <c r="G618" i="108"/>
  <c r="G616" i="108"/>
  <c r="G614" i="108"/>
  <c r="G612" i="108"/>
  <c r="G610" i="108"/>
  <c r="G587" i="108"/>
  <c r="G578" i="108"/>
  <c r="G576" i="108"/>
  <c r="G574" i="108"/>
  <c r="G572" i="108"/>
  <c r="G570" i="108"/>
  <c r="G568" i="108"/>
  <c r="G566" i="108"/>
  <c r="G564" i="108"/>
  <c r="G562" i="108"/>
  <c r="G560" i="108"/>
  <c r="G558" i="108"/>
  <c r="G556" i="108"/>
  <c r="G554" i="108"/>
  <c r="G696" i="108"/>
  <c r="N696" i="108" s="1"/>
  <c r="K695" i="108"/>
  <c r="L686" i="108"/>
  <c r="L685" i="108"/>
  <c r="L683" i="108"/>
  <c r="G673" i="108"/>
  <c r="G671" i="108"/>
  <c r="G669" i="108"/>
  <c r="K668" i="108"/>
  <c r="M667" i="108"/>
  <c r="K666" i="108"/>
  <c r="M665" i="108"/>
  <c r="K664" i="108"/>
  <c r="M663" i="108"/>
  <c r="K662" i="108"/>
  <c r="M661" i="108"/>
  <c r="K660" i="108"/>
  <c r="M659" i="108"/>
  <c r="K658" i="108"/>
  <c r="M657" i="108"/>
  <c r="K656" i="108"/>
  <c r="M655" i="108"/>
  <c r="K654" i="108"/>
  <c r="M653" i="108"/>
  <c r="K652" i="108"/>
  <c r="M651" i="108"/>
  <c r="K650" i="108"/>
  <c r="M649" i="108"/>
  <c r="K648" i="108"/>
  <c r="M647" i="108"/>
  <c r="K646" i="108"/>
  <c r="M645" i="108"/>
  <c r="K644" i="108"/>
  <c r="M643" i="108"/>
  <c r="K642" i="108"/>
  <c r="M641" i="108"/>
  <c r="K640" i="108"/>
  <c r="G638" i="108"/>
  <c r="G636" i="108"/>
  <c r="G634" i="108"/>
  <c r="G632" i="108"/>
  <c r="M630" i="108"/>
  <c r="K629" i="108"/>
  <c r="G627" i="108"/>
  <c r="K626" i="108"/>
  <c r="M625" i="108"/>
  <c r="K624" i="108"/>
  <c r="M623" i="108"/>
  <c r="K622" i="108"/>
  <c r="M621" i="108"/>
  <c r="K620" i="108"/>
  <c r="M619" i="108"/>
  <c r="K618" i="108"/>
  <c r="M617" i="108"/>
  <c r="K616" i="108"/>
  <c r="M615" i="108"/>
  <c r="K614" i="108"/>
  <c r="M613" i="108"/>
  <c r="K612" i="108"/>
  <c r="M611" i="108"/>
  <c r="K610" i="108"/>
  <c r="G608" i="108"/>
  <c r="G606" i="108"/>
  <c r="G604" i="108"/>
  <c r="G602" i="108"/>
  <c r="G600" i="108"/>
  <c r="G598" i="108"/>
  <c r="G596" i="108"/>
  <c r="G594" i="108"/>
  <c r="G592" i="108"/>
  <c r="G590" i="108"/>
  <c r="M588" i="108"/>
  <c r="K587" i="108"/>
  <c r="M586" i="108"/>
  <c r="G585" i="108"/>
  <c r="G583" i="108"/>
  <c r="G581" i="108"/>
  <c r="M579" i="108"/>
  <c r="K578" i="108"/>
  <c r="M577" i="108"/>
  <c r="K576" i="108"/>
  <c r="M575" i="108"/>
  <c r="K574" i="108"/>
  <c r="M573" i="108"/>
  <c r="K572" i="108"/>
  <c r="M571" i="108"/>
  <c r="K570" i="108"/>
  <c r="M569" i="108"/>
  <c r="K568" i="108"/>
  <c r="M567" i="108"/>
  <c r="K566" i="108"/>
  <c r="M565" i="108"/>
  <c r="K564" i="108"/>
  <c r="M563" i="108"/>
  <c r="K562" i="108"/>
  <c r="M561" i="108"/>
  <c r="K560" i="108"/>
  <c r="M559" i="108"/>
  <c r="K558" i="108"/>
  <c r="M557" i="108"/>
  <c r="K556" i="108"/>
  <c r="M555" i="108"/>
  <c r="K554" i="108"/>
  <c r="M553" i="108"/>
  <c r="G552" i="108"/>
  <c r="G550" i="108"/>
  <c r="G548" i="108"/>
  <c r="G546" i="108"/>
  <c r="G544" i="108"/>
  <c r="G542" i="108"/>
  <c r="G540" i="108"/>
  <c r="G538" i="108"/>
  <c r="G536" i="108"/>
  <c r="G534" i="108"/>
  <c r="M533" i="108"/>
  <c r="G532" i="108"/>
  <c r="M531" i="108"/>
  <c r="G530" i="108"/>
  <c r="M529" i="108"/>
  <c r="G705" i="108"/>
  <c r="G701" i="108"/>
  <c r="G699" i="108"/>
  <c r="L687" i="108"/>
  <c r="G682" i="108"/>
  <c r="G675" i="108"/>
  <c r="M674" i="108"/>
  <c r="K673" i="108"/>
  <c r="M672" i="108"/>
  <c r="K671" i="108"/>
  <c r="M670" i="108"/>
  <c r="K669" i="108"/>
  <c r="G667" i="108"/>
  <c r="G665" i="108"/>
  <c r="G663" i="108"/>
  <c r="G661" i="108"/>
  <c r="G659" i="108"/>
  <c r="G657" i="108"/>
  <c r="G655" i="108"/>
  <c r="G653" i="108"/>
  <c r="G651" i="108"/>
  <c r="G649" i="108"/>
  <c r="G647" i="108"/>
  <c r="G645" i="108"/>
  <c r="G643" i="108"/>
  <c r="G641" i="108"/>
  <c r="M639" i="108"/>
  <c r="K638" i="108"/>
  <c r="M637" i="108"/>
  <c r="K636" i="108"/>
  <c r="M635" i="108"/>
  <c r="K634" i="108"/>
  <c r="M633" i="108"/>
  <c r="K632" i="108"/>
  <c r="M631" i="108"/>
  <c r="G630" i="108"/>
  <c r="M628" i="108"/>
  <c r="K627" i="108"/>
  <c r="G625" i="108"/>
  <c r="G623" i="108"/>
  <c r="G621" i="108"/>
  <c r="G619" i="108"/>
  <c r="G617" i="108"/>
  <c r="G615" i="108"/>
  <c r="G613" i="108"/>
  <c r="G611" i="108"/>
  <c r="M609" i="108"/>
  <c r="K608" i="108"/>
  <c r="M607" i="108"/>
  <c r="K606" i="108"/>
  <c r="M605" i="108"/>
  <c r="K604" i="108"/>
  <c r="M603" i="108"/>
  <c r="K602" i="108"/>
  <c r="M601" i="108"/>
  <c r="K600" i="108"/>
  <c r="M599" i="108"/>
  <c r="K598" i="108"/>
  <c r="M597" i="108"/>
  <c r="K596" i="108"/>
  <c r="M595" i="108"/>
  <c r="K594" i="108"/>
  <c r="M593" i="108"/>
  <c r="K592" i="108"/>
  <c r="M591" i="108"/>
  <c r="K590" i="108"/>
  <c r="M589" i="108"/>
  <c r="G588" i="108"/>
  <c r="G586" i="108"/>
  <c r="K585" i="108"/>
  <c r="M584" i="108"/>
  <c r="K583" i="108"/>
  <c r="M582" i="108"/>
  <c r="K581" i="108"/>
  <c r="M580" i="108"/>
  <c r="G579" i="108"/>
  <c r="G577" i="108"/>
  <c r="G575" i="108"/>
  <c r="G573" i="108"/>
  <c r="G571" i="108"/>
  <c r="G569" i="108"/>
  <c r="G567" i="108"/>
  <c r="G565" i="108"/>
  <c r="G563" i="108"/>
  <c r="G561" i="108"/>
  <c r="G559" i="108"/>
  <c r="G557" i="108"/>
  <c r="G555" i="108"/>
  <c r="G553" i="108"/>
  <c r="K552" i="108"/>
  <c r="M551" i="108"/>
  <c r="K550" i="108"/>
  <c r="M549" i="108"/>
  <c r="K548" i="108"/>
  <c r="M547" i="108"/>
  <c r="K546" i="108"/>
  <c r="M545" i="108"/>
  <c r="K544" i="108"/>
  <c r="M543" i="108"/>
  <c r="K542" i="108"/>
  <c r="M541" i="108"/>
  <c r="K540" i="108"/>
  <c r="M539" i="108"/>
  <c r="K538" i="108"/>
  <c r="M537" i="108"/>
  <c r="K536" i="108"/>
  <c r="M535" i="108"/>
  <c r="K534" i="108"/>
  <c r="K532" i="108"/>
  <c r="K530" i="108"/>
  <c r="G593" i="108"/>
  <c r="G591" i="108"/>
  <c r="G589" i="108"/>
  <c r="G584" i="108"/>
  <c r="G582" i="108"/>
  <c r="G580" i="108"/>
  <c r="G551" i="108"/>
  <c r="G549" i="108"/>
  <c r="G547" i="108"/>
  <c r="G545" i="108"/>
  <c r="G543" i="108"/>
  <c r="G541" i="108"/>
  <c r="G539" i="108"/>
  <c r="G537" i="108"/>
  <c r="G535" i="108"/>
  <c r="G690" i="108"/>
  <c r="G683" i="108"/>
  <c r="G512" i="108"/>
  <c r="M511" i="108"/>
  <c r="G511" i="108"/>
  <c r="G484" i="108"/>
  <c r="G516" i="108"/>
  <c r="G515" i="108"/>
  <c r="G504" i="108"/>
  <c r="G503" i="108"/>
  <c r="G500" i="108"/>
  <c r="G499" i="108"/>
  <c r="M487" i="108"/>
  <c r="L484" i="108"/>
  <c r="G687" i="108"/>
  <c r="G686" i="108"/>
  <c r="G685" i="108"/>
  <c r="G533" i="108"/>
  <c r="G531" i="108"/>
  <c r="G529" i="108"/>
  <c r="G527" i="108"/>
  <c r="G525" i="108"/>
  <c r="G523" i="108"/>
  <c r="G521" i="108"/>
  <c r="N521" i="108" s="1"/>
  <c r="G519" i="108"/>
  <c r="G517" i="108"/>
  <c r="L516" i="108"/>
  <c r="L515" i="108"/>
  <c r="G508" i="108"/>
  <c r="M507" i="108"/>
  <c r="G507" i="108"/>
  <c r="L504" i="108"/>
  <c r="L503" i="108"/>
  <c r="L500" i="108"/>
  <c r="L499" i="108"/>
  <c r="G496" i="108"/>
  <c r="G488" i="108"/>
  <c r="L496" i="108"/>
  <c r="G492" i="108"/>
  <c r="M467" i="108"/>
  <c r="M463" i="108"/>
  <c r="M459" i="108"/>
  <c r="M455" i="108"/>
  <c r="M451" i="108"/>
  <c r="M447" i="108"/>
  <c r="M445" i="108"/>
  <c r="G480" i="108"/>
  <c r="M477" i="108"/>
  <c r="G477" i="108"/>
  <c r="M469" i="108"/>
  <c r="M465" i="108"/>
  <c r="M461" i="108"/>
  <c r="M457" i="108"/>
  <c r="M453" i="108"/>
  <c r="M449" i="108"/>
  <c r="G443" i="108"/>
  <c r="G441" i="108"/>
  <c r="G495" i="108"/>
  <c r="G491" i="108"/>
  <c r="G487" i="108"/>
  <c r="G483" i="108"/>
  <c r="G479" i="108"/>
  <c r="L477" i="108"/>
  <c r="M473" i="108"/>
  <c r="G473" i="108"/>
  <c r="G472" i="108"/>
  <c r="G471" i="108"/>
  <c r="G445" i="108"/>
  <c r="K445" i="108"/>
  <c r="M444" i="108"/>
  <c r="K443" i="108"/>
  <c r="M442" i="108"/>
  <c r="K441" i="108"/>
  <c r="G467" i="108"/>
  <c r="G463" i="108"/>
  <c r="G459" i="108"/>
  <c r="G455" i="108"/>
  <c r="G451" i="108"/>
  <c r="G447" i="108"/>
  <c r="G444" i="108"/>
  <c r="G442" i="108"/>
  <c r="G420" i="108"/>
  <c r="G418" i="108"/>
  <c r="G416" i="108"/>
  <c r="G414" i="108"/>
  <c r="G412" i="108"/>
  <c r="G410" i="108"/>
  <c r="G408" i="108"/>
  <c r="G406" i="108"/>
  <c r="G404" i="108"/>
  <c r="G386" i="108"/>
  <c r="N386" i="108" s="1"/>
  <c r="G439" i="108"/>
  <c r="G437" i="108"/>
  <c r="G435" i="108"/>
  <c r="G433" i="108"/>
  <c r="G431" i="108"/>
  <c r="G429" i="108"/>
  <c r="G427" i="108"/>
  <c r="G425" i="108"/>
  <c r="M422" i="108"/>
  <c r="K420" i="108"/>
  <c r="M419" i="108"/>
  <c r="K418" i="108"/>
  <c r="M417" i="108"/>
  <c r="K416" i="108"/>
  <c r="M415" i="108"/>
  <c r="K414" i="108"/>
  <c r="M413" i="108"/>
  <c r="K412" i="108"/>
  <c r="M411" i="108"/>
  <c r="K410" i="108"/>
  <c r="M409" i="108"/>
  <c r="K408" i="108"/>
  <c r="M407" i="108"/>
  <c r="K406" i="108"/>
  <c r="M405" i="108"/>
  <c r="K404" i="108"/>
  <c r="G402" i="108"/>
  <c r="G400" i="108"/>
  <c r="G398" i="108"/>
  <c r="G14" i="108"/>
  <c r="G396" i="108"/>
  <c r="G422" i="108"/>
  <c r="G421" i="108"/>
  <c r="N421" i="108" s="1"/>
  <c r="G419" i="108"/>
  <c r="G417" i="108"/>
  <c r="G415" i="108"/>
  <c r="G413" i="108"/>
  <c r="G411" i="108"/>
  <c r="G409" i="108"/>
  <c r="G407" i="108"/>
  <c r="G405" i="108"/>
  <c r="R14" i="108"/>
  <c r="M14" i="108" s="1"/>
  <c r="G469" i="108"/>
  <c r="G465" i="108"/>
  <c r="G461" i="108"/>
  <c r="G457" i="108"/>
  <c r="G453" i="108"/>
  <c r="G449" i="108"/>
  <c r="G440" i="108"/>
  <c r="G438" i="108"/>
  <c r="G436" i="108"/>
  <c r="G434" i="108"/>
  <c r="N434" i="108"/>
  <c r="G432" i="108"/>
  <c r="G430" i="108"/>
  <c r="G428" i="108"/>
  <c r="G426" i="108"/>
  <c r="G424" i="108"/>
  <c r="G423" i="108"/>
  <c r="K422" i="108"/>
  <c r="M420" i="108"/>
  <c r="K419" i="108"/>
  <c r="M418" i="108"/>
  <c r="K417" i="108"/>
  <c r="M416" i="108"/>
  <c r="K415" i="108"/>
  <c r="M414" i="108"/>
  <c r="K413" i="108"/>
  <c r="M412" i="108"/>
  <c r="K411" i="108"/>
  <c r="M410" i="108"/>
  <c r="K409" i="108"/>
  <c r="M408" i="108"/>
  <c r="K407" i="108"/>
  <c r="M406" i="108"/>
  <c r="K405" i="108"/>
  <c r="M404" i="108"/>
  <c r="G403" i="108"/>
  <c r="G401" i="108"/>
  <c r="G399" i="108"/>
  <c r="G397" i="108"/>
  <c r="G394" i="108"/>
  <c r="G392" i="108"/>
  <c r="G388" i="108"/>
  <c r="G374" i="108"/>
  <c r="K374" i="108"/>
  <c r="G360" i="108"/>
  <c r="G385" i="108"/>
  <c r="G376" i="108"/>
  <c r="G373" i="108"/>
  <c r="K373" i="108"/>
  <c r="M372" i="108"/>
  <c r="M371" i="108"/>
  <c r="M370" i="108"/>
  <c r="L369" i="108"/>
  <c r="G368" i="108"/>
  <c r="N368" i="108"/>
  <c r="G364" i="108"/>
  <c r="M360" i="108"/>
  <c r="L373" i="108"/>
  <c r="G363" i="108"/>
  <c r="N363" i="108" s="1"/>
  <c r="G387" i="108"/>
  <c r="G383" i="108"/>
  <c r="G382" i="108"/>
  <c r="G378" i="108"/>
  <c r="G12" i="108"/>
  <c r="G372" i="108"/>
  <c r="K372" i="108"/>
  <c r="G371" i="108"/>
  <c r="K371" i="108"/>
  <c r="G370" i="108"/>
  <c r="K370" i="108"/>
  <c r="M366" i="108"/>
  <c r="M359" i="108"/>
  <c r="G354" i="108"/>
  <c r="G353" i="108"/>
  <c r="G348" i="108"/>
  <c r="N348" i="108" s="1"/>
  <c r="G344" i="108"/>
  <c r="G315" i="108"/>
  <c r="G10" i="108"/>
  <c r="G294" i="108"/>
  <c r="G292" i="108"/>
  <c r="G359" i="108"/>
  <c r="G351" i="108"/>
  <c r="N351" i="108" s="1"/>
  <c r="L350" i="108"/>
  <c r="G350" i="108"/>
  <c r="M349" i="108"/>
  <c r="G320" i="108"/>
  <c r="G318" i="108"/>
  <c r="M316" i="108"/>
  <c r="K315" i="108"/>
  <c r="M314" i="108"/>
  <c r="R10" i="108"/>
  <c r="M10" i="108" s="1"/>
  <c r="G312" i="108"/>
  <c r="G306" i="108"/>
  <c r="G304" i="108"/>
  <c r="G302" i="108"/>
  <c r="G300" i="108"/>
  <c r="G298" i="108"/>
  <c r="G349" i="108"/>
  <c r="G316" i="108"/>
  <c r="G314" i="108"/>
  <c r="K300" i="108"/>
  <c r="M299" i="108"/>
  <c r="K298" i="108"/>
  <c r="G296" i="108"/>
  <c r="G295" i="108"/>
  <c r="G293" i="108"/>
  <c r="G291" i="108"/>
  <c r="G369" i="108"/>
  <c r="G366" i="108"/>
  <c r="G362" i="108"/>
  <c r="G358" i="108"/>
  <c r="K349" i="108"/>
  <c r="G345" i="108"/>
  <c r="G340" i="108"/>
  <c r="G336" i="108"/>
  <c r="G332" i="108"/>
  <c r="G328" i="108"/>
  <c r="G319" i="108"/>
  <c r="G317" i="108"/>
  <c r="K316" i="108"/>
  <c r="M315" i="108"/>
  <c r="K314" i="108"/>
  <c r="G313" i="108"/>
  <c r="G311" i="108"/>
  <c r="G310" i="108"/>
  <c r="G307" i="108"/>
  <c r="G305" i="108"/>
  <c r="G303" i="108"/>
  <c r="G301" i="108"/>
  <c r="G299" i="108"/>
  <c r="G297" i="108"/>
  <c r="G258" i="108"/>
  <c r="G284" i="108"/>
  <c r="G283" i="108"/>
  <c r="G282" i="108"/>
  <c r="G281" i="108"/>
  <c r="G280" i="108"/>
  <c r="G279" i="108"/>
  <c r="G278" i="108"/>
  <c r="G277" i="108"/>
  <c r="G276" i="108"/>
  <c r="G275" i="108"/>
  <c r="N275" i="108"/>
  <c r="G271" i="108"/>
  <c r="G267" i="108"/>
  <c r="G263" i="108"/>
  <c r="G272" i="108"/>
  <c r="G268" i="108"/>
  <c r="G264" i="108"/>
  <c r="G251" i="108"/>
  <c r="G247" i="108"/>
  <c r="G262" i="108"/>
  <c r="G260" i="108"/>
  <c r="G243" i="108"/>
  <c r="K243" i="108"/>
  <c r="G208" i="108"/>
  <c r="M237" i="108"/>
  <c r="G237" i="108"/>
  <c r="G227" i="108"/>
  <c r="M217" i="108"/>
  <c r="M213" i="108"/>
  <c r="L208" i="108"/>
  <c r="G233" i="108"/>
  <c r="G226" i="108"/>
  <c r="G223" i="108"/>
  <c r="G220" i="108"/>
  <c r="G207" i="108"/>
  <c r="M241" i="108"/>
  <c r="G241" i="108"/>
  <c r="G238" i="108"/>
  <c r="G236" i="108"/>
  <c r="L233" i="108"/>
  <c r="M229" i="108"/>
  <c r="M225" i="108"/>
  <c r="M223" i="108"/>
  <c r="G219" i="108"/>
  <c r="G215" i="108"/>
  <c r="G212" i="108"/>
  <c r="G211" i="108"/>
  <c r="M207" i="108"/>
  <c r="G203" i="108"/>
  <c r="G199" i="108"/>
  <c r="G195" i="108"/>
  <c r="G191" i="108"/>
  <c r="G187" i="108"/>
  <c r="G173" i="108"/>
  <c r="G171" i="108"/>
  <c r="G169" i="108"/>
  <c r="G167" i="108"/>
  <c r="G165" i="108"/>
  <c r="G163" i="108"/>
  <c r="G160" i="108"/>
  <c r="G158" i="108"/>
  <c r="G156" i="108"/>
  <c r="G154" i="108"/>
  <c r="G152" i="108"/>
  <c r="N152" i="108" s="1"/>
  <c r="G229" i="108"/>
  <c r="G225" i="108"/>
  <c r="G221" i="108"/>
  <c r="G217" i="108"/>
  <c r="G213" i="108"/>
  <c r="G209" i="108"/>
  <c r="G205" i="108"/>
  <c r="G201" i="108"/>
  <c r="G197" i="108"/>
  <c r="G193" i="108"/>
  <c r="G189" i="108"/>
  <c r="N189" i="108" s="1"/>
  <c r="G174" i="108"/>
  <c r="G172" i="108"/>
  <c r="G170" i="108"/>
  <c r="G168" i="108"/>
  <c r="G166" i="108"/>
  <c r="G164" i="108"/>
  <c r="G161" i="108"/>
  <c r="G159" i="108"/>
  <c r="G157" i="108"/>
  <c r="G155" i="108"/>
  <c r="G204" i="108"/>
  <c r="G200" i="108"/>
  <c r="G196" i="108"/>
  <c r="G192" i="108"/>
  <c r="G188" i="108"/>
  <c r="K174" i="108"/>
  <c r="M173" i="108"/>
  <c r="K172" i="108"/>
  <c r="M171" i="108"/>
  <c r="K170" i="108"/>
  <c r="M169" i="108"/>
  <c r="K168" i="108"/>
  <c r="M167" i="108"/>
  <c r="K166" i="108"/>
  <c r="M165" i="108"/>
  <c r="K164" i="108"/>
  <c r="M163" i="108"/>
  <c r="K161" i="108"/>
  <c r="M160" i="108"/>
  <c r="K159" i="108"/>
  <c r="M158" i="108"/>
  <c r="K157" i="108"/>
  <c r="M156" i="108"/>
  <c r="K155" i="108"/>
  <c r="M154" i="108"/>
  <c r="G153" i="108"/>
  <c r="G151" i="108"/>
  <c r="G149" i="108"/>
  <c r="G147" i="108"/>
  <c r="G142" i="108"/>
  <c r="G140" i="108"/>
  <c r="G138" i="108"/>
  <c r="G150" i="108"/>
  <c r="G148" i="108"/>
  <c r="G146" i="108"/>
  <c r="G144" i="108"/>
  <c r="K142" i="108"/>
  <c r="K140" i="108"/>
  <c r="G141" i="108"/>
  <c r="G139" i="108"/>
  <c r="G137" i="108"/>
  <c r="G136" i="108"/>
  <c r="G135" i="108"/>
  <c r="G134" i="108"/>
  <c r="N134" i="108" s="1"/>
  <c r="G133" i="108"/>
  <c r="G132" i="108"/>
  <c r="G123" i="108"/>
  <c r="L120" i="108"/>
  <c r="G130" i="108"/>
  <c r="G129" i="108"/>
  <c r="G128" i="108"/>
  <c r="G127" i="108"/>
  <c r="G126" i="108"/>
  <c r="G125" i="108"/>
  <c r="G124" i="108"/>
  <c r="G119" i="108"/>
  <c r="G116" i="108"/>
  <c r="K130" i="108"/>
  <c r="K129" i="108"/>
  <c r="K128" i="108"/>
  <c r="K127" i="108"/>
  <c r="K126" i="108"/>
  <c r="K125" i="108"/>
  <c r="K124" i="108"/>
  <c r="K119" i="108"/>
  <c r="L116" i="108"/>
  <c r="G113" i="108"/>
  <c r="G120" i="108"/>
  <c r="G115" i="108"/>
  <c r="K113" i="108"/>
  <c r="G102" i="108"/>
  <c r="G106" i="108"/>
  <c r="G99" i="108"/>
  <c r="G110" i="108"/>
  <c r="K106" i="108"/>
  <c r="G105" i="108"/>
  <c r="G112" i="108"/>
  <c r="K110" i="108"/>
  <c r="G109" i="108"/>
  <c r="L107" i="108"/>
  <c r="M80" i="108"/>
  <c r="G64" i="108"/>
  <c r="G95" i="108"/>
  <c r="G91" i="108"/>
  <c r="G87" i="108"/>
  <c r="G80" i="108"/>
  <c r="G78" i="108"/>
  <c r="F5" i="114" s="1"/>
  <c r="I25" i="115" s="1"/>
  <c r="G75" i="108"/>
  <c r="N75" i="108" s="1"/>
  <c r="G74" i="108"/>
  <c r="N74" i="108" s="1"/>
  <c r="G72" i="108"/>
  <c r="G70" i="108"/>
  <c r="N70" i="108" s="1"/>
  <c r="G67" i="108"/>
  <c r="N67" i="108" s="1"/>
  <c r="G73" i="108"/>
  <c r="N73" i="108" s="1"/>
  <c r="G66" i="108"/>
  <c r="G58" i="108"/>
  <c r="N58" i="108" s="1"/>
  <c r="G54" i="108"/>
  <c r="G65" i="108"/>
  <c r="N65" i="108" s="1"/>
  <c r="G63" i="108"/>
  <c r="G61" i="108"/>
  <c r="N61" i="108" s="1"/>
  <c r="G71" i="108"/>
  <c r="N71" i="108" s="1"/>
  <c r="G59" i="108"/>
  <c r="N59" i="108" s="1"/>
  <c r="G57" i="108"/>
  <c r="G53" i="108"/>
  <c r="L31" i="108"/>
  <c r="L28" i="108"/>
  <c r="M27" i="108"/>
  <c r="L24" i="108"/>
  <c r="G56" i="108"/>
  <c r="N56" i="108" s="1"/>
  <c r="G48" i="108"/>
  <c r="G46" i="108"/>
  <c r="G44" i="108"/>
  <c r="G42" i="108"/>
  <c r="G40" i="108"/>
  <c r="N40" i="108" s="1"/>
  <c r="G38" i="108"/>
  <c r="G36" i="108"/>
  <c r="G34" i="108"/>
  <c r="G22" i="108"/>
  <c r="N22" i="108" s="1"/>
  <c r="G28" i="108"/>
  <c r="G24" i="108"/>
  <c r="G31" i="108"/>
  <c r="L27" i="108"/>
  <c r="G27" i="108"/>
  <c r="K24" i="108"/>
  <c r="L23" i="108"/>
  <c r="G23" i="108"/>
  <c r="L30" i="108"/>
  <c r="G30" i="108"/>
  <c r="L26" i="108"/>
  <c r="G26" i="108"/>
  <c r="K23" i="108"/>
  <c r="V8" i="123"/>
  <c r="BN8" i="123" s="1"/>
  <c r="G21" i="108"/>
  <c r="N21" i="108" s="1"/>
  <c r="V28" i="123"/>
  <c r="BN28" i="123" s="1"/>
  <c r="V26" i="123"/>
  <c r="BN26" i="123" s="1"/>
  <c r="V21" i="123"/>
  <c r="BN21" i="123" s="1"/>
  <c r="W20" i="123"/>
  <c r="BO20" i="123" s="1"/>
  <c r="X19" i="123"/>
  <c r="BP19" i="123" s="1"/>
  <c r="X24" i="123"/>
  <c r="BP24" i="123" s="1"/>
  <c r="X22" i="123"/>
  <c r="BP22" i="123" s="1"/>
  <c r="V20" i="123"/>
  <c r="W19" i="123"/>
  <c r="BO19" i="123" s="1"/>
  <c r="X18" i="123"/>
  <c r="BP18" i="123" s="1"/>
  <c r="X17" i="123"/>
  <c r="BP17" i="123" s="1"/>
  <c r="X16" i="123"/>
  <c r="BP16" i="123" s="1"/>
  <c r="X15" i="123"/>
  <c r="BP15" i="123" s="1"/>
  <c r="X14" i="123"/>
  <c r="BP14" i="123" s="1"/>
  <c r="X13" i="123"/>
  <c r="BP13" i="123" s="1"/>
  <c r="X12" i="123"/>
  <c r="BP12" i="123" s="1"/>
  <c r="X11" i="123"/>
  <c r="BP11" i="123" s="1"/>
  <c r="X10" i="123"/>
  <c r="BP10" i="123" s="1"/>
  <c r="X9" i="123"/>
  <c r="BP9" i="123" s="1"/>
  <c r="X8" i="123"/>
  <c r="BP8" i="123" s="1"/>
  <c r="I25" i="116"/>
  <c r="G19" i="108"/>
  <c r="N19" i="108" s="1"/>
  <c r="X28" i="123"/>
  <c r="BP28" i="123" s="1"/>
  <c r="X26" i="123"/>
  <c r="BP26" i="123" s="1"/>
  <c r="W24" i="123"/>
  <c r="BO24" i="123" s="1"/>
  <c r="W22" i="123"/>
  <c r="BO22" i="123" s="1"/>
  <c r="X21" i="123"/>
  <c r="BP21" i="123" s="1"/>
  <c r="V19" i="123"/>
  <c r="BN19" i="123" s="1"/>
  <c r="W18" i="123"/>
  <c r="BO18" i="123" s="1"/>
  <c r="W17" i="123"/>
  <c r="BO17" i="123" s="1"/>
  <c r="W16" i="123"/>
  <c r="BO16" i="123" s="1"/>
  <c r="W15" i="123"/>
  <c r="BO15" i="123" s="1"/>
  <c r="W14" i="123"/>
  <c r="BO14" i="123" s="1"/>
  <c r="W13" i="123"/>
  <c r="BO13" i="123" s="1"/>
  <c r="W12" i="123"/>
  <c r="BO12" i="123" s="1"/>
  <c r="W11" i="123"/>
  <c r="BO11" i="123" s="1"/>
  <c r="W10" i="123"/>
  <c r="BO10" i="123" s="1"/>
  <c r="W9" i="123"/>
  <c r="BO9" i="123" s="1"/>
  <c r="W8" i="123"/>
  <c r="BO8" i="123" s="1"/>
  <c r="R16" i="108"/>
  <c r="W28" i="123"/>
  <c r="BO28" i="123" s="1"/>
  <c r="W26" i="123"/>
  <c r="BO26" i="123" s="1"/>
  <c r="V24" i="123"/>
  <c r="BN24" i="123" s="1"/>
  <c r="V22" i="123"/>
  <c r="BN22" i="123" s="1"/>
  <c r="W21" i="123"/>
  <c r="BO21" i="123" s="1"/>
  <c r="X20" i="123"/>
  <c r="BP20" i="123" s="1"/>
  <c r="V18" i="123"/>
  <c r="BN18" i="123" s="1"/>
  <c r="V17" i="123"/>
  <c r="BN17" i="123" s="1"/>
  <c r="V16" i="123"/>
  <c r="BN16" i="123" s="1"/>
  <c r="V15" i="123"/>
  <c r="V14" i="123"/>
  <c r="BN14" i="123" s="1"/>
  <c r="V13" i="123"/>
  <c r="V12" i="123"/>
  <c r="BN12" i="123" s="1"/>
  <c r="V11" i="123"/>
  <c r="BN11" i="123" s="1"/>
  <c r="V10" i="123"/>
  <c r="BN10" i="123" s="1"/>
  <c r="V9" i="123"/>
  <c r="AC84" i="116"/>
  <c r="AA82" i="116"/>
  <c r="AB81" i="116"/>
  <c r="AC80" i="116"/>
  <c r="AB73" i="116"/>
  <c r="AB71" i="116"/>
  <c r="AC69" i="116"/>
  <c r="AC68" i="116"/>
  <c r="AC67" i="116"/>
  <c r="AB64" i="116"/>
  <c r="AA61" i="116"/>
  <c r="AB60" i="116"/>
  <c r="I53" i="116"/>
  <c r="AA84" i="116"/>
  <c r="AB83" i="116"/>
  <c r="AC82" i="116"/>
  <c r="AB79" i="116"/>
  <c r="AC78" i="116"/>
  <c r="AA76" i="116"/>
  <c r="AB75" i="116"/>
  <c r="AC74" i="116"/>
  <c r="AB66" i="116"/>
  <c r="AC65" i="116"/>
  <c r="I55" i="116"/>
  <c r="I54" i="116"/>
  <c r="I52" i="116"/>
  <c r="AC60" i="116"/>
  <c r="AC54" i="116"/>
  <c r="AB58" i="116"/>
  <c r="AC57" i="116"/>
  <c r="AA55" i="116"/>
  <c r="AC53" i="116"/>
  <c r="AB51" i="116"/>
  <c r="AC50" i="116"/>
  <c r="AA48" i="116"/>
  <c r="AB47" i="116"/>
  <c r="AA45" i="116"/>
  <c r="AB44" i="116"/>
  <c r="AC43" i="116"/>
  <c r="AC41" i="116"/>
  <c r="AB39" i="116"/>
  <c r="AA37" i="116"/>
  <c r="AB36" i="116"/>
  <c r="S34" i="116"/>
  <c r="M399" i="110" s="1"/>
  <c r="AB32" i="116"/>
  <c r="AA29" i="116"/>
  <c r="AC27" i="116"/>
  <c r="R27" i="116"/>
  <c r="L392" i="110" s="1"/>
  <c r="AC22" i="116"/>
  <c r="AA20" i="116"/>
  <c r="AB19" i="116"/>
  <c r="AC18" i="116"/>
  <c r="AC15" i="116"/>
  <c r="AA13" i="116"/>
  <c r="AC12" i="116"/>
  <c r="AB6" i="116"/>
  <c r="AB5" i="116"/>
  <c r="AB59" i="116"/>
  <c r="AA57" i="116"/>
  <c r="AA50" i="116"/>
  <c r="AB49" i="116"/>
  <c r="AC45" i="116"/>
  <c r="AA35" i="116"/>
  <c r="AB34" i="116"/>
  <c r="AA31" i="116"/>
  <c r="AB30" i="116"/>
  <c r="AA27" i="116"/>
  <c r="AB26" i="116"/>
  <c r="S25" i="116"/>
  <c r="M390" i="110" s="1"/>
  <c r="AA24" i="116"/>
  <c r="AB14" i="116"/>
  <c r="N217" i="110"/>
  <c r="N214" i="110"/>
  <c r="N212" i="110"/>
  <c r="N220" i="110"/>
  <c r="N216" i="110"/>
  <c r="N243" i="110"/>
  <c r="N170" i="110"/>
  <c r="N128" i="110"/>
  <c r="N113" i="110"/>
  <c r="N182" i="110"/>
  <c r="N174" i="110"/>
  <c r="N172" i="110"/>
  <c r="N108" i="110"/>
  <c r="N161" i="110"/>
  <c r="N153" i="110"/>
  <c r="N121" i="110"/>
  <c r="N112" i="110"/>
  <c r="N53" i="110"/>
  <c r="N90" i="110"/>
  <c r="N86" i="110"/>
  <c r="N287" i="110"/>
  <c r="N256" i="110"/>
  <c r="N245" i="110"/>
  <c r="N240" i="110"/>
  <c r="N215" i="110"/>
  <c r="N202" i="110"/>
  <c r="N285" i="110"/>
  <c r="N248" i="110"/>
  <c r="N219" i="110"/>
  <c r="N210" i="110"/>
  <c r="N200" i="110"/>
  <c r="F475" i="110"/>
  <c r="C13" i="109" s="1"/>
  <c r="H13" i="109" s="1"/>
  <c r="N276" i="110"/>
  <c r="N267" i="110"/>
  <c r="N241" i="110"/>
  <c r="N186" i="110"/>
  <c r="N185" i="110"/>
  <c r="N179" i="110"/>
  <c r="N164" i="110"/>
  <c r="N163" i="110"/>
  <c r="N162" i="110"/>
  <c r="N159" i="110"/>
  <c r="N141" i="110"/>
  <c r="N160" i="110"/>
  <c r="N143" i="110"/>
  <c r="N115" i="110"/>
  <c r="N22" i="110"/>
  <c r="N184" i="110"/>
  <c r="N150" i="110"/>
  <c r="N145" i="110"/>
  <c r="N135" i="110"/>
  <c r="N134" i="110"/>
  <c r="N127" i="110"/>
  <c r="N117" i="110"/>
  <c r="N111" i="110"/>
  <c r="N105" i="110"/>
  <c r="N106" i="110"/>
  <c r="N99" i="110"/>
  <c r="N97" i="110"/>
  <c r="N15" i="110"/>
  <c r="N91" i="110"/>
  <c r="N89" i="110"/>
  <c r="N88" i="110"/>
  <c r="N84" i="110"/>
  <c r="N75" i="110"/>
  <c r="N73" i="110"/>
  <c r="N231" i="110"/>
  <c r="D475" i="110"/>
  <c r="C9" i="109" s="1"/>
  <c r="G9" i="109" s="1"/>
  <c r="N288" i="110"/>
  <c r="N278" i="110"/>
  <c r="N268" i="110"/>
  <c r="N262" i="110"/>
  <c r="N251" i="110"/>
  <c r="N230" i="110"/>
  <c r="G366" i="110"/>
  <c r="N366" i="110" s="1"/>
  <c r="N33" i="110"/>
  <c r="N280" i="110"/>
  <c r="N269" i="110"/>
  <c r="N260" i="110"/>
  <c r="N252" i="110"/>
  <c r="N250" i="110"/>
  <c r="N249" i="110"/>
  <c r="N232" i="110"/>
  <c r="G474" i="110"/>
  <c r="G481" i="110" s="1"/>
  <c r="N282" i="110"/>
  <c r="N272" i="110"/>
  <c r="N270" i="110"/>
  <c r="N266" i="110"/>
  <c r="N258" i="110"/>
  <c r="N254" i="110"/>
  <c r="N208" i="110"/>
  <c r="N194" i="110"/>
  <c r="N188" i="110"/>
  <c r="N213" i="110"/>
  <c r="N206" i="110"/>
  <c r="N198" i="110"/>
  <c r="N196" i="110"/>
  <c r="N192" i="110"/>
  <c r="N180" i="110"/>
  <c r="N176" i="110"/>
  <c r="N227" i="110"/>
  <c r="N226" i="110"/>
  <c r="N223" i="110"/>
  <c r="N204" i="110"/>
  <c r="N181" i="110"/>
  <c r="N177" i="110"/>
  <c r="N157" i="110"/>
  <c r="N155" i="110"/>
  <c r="N151" i="110"/>
  <c r="N149" i="110"/>
  <c r="N138" i="110"/>
  <c r="N132" i="110"/>
  <c r="N130" i="110"/>
  <c r="N123" i="110"/>
  <c r="N116" i="110"/>
  <c r="N110" i="110"/>
  <c r="N109" i="110"/>
  <c r="N107" i="110"/>
  <c r="N28" i="110"/>
  <c r="N122" i="110"/>
  <c r="N357" i="110"/>
  <c r="N173" i="110"/>
  <c r="N152" i="110"/>
  <c r="N146" i="110"/>
  <c r="N144" i="110"/>
  <c r="N142" i="110"/>
  <c r="N140" i="110"/>
  <c r="N131" i="110"/>
  <c r="N129" i="110"/>
  <c r="N104" i="110"/>
  <c r="N187" i="110"/>
  <c r="N183" i="110"/>
  <c r="N178" i="110"/>
  <c r="N175" i="110"/>
  <c r="N171" i="110"/>
  <c r="N169" i="110"/>
  <c r="N158" i="110"/>
  <c r="N156" i="110"/>
  <c r="N154" i="110"/>
  <c r="N133" i="110"/>
  <c r="N124" i="110"/>
  <c r="N101" i="110"/>
  <c r="N100" i="110"/>
  <c r="N98" i="110"/>
  <c r="N25" i="110"/>
  <c r="N23" i="110"/>
  <c r="N344" i="110"/>
  <c r="N94" i="110"/>
  <c r="N11" i="110"/>
  <c r="N85" i="110"/>
  <c r="N13" i="110"/>
  <c r="N319" i="110"/>
  <c r="N87" i="110"/>
  <c r="N12" i="110"/>
  <c r="N81" i="110"/>
  <c r="N79" i="110"/>
  <c r="N77" i="110"/>
  <c r="N63" i="110"/>
  <c r="N61" i="110"/>
  <c r="N71" i="110"/>
  <c r="N68" i="110"/>
  <c r="N58" i="110"/>
  <c r="N41" i="110"/>
  <c r="N59" i="110"/>
  <c r="G364" i="110"/>
  <c r="N364" i="110" s="1"/>
  <c r="N246" i="110"/>
  <c r="N244" i="110"/>
  <c r="N242" i="110"/>
  <c r="N235" i="110"/>
  <c r="N233" i="110"/>
  <c r="N228" i="110"/>
  <c r="N224" i="110"/>
  <c r="N222" i="110"/>
  <c r="E475" i="110"/>
  <c r="C12" i="109" s="1"/>
  <c r="G369" i="110"/>
  <c r="N369" i="110" s="1"/>
  <c r="N367" i="110"/>
  <c r="G365" i="110"/>
  <c r="N365" i="110" s="1"/>
  <c r="N74" i="110"/>
  <c r="N290" i="110"/>
  <c r="N35" i="110"/>
  <c r="N34" i="110"/>
  <c r="N32" i="110"/>
  <c r="N286" i="110"/>
  <c r="N281" i="110"/>
  <c r="N279" i="110"/>
  <c r="N277" i="110"/>
  <c r="N275" i="110"/>
  <c r="N273" i="110"/>
  <c r="N271" i="110"/>
  <c r="N265" i="110"/>
  <c r="N264" i="110"/>
  <c r="N263" i="110"/>
  <c r="N261" i="110"/>
  <c r="N259" i="110"/>
  <c r="N257" i="110"/>
  <c r="N255" i="110"/>
  <c r="N253" i="110"/>
  <c r="N207" i="110"/>
  <c r="N284" i="110"/>
  <c r="N239" i="110"/>
  <c r="N238" i="110"/>
  <c r="N236" i="110"/>
  <c r="N234" i="110"/>
  <c r="N211" i="110"/>
  <c r="N205" i="110"/>
  <c r="N201" i="110"/>
  <c r="N199" i="110"/>
  <c r="N197" i="110"/>
  <c r="N195" i="110"/>
  <c r="N193" i="110"/>
  <c r="N191" i="110"/>
  <c r="N189" i="110"/>
  <c r="N167" i="110"/>
  <c r="N165" i="110"/>
  <c r="N102" i="110"/>
  <c r="N147" i="110"/>
  <c r="N137" i="110"/>
  <c r="N358" i="110"/>
  <c r="N30" i="110"/>
  <c r="N120" i="110"/>
  <c r="N118" i="110"/>
  <c r="N103" i="110"/>
  <c r="N31" i="110"/>
  <c r="N20" i="110"/>
  <c r="N21" i="110"/>
  <c r="N29" i="110"/>
  <c r="N27" i="110"/>
  <c r="N24" i="110"/>
  <c r="N95" i="110"/>
  <c r="N17" i="110"/>
  <c r="N337" i="110"/>
  <c r="N93" i="110"/>
  <c r="N19" i="110"/>
  <c r="N18" i="110"/>
  <c r="N324" i="110"/>
  <c r="N82" i="110"/>
  <c r="N80" i="110"/>
  <c r="N78" i="110"/>
  <c r="N66" i="110"/>
  <c r="N57" i="110"/>
  <c r="N67" i="110"/>
  <c r="N65" i="110"/>
  <c r="N64" i="110"/>
  <c r="N62" i="110"/>
  <c r="N60" i="110"/>
  <c r="N56" i="110"/>
  <c r="N72" i="110"/>
  <c r="N70" i="110"/>
  <c r="N52" i="110"/>
  <c r="N51" i="110"/>
  <c r="N45" i="110"/>
  <c r="N49" i="110"/>
  <c r="N50" i="110"/>
  <c r="N44" i="110"/>
  <c r="N47" i="110"/>
  <c r="N37" i="110"/>
  <c r="N36" i="110"/>
  <c r="N10" i="110"/>
  <c r="N46" i="110"/>
  <c r="N40" i="110"/>
  <c r="N48" i="110"/>
  <c r="N38" i="110"/>
  <c r="N461" i="108"/>
  <c r="N442" i="108"/>
  <c r="N582" i="108"/>
  <c r="N591" i="108"/>
  <c r="N793" i="108"/>
  <c r="N28" i="108"/>
  <c r="N537" i="108"/>
  <c r="N765" i="108"/>
  <c r="N772" i="108"/>
  <c r="N90" i="108"/>
  <c r="N331" i="108"/>
  <c r="N697" i="108"/>
  <c r="N288" i="108"/>
  <c r="N449" i="108"/>
  <c r="N465" i="108"/>
  <c r="N459" i="108"/>
  <c r="N290" i="108"/>
  <c r="N182" i="108"/>
  <c r="N335" i="108"/>
  <c r="N857" i="108"/>
  <c r="N366" i="108"/>
  <c r="N254" i="108"/>
  <c r="N805" i="108"/>
  <c r="N691" i="108"/>
  <c r="N742" i="108"/>
  <c r="N233" i="108"/>
  <c r="N507" i="108"/>
  <c r="N589" i="108"/>
  <c r="N285" i="108"/>
  <c r="N243" i="108"/>
  <c r="N316" i="108"/>
  <c r="N370" i="108"/>
  <c r="N374" i="108"/>
  <c r="N540" i="108"/>
  <c r="N548" i="108"/>
  <c r="N581" i="108"/>
  <c r="N585" i="108"/>
  <c r="N594" i="108"/>
  <c r="N602" i="108"/>
  <c r="N612" i="108"/>
  <c r="N646" i="108"/>
  <c r="N654" i="108"/>
  <c r="N662" i="108"/>
  <c r="N695" i="108"/>
  <c r="N758" i="108"/>
  <c r="N795" i="108"/>
  <c r="N799" i="108"/>
  <c r="N792" i="108"/>
  <c r="N822" i="108"/>
  <c r="N838" i="108"/>
  <c r="N231" i="108"/>
  <c r="N728" i="108"/>
  <c r="N524" i="108"/>
  <c r="N122" i="108"/>
  <c r="N222" i="108"/>
  <c r="N185" i="108"/>
  <c r="N250" i="108"/>
  <c r="N707" i="108"/>
  <c r="N30" i="108"/>
  <c r="N27" i="108"/>
  <c r="N106" i="108"/>
  <c r="N124" i="108"/>
  <c r="N126" i="108"/>
  <c r="N128" i="108"/>
  <c r="N130" i="108"/>
  <c r="N157" i="108"/>
  <c r="N161" i="108"/>
  <c r="N213" i="108"/>
  <c r="N229" i="108"/>
  <c r="N158" i="108"/>
  <c r="N167" i="108"/>
  <c r="N298" i="108"/>
  <c r="N350" i="108"/>
  <c r="N411" i="108"/>
  <c r="N447" i="108"/>
  <c r="N463" i="108"/>
  <c r="N467" i="108"/>
  <c r="N487" i="108"/>
  <c r="N503" i="108"/>
  <c r="N539" i="108"/>
  <c r="N545" i="108"/>
  <c r="N549" i="108"/>
  <c r="N711" i="108"/>
  <c r="N177" i="108"/>
  <c r="N367" i="108"/>
  <c r="N460" i="108"/>
  <c r="N627" i="108"/>
  <c r="N636" i="108"/>
  <c r="N642" i="108"/>
  <c r="N650" i="108"/>
  <c r="N713" i="108"/>
  <c r="N688" i="108"/>
  <c r="N718" i="108"/>
  <c r="N522" i="108"/>
  <c r="N743" i="108"/>
  <c r="N712" i="108"/>
  <c r="N700" i="108"/>
  <c r="N163" i="108"/>
  <c r="N171" i="108"/>
  <c r="N349" i="108"/>
  <c r="N413" i="108"/>
  <c r="N419" i="108"/>
  <c r="N473" i="108"/>
  <c r="N511" i="108"/>
  <c r="N778" i="108"/>
  <c r="N800" i="108"/>
  <c r="N803" i="108"/>
  <c r="N113" i="108"/>
  <c r="N159" i="108"/>
  <c r="N174" i="108"/>
  <c r="N225" i="108"/>
  <c r="N156" i="108"/>
  <c r="N165" i="108"/>
  <c r="N173" i="108"/>
  <c r="N223" i="108"/>
  <c r="N237" i="108"/>
  <c r="N314" i="108"/>
  <c r="N300" i="108"/>
  <c r="N359" i="108"/>
  <c r="N372" i="108"/>
  <c r="N360" i="108"/>
  <c r="N405" i="108"/>
  <c r="N417" i="108"/>
  <c r="N422" i="108"/>
  <c r="N404" i="108"/>
  <c r="N408" i="108"/>
  <c r="N412" i="108"/>
  <c r="N416" i="108"/>
  <c r="N445" i="108"/>
  <c r="N443" i="108"/>
  <c r="N496" i="108"/>
  <c r="N516" i="108"/>
  <c r="N484" i="108"/>
  <c r="N543" i="108"/>
  <c r="N643" i="108"/>
  <c r="N647" i="108"/>
  <c r="N651" i="108"/>
  <c r="N653" i="108"/>
  <c r="N657" i="108"/>
  <c r="N661" i="108"/>
  <c r="N665" i="108"/>
  <c r="N542" i="108"/>
  <c r="N596" i="108"/>
  <c r="N604" i="108"/>
  <c r="N638" i="108"/>
  <c r="N554" i="108"/>
  <c r="N556" i="108"/>
  <c r="N558" i="108"/>
  <c r="N560" i="108"/>
  <c r="N562" i="108"/>
  <c r="N564" i="108"/>
  <c r="N566" i="108"/>
  <c r="N568" i="108"/>
  <c r="N570" i="108"/>
  <c r="N572" i="108"/>
  <c r="N574" i="108"/>
  <c r="N576" i="108"/>
  <c r="N578" i="108"/>
  <c r="N610" i="108"/>
  <c r="N622" i="108"/>
  <c r="N644" i="108"/>
  <c r="N652" i="108"/>
  <c r="N656" i="108"/>
  <c r="N660" i="108"/>
  <c r="N668" i="108"/>
  <c r="N595" i="108"/>
  <c r="N674" i="108"/>
  <c r="N605" i="108"/>
  <c r="N609" i="108"/>
  <c r="N639" i="108"/>
  <c r="N706" i="108"/>
  <c r="N777" i="108"/>
  <c r="N781" i="108"/>
  <c r="N801" i="108"/>
  <c r="N754" i="108"/>
  <c r="N761" i="108"/>
  <c r="N766" i="108"/>
  <c r="N796" i="108"/>
  <c r="N849" i="108"/>
  <c r="N768" i="108"/>
  <c r="N774" i="108"/>
  <c r="N780" i="108"/>
  <c r="N29" i="108"/>
  <c r="N98" i="108"/>
  <c r="N43" i="108"/>
  <c r="N85" i="108"/>
  <c r="N81" i="108"/>
  <c r="N111" i="108"/>
  <c r="N265" i="108"/>
  <c r="N248" i="108"/>
  <c r="N179" i="108"/>
  <c r="N323" i="108"/>
  <c r="N493" i="108"/>
  <c r="N844" i="108"/>
  <c r="N719" i="108"/>
  <c r="N818" i="108"/>
  <c r="N841" i="108"/>
  <c r="N756" i="108"/>
  <c r="N807" i="108"/>
  <c r="N230" i="108"/>
  <c r="N239" i="108"/>
  <c r="N249" i="108"/>
  <c r="N708" i="108"/>
  <c r="N716" i="108"/>
  <c r="N833" i="108"/>
  <c r="N810" i="108"/>
  <c r="N84" i="108"/>
  <c r="N23" i="108"/>
  <c r="N31" i="108"/>
  <c r="N80" i="108"/>
  <c r="N110" i="108"/>
  <c r="N125" i="108"/>
  <c r="N127" i="108"/>
  <c r="N129" i="108"/>
  <c r="N142" i="108"/>
  <c r="N164" i="108"/>
  <c r="N168" i="108"/>
  <c r="N154" i="108"/>
  <c r="N207" i="108"/>
  <c r="N369" i="108"/>
  <c r="N315" i="108"/>
  <c r="N371" i="108"/>
  <c r="N373" i="108"/>
  <c r="N407" i="108"/>
  <c r="N444" i="108"/>
  <c r="N455" i="108"/>
  <c r="N441" i="108"/>
  <c r="N500" i="108"/>
  <c r="N504" i="108"/>
  <c r="N547" i="108"/>
  <c r="N584" i="108"/>
  <c r="N615" i="108"/>
  <c r="N623" i="108"/>
  <c r="N544" i="108"/>
  <c r="N552" i="108"/>
  <c r="N583" i="108"/>
  <c r="N590" i="108"/>
  <c r="N598" i="108"/>
  <c r="N606" i="108"/>
  <c r="N632" i="108"/>
  <c r="N669" i="108"/>
  <c r="N673" i="108"/>
  <c r="N587" i="108"/>
  <c r="N620" i="108"/>
  <c r="N626" i="108"/>
  <c r="N629" i="108"/>
  <c r="N666" i="108"/>
  <c r="N607" i="108"/>
  <c r="N670" i="108"/>
  <c r="N601" i="108"/>
  <c r="N635" i="108"/>
  <c r="N672" i="108"/>
  <c r="N710" i="108"/>
  <c r="N714" i="108"/>
  <c r="N762" i="108"/>
  <c r="N744" i="108"/>
  <c r="N752" i="108"/>
  <c r="N763" i="108"/>
  <c r="N816" i="108"/>
  <c r="N832" i="108"/>
  <c r="N751" i="108"/>
  <c r="N770" i="108"/>
  <c r="N776" i="108"/>
  <c r="N786" i="108"/>
  <c r="N92" i="108"/>
  <c r="N175" i="108"/>
  <c r="N232" i="108"/>
  <c r="N257" i="108"/>
  <c r="N273" i="108"/>
  <c r="N274" i="108"/>
  <c r="N329" i="108"/>
  <c r="N337" i="108"/>
  <c r="N321" i="108"/>
  <c r="N325" i="108"/>
  <c r="N377" i="108"/>
  <c r="N478" i="108"/>
  <c r="N520" i="108"/>
  <c r="N489" i="108"/>
  <c r="N722" i="108"/>
  <c r="N814" i="108"/>
  <c r="N824" i="108"/>
  <c r="N830" i="108"/>
  <c r="N840" i="108"/>
  <c r="N692" i="108"/>
  <c r="N723" i="108"/>
  <c r="N825" i="108"/>
  <c r="N845" i="108"/>
  <c r="N732" i="108"/>
  <c r="N746" i="108"/>
  <c r="N114" i="108"/>
  <c r="N108" i="108"/>
  <c r="N244" i="108"/>
  <c r="N190" i="108"/>
  <c r="N255" i="108"/>
  <c r="N289" i="108"/>
  <c r="N252" i="108"/>
  <c r="N270" i="108"/>
  <c r="N355" i="108"/>
  <c r="N338" i="108"/>
  <c r="N342" i="108"/>
  <c r="N462" i="108"/>
  <c r="N458" i="108"/>
  <c r="N839" i="108"/>
  <c r="N848" i="108"/>
  <c r="N330" i="108"/>
  <c r="N322" i="108"/>
  <c r="N333" i="108"/>
  <c r="N452" i="108"/>
  <c r="N448" i="108"/>
  <c r="N26" i="108"/>
  <c r="N24" i="108"/>
  <c r="N116" i="108"/>
  <c r="N155" i="108"/>
  <c r="N166" i="108"/>
  <c r="N170" i="108"/>
  <c r="N217" i="108"/>
  <c r="N160" i="108"/>
  <c r="N169" i="108"/>
  <c r="N241" i="108"/>
  <c r="N208" i="108"/>
  <c r="N409" i="108"/>
  <c r="N415" i="108"/>
  <c r="N406" i="108"/>
  <c r="N410" i="108"/>
  <c r="N414" i="108"/>
  <c r="N420" i="108"/>
  <c r="N477" i="108"/>
  <c r="N683" i="108"/>
  <c r="N535" i="108"/>
  <c r="N541" i="108"/>
  <c r="N530" i="108"/>
  <c r="N532" i="108"/>
  <c r="N534" i="108"/>
  <c r="N538" i="108"/>
  <c r="N546" i="108"/>
  <c r="N550" i="108"/>
  <c r="N592" i="108"/>
  <c r="N600" i="108"/>
  <c r="N608" i="108"/>
  <c r="N634" i="108"/>
  <c r="N614" i="108"/>
  <c r="N618" i="108"/>
  <c r="N624" i="108"/>
  <c r="N640" i="108"/>
  <c r="N648" i="108"/>
  <c r="N664" i="108"/>
  <c r="N603" i="108"/>
  <c r="N633" i="108"/>
  <c r="N637" i="108"/>
  <c r="N597" i="108"/>
  <c r="N631" i="108"/>
  <c r="N694" i="108"/>
  <c r="N698" i="108"/>
  <c r="N775" i="108"/>
  <c r="N779" i="108"/>
  <c r="N759" i="108"/>
  <c r="N794" i="108"/>
  <c r="N798" i="108"/>
  <c r="N749" i="108"/>
  <c r="N782" i="108"/>
  <c r="N788" i="108"/>
  <c r="N791" i="108"/>
  <c r="N16" i="108"/>
  <c r="N18" i="108"/>
  <c r="N82" i="108"/>
  <c r="N94" i="108"/>
  <c r="N145" i="108"/>
  <c r="N184" i="108"/>
  <c r="N176" i="108"/>
  <c r="N180" i="108"/>
  <c r="N266" i="108"/>
  <c r="N327" i="108"/>
  <c r="N726" i="108"/>
  <c r="N734" i="108"/>
  <c r="N738" i="108"/>
  <c r="N854" i="108"/>
  <c r="N831" i="108"/>
  <c r="N855" i="108"/>
  <c r="N676" i="108"/>
  <c r="N101" i="108"/>
  <c r="N242" i="108"/>
  <c r="N450" i="108"/>
  <c r="N17" i="108"/>
  <c r="N118" i="108"/>
  <c r="N393" i="108"/>
  <c r="N326" i="108"/>
  <c r="N119" i="108"/>
  <c r="N140" i="108"/>
  <c r="N172" i="108"/>
  <c r="N418" i="108"/>
  <c r="N499" i="108"/>
  <c r="N536" i="108"/>
  <c r="N671" i="108"/>
  <c r="N616" i="108"/>
  <c r="N658" i="108"/>
  <c r="N599" i="108"/>
  <c r="N628" i="108"/>
  <c r="N709" i="108"/>
  <c r="N784" i="108"/>
  <c r="N287" i="108"/>
  <c r="N736" i="108"/>
  <c r="N834" i="108"/>
  <c r="N812" i="108"/>
  <c r="N678" i="108"/>
  <c r="N755" i="108"/>
  <c r="N860" i="108"/>
  <c r="N107" i="108"/>
  <c r="N224" i="108"/>
  <c r="N261" i="108"/>
  <c r="N391" i="108"/>
  <c r="N54" i="110"/>
  <c r="N126" i="110"/>
  <c r="N190" i="110"/>
  <c r="N139" i="110"/>
  <c r="N229" i="110"/>
  <c r="N218" i="110"/>
  <c r="N209" i="110"/>
  <c r="N43" i="110"/>
  <c r="N166" i="110"/>
  <c r="N119" i="110"/>
  <c r="N577" i="108"/>
  <c r="N299" i="108"/>
  <c r="N593" i="108"/>
  <c r="N613" i="108"/>
  <c r="N621" i="108"/>
  <c r="N120" i="108"/>
  <c r="N617" i="108"/>
  <c r="N625" i="108"/>
  <c r="N630" i="108"/>
  <c r="N760" i="108"/>
  <c r="N457" i="108"/>
  <c r="N687" i="108"/>
  <c r="N690" i="108"/>
  <c r="N575" i="108"/>
  <c r="N586" i="108"/>
  <c r="N645" i="108"/>
  <c r="N705" i="108"/>
  <c r="N343" i="108"/>
  <c r="N685" i="108"/>
  <c r="N579" i="108"/>
  <c r="N641" i="108"/>
  <c r="N649" i="108"/>
  <c r="N748" i="108"/>
  <c r="N724" i="108"/>
  <c r="N667" i="108"/>
  <c r="N693" i="108"/>
  <c r="N553" i="108"/>
  <c r="N555" i="108"/>
  <c r="N557" i="108"/>
  <c r="N559" i="108"/>
  <c r="N561" i="108"/>
  <c r="N563" i="108"/>
  <c r="N565" i="108"/>
  <c r="N569" i="108"/>
  <c r="N571" i="108"/>
  <c r="N703" i="108"/>
  <c r="N764" i="108"/>
  <c r="N802" i="108"/>
  <c r="N26" i="110"/>
  <c r="I390" i="110"/>
  <c r="R77" i="116"/>
  <c r="L441" i="110" s="1"/>
  <c r="I441" i="110"/>
  <c r="O64" i="116"/>
  <c r="R64" i="116" s="1"/>
  <c r="L429" i="110" s="1"/>
  <c r="O60" i="116"/>
  <c r="I425" i="110" s="1"/>
  <c r="P66" i="116"/>
  <c r="J431" i="110" s="1"/>
  <c r="AX49" i="116"/>
  <c r="AX40" i="116"/>
  <c r="AW39" i="116"/>
  <c r="AA38" i="116"/>
  <c r="AW35" i="116"/>
  <c r="AW33" i="116"/>
  <c r="AY24" i="116"/>
  <c r="AX72" i="116"/>
  <c r="AX65" i="116"/>
  <c r="O65" i="116"/>
  <c r="I430" i="110" s="1"/>
  <c r="AX61" i="116"/>
  <c r="O61" i="116"/>
  <c r="I426" i="110" s="1"/>
  <c r="AX55" i="116"/>
  <c r="P48" i="116"/>
  <c r="AX47" i="116"/>
  <c r="AA8" i="116"/>
  <c r="O82" i="116"/>
  <c r="N71" i="116"/>
  <c r="AX54" i="116"/>
  <c r="AX45" i="116"/>
  <c r="O42" i="116"/>
  <c r="R42" i="116" s="1"/>
  <c r="L407" i="110" s="1"/>
  <c r="AX39" i="116"/>
  <c r="AW38" i="116"/>
  <c r="AX37" i="116"/>
  <c r="AW36" i="116"/>
  <c r="AW34" i="116"/>
  <c r="N30" i="116"/>
  <c r="H395" i="110" s="1"/>
  <c r="AY28" i="116"/>
  <c r="AX27" i="116"/>
  <c r="AX26" i="116"/>
  <c r="I49" i="116"/>
  <c r="AA39" i="116"/>
  <c r="O81" i="116"/>
  <c r="I445" i="110" s="1"/>
  <c r="R79" i="116"/>
  <c r="L443" i="110" s="1"/>
  <c r="R68" i="116"/>
  <c r="L433" i="110" s="1"/>
  <c r="N57" i="116"/>
  <c r="H422" i="110" s="1"/>
  <c r="P52" i="116"/>
  <c r="R46" i="116"/>
  <c r="L411" i="110" s="1"/>
  <c r="N44" i="116"/>
  <c r="H409" i="110" s="1"/>
  <c r="AW43" i="116"/>
  <c r="AW42" i="116"/>
  <c r="O35" i="116"/>
  <c r="N34" i="116"/>
  <c r="H399" i="110" s="1"/>
  <c r="P32" i="116"/>
  <c r="J397" i="110" s="1"/>
  <c r="AW30" i="116"/>
  <c r="AY29" i="116"/>
  <c r="AY27" i="116"/>
  <c r="AY25" i="116"/>
  <c r="O24" i="116"/>
  <c r="I389" i="110" s="1"/>
  <c r="O23" i="116"/>
  <c r="O22" i="116"/>
  <c r="R22" i="116" s="1"/>
  <c r="L387" i="110" s="1"/>
  <c r="O21" i="116"/>
  <c r="I386" i="110" s="1"/>
  <c r="O20" i="116"/>
  <c r="I385" i="110" s="1"/>
  <c r="O19" i="116"/>
  <c r="I384" i="110" s="1"/>
  <c r="O18" i="116"/>
  <c r="R18" i="116" s="1"/>
  <c r="L383" i="110" s="1"/>
  <c r="O17" i="116"/>
  <c r="I382" i="110" s="1"/>
  <c r="O16" i="116"/>
  <c r="R16" i="116" s="1"/>
  <c r="L381" i="110" s="1"/>
  <c r="O15" i="116"/>
  <c r="I380" i="110" s="1"/>
  <c r="O14" i="116"/>
  <c r="R14" i="116" s="1"/>
  <c r="L379" i="110" s="1"/>
  <c r="O13" i="116"/>
  <c r="R13" i="116" s="1"/>
  <c r="L378" i="110" s="1"/>
  <c r="O12" i="116"/>
  <c r="O11" i="116"/>
  <c r="O10" i="116"/>
  <c r="R10" i="116" s="1"/>
  <c r="L375" i="110" s="1"/>
  <c r="O9" i="116"/>
  <c r="O8" i="116"/>
  <c r="R8" i="116" s="1"/>
  <c r="L373" i="110" s="1"/>
  <c r="O7" i="116"/>
  <c r="R7" i="116" s="1"/>
  <c r="L372" i="110" s="1"/>
  <c r="O6" i="116"/>
  <c r="R6" i="116" s="1"/>
  <c r="L371" i="110" s="1"/>
  <c r="O5" i="116"/>
  <c r="R5" i="116" s="1"/>
  <c r="L370" i="110" s="1"/>
  <c r="O83" i="116"/>
  <c r="R83" i="116" s="1"/>
  <c r="L447" i="110" s="1"/>
  <c r="R70" i="116"/>
  <c r="L435" i="110" s="1"/>
  <c r="O55" i="116"/>
  <c r="O53" i="116"/>
  <c r="R53" i="116" s="1"/>
  <c r="L418" i="110" s="1"/>
  <c r="O52" i="116"/>
  <c r="O51" i="116"/>
  <c r="I416" i="110" s="1"/>
  <c r="O50" i="116"/>
  <c r="I415" i="110" s="1"/>
  <c r="O49" i="116"/>
  <c r="R49" i="116" s="1"/>
  <c r="L414" i="110" s="1"/>
  <c r="O48" i="116"/>
  <c r="I413" i="110" s="1"/>
  <c r="N47" i="116"/>
  <c r="Q47" i="116" s="1"/>
  <c r="K412" i="110" s="1"/>
  <c r="N46" i="116"/>
  <c r="AW45" i="116"/>
  <c r="AX42" i="116"/>
  <c r="AX41" i="116"/>
  <c r="O40" i="116"/>
  <c r="I405" i="110" s="1"/>
  <c r="N39" i="116"/>
  <c r="Q39" i="116" s="1"/>
  <c r="I39" i="116"/>
  <c r="N38" i="116"/>
  <c r="Q38" i="116" s="1"/>
  <c r="K403" i="110" s="1"/>
  <c r="N36" i="116"/>
  <c r="Q36" i="116" s="1"/>
  <c r="K401" i="110" s="1"/>
  <c r="N35" i="116"/>
  <c r="H400" i="110" s="1"/>
  <c r="P33" i="116"/>
  <c r="J398" i="110" s="1"/>
  <c r="N31" i="116"/>
  <c r="Q31" i="116" s="1"/>
  <c r="K396" i="110" s="1"/>
  <c r="N28" i="116"/>
  <c r="H393" i="110" s="1"/>
  <c r="N26" i="116"/>
  <c r="H391" i="110" s="1"/>
  <c r="N24" i="116"/>
  <c r="N23" i="116"/>
  <c r="P23" i="116"/>
  <c r="J388" i="110" s="1"/>
  <c r="N22" i="116"/>
  <c r="P22" i="116"/>
  <c r="N21" i="116"/>
  <c r="Q21" i="116" s="1"/>
  <c r="K386" i="110" s="1"/>
  <c r="P21" i="116"/>
  <c r="J386" i="110" s="1"/>
  <c r="I21" i="116"/>
  <c r="N20" i="116"/>
  <c r="P20" i="116"/>
  <c r="S20" i="116" s="1"/>
  <c r="M385" i="110" s="1"/>
  <c r="N19" i="116"/>
  <c r="H384" i="110" s="1"/>
  <c r="P19" i="116"/>
  <c r="S19" i="116" s="1"/>
  <c r="N18" i="116"/>
  <c r="P18" i="116"/>
  <c r="J383" i="110" s="1"/>
  <c r="N17" i="116"/>
  <c r="Q17" i="116" s="1"/>
  <c r="K382" i="110" s="1"/>
  <c r="P17" i="116"/>
  <c r="J382" i="110" s="1"/>
  <c r="N16" i="116"/>
  <c r="H381" i="110" s="1"/>
  <c r="P16" i="116"/>
  <c r="S16" i="116" s="1"/>
  <c r="N15" i="116"/>
  <c r="H380" i="110" s="1"/>
  <c r="P15" i="116"/>
  <c r="S15" i="116" s="1"/>
  <c r="N14" i="116"/>
  <c r="P14" i="116"/>
  <c r="N13" i="116"/>
  <c r="P13" i="116"/>
  <c r="N12" i="116"/>
  <c r="Q12" i="116" s="1"/>
  <c r="K377" i="110" s="1"/>
  <c r="P12" i="116"/>
  <c r="S12" i="116" s="1"/>
  <c r="M377" i="110" s="1"/>
  <c r="N11" i="116"/>
  <c r="Q11" i="116" s="1"/>
  <c r="K376" i="110" s="1"/>
  <c r="P11" i="116"/>
  <c r="N10" i="116"/>
  <c r="H375" i="110" s="1"/>
  <c r="P10" i="116"/>
  <c r="S10" i="116" s="1"/>
  <c r="M375" i="110" s="1"/>
  <c r="N9" i="116"/>
  <c r="P9" i="116"/>
  <c r="N8" i="116"/>
  <c r="P8" i="116"/>
  <c r="J373" i="110" s="1"/>
  <c r="N7" i="116"/>
  <c r="Q7" i="116" s="1"/>
  <c r="P7" i="116"/>
  <c r="N6" i="116"/>
  <c r="Q6" i="116" s="1"/>
  <c r="K371" i="110" s="1"/>
  <c r="P6" i="116"/>
  <c r="N5" i="116"/>
  <c r="AY64" i="116"/>
  <c r="N59" i="116"/>
  <c r="Q59" i="116" s="1"/>
  <c r="K424" i="110" s="1"/>
  <c r="N56" i="116"/>
  <c r="Q56" i="116" s="1"/>
  <c r="K421" i="110" s="1"/>
  <c r="I44" i="116"/>
  <c r="N42" i="116"/>
  <c r="Q42" i="116" s="1"/>
  <c r="K407" i="110" s="1"/>
  <c r="AW41" i="116"/>
  <c r="AW40" i="116"/>
  <c r="AX38" i="116"/>
  <c r="P37" i="116"/>
  <c r="J402" i="110" s="1"/>
  <c r="AX36" i="116"/>
  <c r="P36" i="116"/>
  <c r="J401" i="110" s="1"/>
  <c r="AX35" i="116"/>
  <c r="P35" i="116"/>
  <c r="N33" i="116"/>
  <c r="H398" i="110" s="1"/>
  <c r="AW32" i="116"/>
  <c r="P31" i="116"/>
  <c r="J396" i="110" s="1"/>
  <c r="N29" i="116"/>
  <c r="Q29" i="116" s="1"/>
  <c r="N27" i="116"/>
  <c r="Q27" i="116" s="1"/>
  <c r="K392" i="110" s="1"/>
  <c r="N25" i="116"/>
  <c r="H390" i="110" s="1"/>
  <c r="AX24" i="116"/>
  <c r="I11" i="116"/>
  <c r="P5" i="116"/>
  <c r="J370" i="110" s="1"/>
  <c r="I5" i="116"/>
  <c r="AA7" i="116"/>
  <c r="C18" i="115"/>
  <c r="R44" i="116"/>
  <c r="L409" i="110" s="1"/>
  <c r="I409" i="110"/>
  <c r="O69" i="116"/>
  <c r="I434" i="110" s="1"/>
  <c r="AX69" i="116"/>
  <c r="AW68" i="116"/>
  <c r="AX53" i="116"/>
  <c r="AX52" i="116"/>
  <c r="AX51" i="116"/>
  <c r="AX50" i="116"/>
  <c r="P47" i="116"/>
  <c r="AY47" i="116"/>
  <c r="P45" i="116"/>
  <c r="J410" i="110" s="1"/>
  <c r="AY45" i="116"/>
  <c r="P43" i="116"/>
  <c r="J408" i="110" s="1"/>
  <c r="AY43" i="116"/>
  <c r="P41" i="116"/>
  <c r="AY41" i="116"/>
  <c r="P39" i="116"/>
  <c r="J404" i="110" s="1"/>
  <c r="AY39" i="116"/>
  <c r="O32" i="116"/>
  <c r="I397" i="110" s="1"/>
  <c r="AX32" i="116"/>
  <c r="O33" i="116"/>
  <c r="AX33" i="116"/>
  <c r="AW79" i="116"/>
  <c r="AY69" i="116"/>
  <c r="AX68" i="116"/>
  <c r="AW67" i="116"/>
  <c r="AW62" i="116"/>
  <c r="AW58" i="116"/>
  <c r="O47" i="116"/>
  <c r="R47" i="116" s="1"/>
  <c r="L412" i="110" s="1"/>
  <c r="P46" i="116"/>
  <c r="J411" i="110" s="1"/>
  <c r="AY46" i="116"/>
  <c r="O45" i="116"/>
  <c r="I410" i="110" s="1"/>
  <c r="P44" i="116"/>
  <c r="AY44" i="116"/>
  <c r="O43" i="116"/>
  <c r="R43" i="116" s="1"/>
  <c r="L408" i="110" s="1"/>
  <c r="P42" i="116"/>
  <c r="J407" i="110" s="1"/>
  <c r="AY42" i="116"/>
  <c r="O41" i="116"/>
  <c r="R41" i="116" s="1"/>
  <c r="L406" i="110" s="1"/>
  <c r="P40" i="116"/>
  <c r="S40" i="116" s="1"/>
  <c r="M405" i="110" s="1"/>
  <c r="AY40" i="116"/>
  <c r="O39" i="116"/>
  <c r="R39" i="116" s="1"/>
  <c r="L404" i="110" s="1"/>
  <c r="P38" i="116"/>
  <c r="J403" i="110" s="1"/>
  <c r="AY38" i="116"/>
  <c r="O37" i="116"/>
  <c r="R37" i="116" s="1"/>
  <c r="O34" i="116"/>
  <c r="AX34" i="116"/>
  <c r="AY51" i="116"/>
  <c r="AY50" i="116"/>
  <c r="AY49" i="116"/>
  <c r="AY48" i="116"/>
  <c r="Q48" i="116"/>
  <c r="K413" i="110" s="1"/>
  <c r="O31" i="116"/>
  <c r="R31" i="116" s="1"/>
  <c r="AX31" i="116"/>
  <c r="P30" i="116"/>
  <c r="S30" i="116" s="1"/>
  <c r="M395" i="110" s="1"/>
  <c r="AY30" i="116"/>
  <c r="AY37" i="116"/>
  <c r="AY36" i="116"/>
  <c r="AY35" i="116"/>
  <c r="AY34" i="116"/>
  <c r="AY33" i="116"/>
  <c r="AY32" i="116"/>
  <c r="AY31" i="116"/>
  <c r="AW29" i="116"/>
  <c r="AW28" i="116"/>
  <c r="AW27" i="116"/>
  <c r="AW26" i="116"/>
  <c r="AW25" i="116"/>
  <c r="AW24" i="116"/>
  <c r="AW23" i="116"/>
  <c r="AW22" i="116"/>
  <c r="AW21" i="116"/>
  <c r="AW20" i="116"/>
  <c r="AW19" i="116"/>
  <c r="AW18" i="116"/>
  <c r="AW17" i="116"/>
  <c r="AW16" i="116"/>
  <c r="AW15" i="116"/>
  <c r="AW14" i="116"/>
  <c r="AW13" i="116"/>
  <c r="AW12" i="116"/>
  <c r="AW11" i="116"/>
  <c r="AW10" i="116"/>
  <c r="AW9" i="116"/>
  <c r="AW8" i="116"/>
  <c r="AW7" i="116"/>
  <c r="AW6" i="116"/>
  <c r="AX23" i="116"/>
  <c r="AX22" i="116"/>
  <c r="AX21" i="116"/>
  <c r="AX20" i="116"/>
  <c r="AX19" i="116"/>
  <c r="AX18" i="116"/>
  <c r="AX17" i="116"/>
  <c r="AX16" i="116"/>
  <c r="AX15" i="116"/>
  <c r="AX14" i="116"/>
  <c r="AX13" i="116"/>
  <c r="AX12" i="116"/>
  <c r="AX11" i="116"/>
  <c r="AX10" i="116"/>
  <c r="AX9" i="116"/>
  <c r="AX8" i="116"/>
  <c r="AX7" i="116"/>
  <c r="AX6" i="116"/>
  <c r="AA62" i="116"/>
  <c r="AA60" i="116"/>
  <c r="AB54" i="116"/>
  <c r="AA52" i="116"/>
  <c r="N218" i="108"/>
  <c r="N551" i="108"/>
  <c r="N767" i="108"/>
  <c r="N771" i="108"/>
  <c r="N783" i="108"/>
  <c r="N485" i="108"/>
  <c r="N286" i="108"/>
  <c r="N797" i="108"/>
  <c r="N86" i="108"/>
  <c r="N253" i="108"/>
  <c r="N526" i="108"/>
  <c r="N740" i="108"/>
  <c r="N490" i="108"/>
  <c r="AA23" i="116"/>
  <c r="N451" i="108"/>
  <c r="N567" i="108"/>
  <c r="N573" i="108"/>
  <c r="N790" i="108"/>
  <c r="N769" i="108"/>
  <c r="N785" i="108"/>
  <c r="O13" i="108"/>
  <c r="N730" i="108"/>
  <c r="G472" i="110"/>
  <c r="N528" i="108"/>
  <c r="N103" i="108"/>
  <c r="N240" i="108"/>
  <c r="N143" i="108"/>
  <c r="N228" i="108"/>
  <c r="N390" i="108"/>
  <c r="N815" i="108"/>
  <c r="N580" i="108"/>
  <c r="N773" i="108"/>
  <c r="N89" i="108"/>
  <c r="N515" i="108"/>
  <c r="N787" i="108"/>
  <c r="N789" i="108"/>
  <c r="N214" i="108"/>
  <c r="N720" i="108"/>
  <c r="N339" i="108"/>
  <c r="N494" i="108"/>
  <c r="N468" i="108"/>
  <c r="N686" i="108"/>
  <c r="N843" i="108"/>
  <c r="N853" i="108"/>
  <c r="N619" i="108"/>
  <c r="N529" i="108"/>
  <c r="N531" i="108"/>
  <c r="N469" i="108"/>
  <c r="N659" i="108"/>
  <c r="N655" i="108"/>
  <c r="N663" i="108"/>
  <c r="N611" i="108"/>
  <c r="N747" i="108"/>
  <c r="N453" i="108"/>
  <c r="N533" i="108"/>
  <c r="N588" i="108"/>
  <c r="N518" i="108"/>
  <c r="O300" i="110"/>
  <c r="H22" i="109"/>
  <c r="H20" i="109"/>
  <c r="C23" i="109"/>
  <c r="G21" i="109"/>
  <c r="H21" i="109"/>
  <c r="G17" i="109"/>
  <c r="H17" i="109"/>
  <c r="N329" i="110"/>
  <c r="N739" i="108"/>
  <c r="N314" i="110"/>
  <c r="N311" i="110"/>
  <c r="N332" i="110"/>
  <c r="N341" i="110"/>
  <c r="N368" i="110"/>
  <c r="I443" i="110"/>
  <c r="O302" i="110"/>
  <c r="B39" i="109"/>
  <c r="O306" i="110"/>
  <c r="N14" i="110"/>
  <c r="N336" i="110"/>
  <c r="O292" i="110"/>
  <c r="N221" i="110"/>
  <c r="AV23" i="123"/>
  <c r="N382" i="108"/>
  <c r="N392" i="108"/>
  <c r="N398" i="108"/>
  <c r="G861" i="108"/>
  <c r="N78" i="108"/>
  <c r="N702" i="108"/>
  <c r="N750" i="108"/>
  <c r="N821" i="108"/>
  <c r="N100" i="108"/>
  <c r="N39" i="108"/>
  <c r="N238" i="108"/>
  <c r="N226" i="108"/>
  <c r="N271" i="108"/>
  <c r="N336" i="108"/>
  <c r="N362" i="108"/>
  <c r="N397" i="108"/>
  <c r="N804" i="108"/>
  <c r="N347" i="108"/>
  <c r="N497" i="108"/>
  <c r="N470" i="108"/>
  <c r="N827" i="108"/>
  <c r="N206" i="108"/>
  <c r="N216" i="108"/>
  <c r="N115" i="108"/>
  <c r="N220" i="108"/>
  <c r="N247" i="108"/>
  <c r="N297" i="108"/>
  <c r="N302" i="108"/>
  <c r="N427" i="108"/>
  <c r="N439" i="108"/>
  <c r="N733" i="108"/>
  <c r="N806" i="108"/>
  <c r="N820" i="108"/>
  <c r="N96" i="108"/>
  <c r="N365" i="108"/>
  <c r="N456" i="108"/>
  <c r="N186" i="108"/>
  <c r="N105" i="108"/>
  <c r="N146" i="108"/>
  <c r="N191" i="108"/>
  <c r="N276" i="108"/>
  <c r="N280" i="108"/>
  <c r="N284" i="108"/>
  <c r="N376" i="108"/>
  <c r="N401" i="108"/>
  <c r="N512" i="108"/>
  <c r="N721" i="108"/>
  <c r="N809" i="108"/>
  <c r="N475" i="108"/>
  <c r="N121" i="108"/>
  <c r="N49" i="108"/>
  <c r="N117" i="108"/>
  <c r="N346" i="108"/>
  <c r="N269" i="108"/>
  <c r="N753" i="108"/>
  <c r="N83" i="108"/>
  <c r="N210" i="108"/>
  <c r="N482" i="108"/>
  <c r="N25" i="108"/>
  <c r="N717" i="108"/>
  <c r="N836" i="108"/>
  <c r="N677" i="108"/>
  <c r="N464" i="108"/>
  <c r="N506" i="108"/>
  <c r="N731" i="108"/>
  <c r="N324" i="108"/>
  <c r="N202" i="108"/>
  <c r="N729" i="108"/>
  <c r="N474" i="108"/>
  <c r="N466" i="108"/>
  <c r="N737" i="108"/>
  <c r="N32" i="108"/>
  <c r="N380" i="108"/>
  <c r="N689" i="108"/>
  <c r="N486" i="108"/>
  <c r="N847" i="108"/>
  <c r="N829" i="108"/>
  <c r="N198" i="108"/>
  <c r="N852" i="108"/>
  <c r="N513" i="108"/>
  <c r="N481" i="108"/>
  <c r="N334" i="108"/>
  <c r="N246" i="108"/>
  <c r="N510" i="108"/>
  <c r="N735" i="108"/>
  <c r="N476" i="108"/>
  <c r="N501" i="108"/>
  <c r="N45" i="108"/>
  <c r="N104" i="108"/>
  <c r="N813" i="108"/>
  <c r="N93" i="108"/>
  <c r="N858" i="108"/>
  <c r="N828" i="108"/>
  <c r="N837" i="108"/>
  <c r="N835" i="108"/>
  <c r="N384" i="108"/>
  <c r="N817" i="108"/>
  <c r="N808" i="108"/>
  <c r="N446" i="108"/>
  <c r="N454" i="108"/>
  <c r="N745" i="108"/>
  <c r="N97" i="108"/>
  <c r="N234" i="108"/>
  <c r="N514" i="108"/>
  <c r="N842" i="108"/>
  <c r="N509" i="108"/>
  <c r="N819" i="108"/>
  <c r="N498" i="108"/>
  <c r="N258" i="108"/>
  <c r="N194" i="108"/>
  <c r="N505" i="108"/>
  <c r="N181" i="108"/>
  <c r="N823" i="108"/>
  <c r="N684" i="108"/>
  <c r="N37" i="108"/>
  <c r="N502" i="108"/>
  <c r="N715" i="108"/>
  <c r="N757" i="108"/>
  <c r="N727" i="108"/>
  <c r="N704" i="108"/>
  <c r="O307" i="110"/>
  <c r="O291" i="110"/>
  <c r="BN20" i="123"/>
  <c r="N64" i="108"/>
  <c r="N50" i="108"/>
  <c r="I401" i="110"/>
  <c r="N301" i="108"/>
  <c r="N310" i="108"/>
  <c r="N296" i="108"/>
  <c r="N306" i="108"/>
  <c r="N383" i="108"/>
  <c r="N440" i="108"/>
  <c r="N400" i="108"/>
  <c r="N437" i="108"/>
  <c r="N483" i="108"/>
  <c r="N491" i="108"/>
  <c r="N353" i="108"/>
  <c r="N378" i="108"/>
  <c r="N385" i="108"/>
  <c r="N394" i="108"/>
  <c r="N403" i="108"/>
  <c r="N428" i="108"/>
  <c r="N432" i="108"/>
  <c r="N436" i="108"/>
  <c r="N429" i="108"/>
  <c r="N433" i="108"/>
  <c r="N471" i="108"/>
  <c r="N480" i="108"/>
  <c r="N42" i="108"/>
  <c r="N46" i="108"/>
  <c r="N99" i="108"/>
  <c r="N196" i="108"/>
  <c r="N209" i="108"/>
  <c r="N212" i="108"/>
  <c r="N279" i="108"/>
  <c r="N283" i="108"/>
  <c r="N313" i="108"/>
  <c r="N340" i="108"/>
  <c r="N423" i="108"/>
  <c r="N523" i="108"/>
  <c r="N35" i="108"/>
  <c r="N183" i="108"/>
  <c r="N131" i="108"/>
  <c r="N36" i="108"/>
  <c r="N44" i="108"/>
  <c r="N53" i="108"/>
  <c r="N91" i="108"/>
  <c r="N102" i="108"/>
  <c r="N204" i="108"/>
  <c r="N260" i="108"/>
  <c r="N264" i="108"/>
  <c r="N267" i="108"/>
  <c r="N277" i="108"/>
  <c r="N281" i="108"/>
  <c r="N332" i="108"/>
  <c r="N318" i="108"/>
  <c r="N294" i="108"/>
  <c r="N426" i="108"/>
  <c r="N431" i="108"/>
  <c r="N472" i="108"/>
  <c r="N492" i="108"/>
  <c r="N519" i="108"/>
  <c r="N527" i="108"/>
  <c r="N675" i="108"/>
  <c r="N701" i="108"/>
  <c r="N41" i="108"/>
  <c r="N88" i="108"/>
  <c r="N235" i="108"/>
  <c r="N162" i="108"/>
  <c r="N259" i="108"/>
  <c r="N178" i="108"/>
  <c r="E867" i="108"/>
  <c r="I26" i="115"/>
  <c r="J26" i="115"/>
  <c r="K26" i="115"/>
  <c r="G26" i="115"/>
  <c r="D26" i="115" s="1"/>
  <c r="H26" i="115"/>
  <c r="K25" i="115"/>
  <c r="H25" i="115"/>
  <c r="G25" i="115"/>
  <c r="J25" i="115"/>
  <c r="N92" i="110"/>
  <c r="O295" i="110"/>
  <c r="N308" i="108"/>
  <c r="F867" i="108"/>
  <c r="C31" i="109"/>
  <c r="H31" i="109" s="1"/>
  <c r="R28" i="116"/>
  <c r="L393" i="110" s="1"/>
  <c r="O297" i="110"/>
  <c r="I433" i="110"/>
  <c r="O298" i="110"/>
  <c r="N136" i="110"/>
  <c r="N203" i="110"/>
  <c r="N39" i="110"/>
  <c r="N55" i="110"/>
  <c r="J29" i="115"/>
  <c r="G29" i="115"/>
  <c r="K29" i="115"/>
  <c r="H29" i="115"/>
  <c r="H30" i="115"/>
  <c r="J30" i="115"/>
  <c r="K30" i="115"/>
  <c r="K31" i="115" s="1"/>
  <c r="I30" i="115"/>
  <c r="G30" i="115"/>
  <c r="K28" i="115"/>
  <c r="I28" i="115"/>
  <c r="C28" i="115" s="1"/>
  <c r="O293" i="110"/>
  <c r="O301" i="110"/>
  <c r="N87" i="108"/>
  <c r="N132" i="108"/>
  <c r="N136" i="108"/>
  <c r="N148" i="108"/>
  <c r="N153" i="108"/>
  <c r="N200" i="108"/>
  <c r="N205" i="108"/>
  <c r="N221" i="108"/>
  <c r="N195" i="108"/>
  <c r="N211" i="108"/>
  <c r="N236" i="108"/>
  <c r="N227" i="108"/>
  <c r="N272" i="108"/>
  <c r="N307" i="108"/>
  <c r="N319" i="108"/>
  <c r="N293" i="108"/>
  <c r="N304" i="108"/>
  <c r="N320" i="108"/>
  <c r="N38" i="108"/>
  <c r="N147" i="108"/>
  <c r="N424" i="108"/>
  <c r="N725" i="108"/>
  <c r="N741" i="108"/>
  <c r="N811" i="108"/>
  <c r="N826" i="108"/>
  <c r="N495" i="108"/>
  <c r="N387" i="108"/>
  <c r="N54" i="108"/>
  <c r="N112" i="108"/>
  <c r="N133" i="108"/>
  <c r="N137" i="108"/>
  <c r="N150" i="108"/>
  <c r="N188" i="108"/>
  <c r="N193" i="108"/>
  <c r="N199" i="108"/>
  <c r="N251" i="108"/>
  <c r="N263" i="108"/>
  <c r="N328" i="108"/>
  <c r="N345" i="108"/>
  <c r="N295" i="108"/>
  <c r="N354" i="108"/>
  <c r="N388" i="108"/>
  <c r="N399" i="108"/>
  <c r="N396" i="108"/>
  <c r="N402" i="108"/>
  <c r="N435" i="108"/>
  <c r="N357" i="108"/>
  <c r="N34" i="108"/>
  <c r="N95" i="108"/>
  <c r="N139" i="108"/>
  <c r="N144" i="108"/>
  <c r="N138" i="108"/>
  <c r="N149" i="108"/>
  <c r="N192" i="108"/>
  <c r="N197" i="108"/>
  <c r="N187" i="108"/>
  <c r="N203" i="108"/>
  <c r="N215" i="108"/>
  <c r="N303" i="108"/>
  <c r="N311" i="108"/>
  <c r="N312" i="108"/>
  <c r="N292" i="108"/>
  <c r="N344" i="108"/>
  <c r="N430" i="108"/>
  <c r="N438" i="108"/>
  <c r="N517" i="108"/>
  <c r="N123" i="108"/>
  <c r="N135" i="108"/>
  <c r="N141" i="108"/>
  <c r="N151" i="108"/>
  <c r="N201" i="108"/>
  <c r="N219" i="108"/>
  <c r="N262" i="108"/>
  <c r="N268" i="108"/>
  <c r="N278" i="108"/>
  <c r="N282" i="108"/>
  <c r="N305" i="108"/>
  <c r="N317" i="108"/>
  <c r="N358" i="108"/>
  <c r="N291" i="108"/>
  <c r="N364" i="108"/>
  <c r="N488" i="108"/>
  <c r="N508" i="108"/>
  <c r="N525" i="108"/>
  <c r="N699" i="108"/>
  <c r="N114" i="110"/>
  <c r="N125" i="110"/>
  <c r="N96" i="110"/>
  <c r="J28" i="115"/>
  <c r="H28" i="115"/>
  <c r="H31" i="115" s="1"/>
  <c r="O14" i="108"/>
  <c r="O12" i="108"/>
  <c r="O303" i="110"/>
  <c r="R63" i="116"/>
  <c r="L428" i="110" s="1"/>
  <c r="R57" i="116"/>
  <c r="L422" i="110" s="1"/>
  <c r="O299" i="110"/>
  <c r="O296" i="110"/>
  <c r="G28" i="115"/>
  <c r="D28" i="115"/>
  <c r="I436" i="110"/>
  <c r="Q45" i="116"/>
  <c r="K410" i="110" s="1"/>
  <c r="AV27" i="123"/>
  <c r="BD27" i="123"/>
  <c r="AV7" i="123"/>
  <c r="J10" i="108"/>
  <c r="H11" i="108"/>
  <c r="L11" i="108"/>
  <c r="J12" i="108"/>
  <c r="H13" i="108"/>
  <c r="L13" i="108"/>
  <c r="K10" i="108"/>
  <c r="I11" i="108"/>
  <c r="M11" i="108"/>
  <c r="K12" i="108"/>
  <c r="I13" i="108"/>
  <c r="M13" i="108"/>
  <c r="K14" i="108"/>
  <c r="L10" i="108"/>
  <c r="J11" i="108"/>
  <c r="H12" i="108"/>
  <c r="L12" i="108"/>
  <c r="J13" i="108"/>
  <c r="H14" i="108"/>
  <c r="I10" i="108"/>
  <c r="K11" i="108"/>
  <c r="I12" i="108"/>
  <c r="L294" i="110"/>
  <c r="J308" i="110"/>
  <c r="J292" i="110"/>
  <c r="H293" i="110"/>
  <c r="L293" i="110"/>
  <c r="J295" i="110"/>
  <c r="H296" i="110"/>
  <c r="L296" i="110"/>
  <c r="J297" i="110"/>
  <c r="H298" i="110"/>
  <c r="L298" i="110"/>
  <c r="J299" i="110"/>
  <c r="H300" i="110"/>
  <c r="L300" i="110"/>
  <c r="J301" i="110"/>
  <c r="H302" i="110"/>
  <c r="L302" i="110"/>
  <c r="J303" i="110"/>
  <c r="H304" i="110"/>
  <c r="L304" i="110"/>
  <c r="H306" i="110"/>
  <c r="L306" i="110"/>
  <c r="J307" i="110"/>
  <c r="M294" i="110"/>
  <c r="K308" i="110"/>
  <c r="K292" i="110"/>
  <c r="I293" i="110"/>
  <c r="M293" i="110"/>
  <c r="K295" i="110"/>
  <c r="I296" i="110"/>
  <c r="M296" i="110"/>
  <c r="K297" i="110"/>
  <c r="I298" i="110"/>
  <c r="M298" i="110"/>
  <c r="K299" i="110"/>
  <c r="I300" i="110"/>
  <c r="M300" i="110"/>
  <c r="K301" i="110"/>
  <c r="I302" i="110"/>
  <c r="M302" i="110"/>
  <c r="K303" i="110"/>
  <c r="I304" i="110"/>
  <c r="M304" i="110"/>
  <c r="I306" i="110"/>
  <c r="M306" i="110"/>
  <c r="K307" i="110"/>
  <c r="H308" i="110"/>
  <c r="L308" i="110"/>
  <c r="H292" i="110"/>
  <c r="L292" i="110"/>
  <c r="J293" i="110"/>
  <c r="H295" i="110"/>
  <c r="L295" i="110"/>
  <c r="J296" i="110"/>
  <c r="H297" i="110"/>
  <c r="L297" i="110"/>
  <c r="J298" i="110"/>
  <c r="H299" i="110"/>
  <c r="L299" i="110"/>
  <c r="J300" i="110"/>
  <c r="H301" i="110"/>
  <c r="L301" i="110"/>
  <c r="J302" i="110"/>
  <c r="H303" i="110"/>
  <c r="L303" i="110"/>
  <c r="J304" i="110"/>
  <c r="J306" i="110"/>
  <c r="H307" i="110"/>
  <c r="L307" i="110"/>
  <c r="I308" i="110"/>
  <c r="I292" i="110"/>
  <c r="I295" i="110"/>
  <c r="I297" i="110"/>
  <c r="I299" i="110"/>
  <c r="I301" i="110"/>
  <c r="I303" i="110"/>
  <c r="I307" i="110"/>
  <c r="N362" i="110"/>
  <c r="N327" i="110"/>
  <c r="N325" i="110"/>
  <c r="N312" i="110"/>
  <c r="N363" i="110"/>
  <c r="N309" i="110"/>
  <c r="N339" i="110"/>
  <c r="L401" i="110"/>
  <c r="N335" i="110"/>
  <c r="R24" i="116"/>
  <c r="L389" i="110" s="1"/>
  <c r="N338" i="110"/>
  <c r="N348" i="110"/>
  <c r="G27" i="115"/>
  <c r="D27" i="115"/>
  <c r="H27" i="115"/>
  <c r="J27" i="115"/>
  <c r="J31" i="115" s="1"/>
  <c r="D30" i="115"/>
  <c r="N352" i="110"/>
  <c r="N237" i="110"/>
  <c r="D29" i="115"/>
  <c r="AV19" i="123"/>
  <c r="E484" i="110"/>
  <c r="AV17" i="123"/>
  <c r="BF10" i="123"/>
  <c r="N333" i="110"/>
  <c r="N310" i="110"/>
  <c r="N360" i="110"/>
  <c r="N330" i="110"/>
  <c r="N323" i="110"/>
  <c r="N356" i="110"/>
  <c r="N350" i="110"/>
  <c r="N353" i="110"/>
  <c r="N328" i="110"/>
  <c r="N322" i="110"/>
  <c r="N346" i="110"/>
  <c r="N343" i="110"/>
  <c r="N320" i="110"/>
  <c r="N342" i="110"/>
  <c r="N361" i="110"/>
  <c r="N317" i="110"/>
  <c r="N354" i="110"/>
  <c r="N347" i="110"/>
  <c r="N340" i="110"/>
  <c r="N331" i="110"/>
  <c r="N321" i="110"/>
  <c r="N345" i="110"/>
  <c r="I375" i="110"/>
  <c r="L403" i="110"/>
  <c r="N326" i="110"/>
  <c r="N316" i="110"/>
  <c r="N355" i="110"/>
  <c r="M291" i="110"/>
  <c r="I291" i="110"/>
  <c r="L291" i="110"/>
  <c r="H291" i="110"/>
  <c r="K291" i="110"/>
  <c r="N318" i="110"/>
  <c r="N351" i="110"/>
  <c r="O15" i="108"/>
  <c r="L15" i="108"/>
  <c r="I15" i="108"/>
  <c r="K15" i="108"/>
  <c r="M15" i="108"/>
  <c r="H15" i="108"/>
  <c r="J15" i="108"/>
  <c r="N109" i="108"/>
  <c r="AV18" i="123"/>
  <c r="BF28" i="123"/>
  <c r="BF26" i="123"/>
  <c r="AV26" i="123"/>
  <c r="BE18" i="123"/>
  <c r="I381" i="110"/>
  <c r="O308" i="110"/>
  <c r="O304" i="110"/>
  <c r="Q52" i="116"/>
  <c r="K417" i="110" s="1"/>
  <c r="Q58" i="116"/>
  <c r="K423" i="110" s="1"/>
  <c r="I403" i="110"/>
  <c r="O294" i="110"/>
  <c r="J294" i="110"/>
  <c r="I294" i="110"/>
  <c r="H294" i="110"/>
  <c r="O10" i="108"/>
  <c r="I14" i="108"/>
  <c r="L14" i="108"/>
  <c r="H10" i="108"/>
  <c r="J14" i="108"/>
  <c r="N334" i="110"/>
  <c r="AV24" i="123"/>
  <c r="F484" i="110"/>
  <c r="D484" i="110"/>
  <c r="D25" i="115"/>
  <c r="C25" i="115"/>
  <c r="G31" i="115"/>
  <c r="C26" i="115"/>
  <c r="E27" i="115"/>
  <c r="C27" i="115"/>
  <c r="E29" i="115"/>
  <c r="E25" i="115"/>
  <c r="D31" i="115"/>
  <c r="H396" i="110" l="1"/>
  <c r="H394" i="110"/>
  <c r="J384" i="110"/>
  <c r="R51" i="116"/>
  <c r="L416" i="110" s="1"/>
  <c r="H386" i="110"/>
  <c r="Q26" i="116"/>
  <c r="K391" i="110" s="1"/>
  <c r="H403" i="110"/>
  <c r="E22" i="109"/>
  <c r="E22" i="134" s="1"/>
  <c r="E19" i="115"/>
  <c r="C17" i="115"/>
  <c r="C16" i="115"/>
  <c r="C15" i="115"/>
  <c r="Q35" i="116"/>
  <c r="K400" i="110" s="1"/>
  <c r="J377" i="110"/>
  <c r="S36" i="116"/>
  <c r="M401" i="110" s="1"/>
  <c r="J381" i="110"/>
  <c r="J385" i="110"/>
  <c r="S17" i="116"/>
  <c r="M382" i="110" s="1"/>
  <c r="C12" i="115"/>
  <c r="Q60" i="116"/>
  <c r="K425" i="110" s="1"/>
  <c r="H425" i="110"/>
  <c r="R65" i="116"/>
  <c r="L430" i="110" s="1"/>
  <c r="S64" i="116"/>
  <c r="M429" i="110" s="1"/>
  <c r="AW60" i="116"/>
  <c r="AW64" i="116"/>
  <c r="AW74" i="116"/>
  <c r="AY55" i="116"/>
  <c r="AW54" i="116"/>
  <c r="AY57" i="116"/>
  <c r="N72" i="116"/>
  <c r="N61" i="116"/>
  <c r="P54" i="116"/>
  <c r="AY72" i="116"/>
  <c r="AY61" i="116"/>
  <c r="H415" i="110"/>
  <c r="H428" i="110"/>
  <c r="Q63" i="116"/>
  <c r="K428" i="110" s="1"/>
  <c r="S62" i="116"/>
  <c r="M427" i="110" s="1"/>
  <c r="J427" i="110"/>
  <c r="H420" i="110"/>
  <c r="Q55" i="116"/>
  <c r="K420" i="110" s="1"/>
  <c r="J418" i="110"/>
  <c r="S53" i="116"/>
  <c r="M418" i="110" s="1"/>
  <c r="S51" i="116"/>
  <c r="M416" i="110" s="1"/>
  <c r="J416" i="110"/>
  <c r="S81" i="116"/>
  <c r="M445" i="110" s="1"/>
  <c r="Q57" i="116"/>
  <c r="S50" i="116"/>
  <c r="M415" i="110" s="1"/>
  <c r="H431" i="110"/>
  <c r="Q80" i="116"/>
  <c r="K444" i="110" s="1"/>
  <c r="I429" i="110"/>
  <c r="AY53" i="116"/>
  <c r="AW63" i="116"/>
  <c r="AW65" i="116"/>
  <c r="AW76" i="116"/>
  <c r="AY56" i="116"/>
  <c r="AY70" i="116"/>
  <c r="S57" i="116"/>
  <c r="M422" i="110" s="1"/>
  <c r="AY60" i="116"/>
  <c r="AY76" i="116"/>
  <c r="AW51" i="116"/>
  <c r="AY68" i="116"/>
  <c r="AW50" i="116"/>
  <c r="AY71" i="116"/>
  <c r="Q62" i="116"/>
  <c r="K427" i="110" s="1"/>
  <c r="AW31" i="116"/>
  <c r="AY23" i="116"/>
  <c r="AY22" i="116"/>
  <c r="AY21" i="116"/>
  <c r="AY20" i="116"/>
  <c r="AY19" i="116"/>
  <c r="AY18" i="116"/>
  <c r="AY17" i="116"/>
  <c r="AY16" i="116"/>
  <c r="AY15" i="116"/>
  <c r="AY14" i="116"/>
  <c r="AY13" i="116"/>
  <c r="AY12" i="116"/>
  <c r="I370" i="110"/>
  <c r="R17" i="116"/>
  <c r="L382" i="110" s="1"/>
  <c r="S32" i="116"/>
  <c r="M397" i="110" s="1"/>
  <c r="I378" i="110"/>
  <c r="C14" i="115"/>
  <c r="C13" i="115"/>
  <c r="S63" i="116"/>
  <c r="M428" i="110" s="1"/>
  <c r="H372" i="110"/>
  <c r="J395" i="110"/>
  <c r="S49" i="116"/>
  <c r="M414" i="110" s="1"/>
  <c r="R50" i="116"/>
  <c r="L415" i="110" s="1"/>
  <c r="I402" i="110"/>
  <c r="R45" i="116"/>
  <c r="L410" i="110" s="1"/>
  <c r="S42" i="116"/>
  <c r="M407" i="110" s="1"/>
  <c r="D23" i="109"/>
  <c r="Q75" i="116"/>
  <c r="K439" i="110" s="1"/>
  <c r="AW84" i="116"/>
  <c r="J19" i="115"/>
  <c r="S46" i="116"/>
  <c r="M411" i="110" s="1"/>
  <c r="I406" i="110"/>
  <c r="I396" i="110"/>
  <c r="AY83" i="116"/>
  <c r="AX83" i="116"/>
  <c r="AY80" i="116"/>
  <c r="AY79" i="116"/>
  <c r="AY78" i="116"/>
  <c r="AY75" i="116"/>
  <c r="AW75" i="116"/>
  <c r="AY74" i="116"/>
  <c r="AW73" i="116"/>
  <c r="AW71" i="116"/>
  <c r="AW69" i="116"/>
  <c r="AY65" i="116"/>
  <c r="AY58" i="116"/>
  <c r="AX48" i="116"/>
  <c r="G19" i="115"/>
  <c r="I372" i="110"/>
  <c r="R69" i="116"/>
  <c r="L434" i="110" s="1"/>
  <c r="R32" i="116"/>
  <c r="L397" i="110" s="1"/>
  <c r="Q10" i="116"/>
  <c r="J380" i="110"/>
  <c r="I412" i="110"/>
  <c r="J375" i="110"/>
  <c r="S18" i="116"/>
  <c r="M383" i="110" s="1"/>
  <c r="H371" i="110"/>
  <c r="R19" i="116"/>
  <c r="L384" i="110" s="1"/>
  <c r="R15" i="116"/>
  <c r="L380" i="110" s="1"/>
  <c r="I414" i="110"/>
  <c r="H401" i="110"/>
  <c r="H404" i="110"/>
  <c r="H412" i="110"/>
  <c r="I19" i="115"/>
  <c r="AX81" i="116"/>
  <c r="AX76" i="116"/>
  <c r="AX75" i="116"/>
  <c r="AX64" i="116"/>
  <c r="AX62" i="116"/>
  <c r="AX60" i="116"/>
  <c r="AX59" i="116"/>
  <c r="AW57" i="116"/>
  <c r="AW55" i="116"/>
  <c r="AW49" i="116"/>
  <c r="AW47" i="116"/>
  <c r="AX30" i="116"/>
  <c r="H9" i="109"/>
  <c r="H445" i="110"/>
  <c r="Q81" i="116"/>
  <c r="K445" i="110" s="1"/>
  <c r="H438" i="110"/>
  <c r="Q74" i="116"/>
  <c r="K438" i="110" s="1"/>
  <c r="J436" i="110"/>
  <c r="S71" i="116"/>
  <c r="M436" i="110" s="1"/>
  <c r="J434" i="110"/>
  <c r="S69" i="116"/>
  <c r="M434" i="110" s="1"/>
  <c r="H392" i="110"/>
  <c r="R20" i="116"/>
  <c r="L385" i="110" s="1"/>
  <c r="Q15" i="116"/>
  <c r="K380" i="110" s="1"/>
  <c r="Q34" i="116"/>
  <c r="K399" i="110" s="1"/>
  <c r="I404" i="110"/>
  <c r="Q16" i="116"/>
  <c r="K381" i="110" s="1"/>
  <c r="H421" i="110"/>
  <c r="Q28" i="116"/>
  <c r="K393" i="110" s="1"/>
  <c r="S43" i="116"/>
  <c r="M408" i="110" s="1"/>
  <c r="I407" i="110"/>
  <c r="I373" i="110"/>
  <c r="S66" i="116"/>
  <c r="M431" i="110" s="1"/>
  <c r="R61" i="116"/>
  <c r="L426" i="110" s="1"/>
  <c r="I371" i="110"/>
  <c r="AW66" i="116"/>
  <c r="AW78" i="116"/>
  <c r="AW81" i="116"/>
  <c r="N69" i="116"/>
  <c r="H434" i="110" s="1"/>
  <c r="P65" i="116"/>
  <c r="S65" i="116" s="1"/>
  <c r="M430" i="110" s="1"/>
  <c r="P79" i="116"/>
  <c r="J433" i="110"/>
  <c r="Q82" i="116"/>
  <c r="K446" i="110" s="1"/>
  <c r="H446" i="110"/>
  <c r="Q41" i="116"/>
  <c r="K406" i="110" s="1"/>
  <c r="H406" i="110"/>
  <c r="J393" i="110"/>
  <c r="S28" i="116"/>
  <c r="M393" i="110" s="1"/>
  <c r="R48" i="116"/>
  <c r="L413" i="110" s="1"/>
  <c r="S21" i="116"/>
  <c r="M386" i="110" s="1"/>
  <c r="H382" i="110"/>
  <c r="R81" i="116"/>
  <c r="L445" i="110" s="1"/>
  <c r="Q44" i="116"/>
  <c r="K409" i="110" s="1"/>
  <c r="H377" i="110"/>
  <c r="I387" i="110"/>
  <c r="S45" i="116"/>
  <c r="M410" i="110" s="1"/>
  <c r="S33" i="116"/>
  <c r="M398" i="110" s="1"/>
  <c r="Q69" i="116"/>
  <c r="Q33" i="116"/>
  <c r="K398" i="110" s="1"/>
  <c r="I408" i="110"/>
  <c r="J432" i="110"/>
  <c r="J405" i="110"/>
  <c r="S37" i="116"/>
  <c r="M402" i="110" s="1"/>
  <c r="H407" i="110"/>
  <c r="Q84" i="116"/>
  <c r="K448" i="110" s="1"/>
  <c r="S55" i="116"/>
  <c r="M420" i="110" s="1"/>
  <c r="S31" i="116"/>
  <c r="M396" i="110" s="1"/>
  <c r="S5" i="116"/>
  <c r="M370" i="110" s="1"/>
  <c r="S8" i="116"/>
  <c r="M373" i="110" s="1"/>
  <c r="R60" i="116"/>
  <c r="L425" i="110" s="1"/>
  <c r="H442" i="110"/>
  <c r="R40" i="116"/>
  <c r="L405" i="110" s="1"/>
  <c r="I447" i="110"/>
  <c r="Q19" i="116"/>
  <c r="K384" i="110" s="1"/>
  <c r="E21" i="109"/>
  <c r="E21" i="134" s="1"/>
  <c r="I383" i="110"/>
  <c r="J446" i="110"/>
  <c r="AW80" i="116"/>
  <c r="AW82" i="116"/>
  <c r="AY82" i="116"/>
  <c r="AY84" i="116"/>
  <c r="P78" i="116"/>
  <c r="AY81" i="116"/>
  <c r="P83" i="116"/>
  <c r="P75" i="116"/>
  <c r="AW70" i="116"/>
  <c r="AY67" i="116"/>
  <c r="AY63" i="116"/>
  <c r="O62" i="116"/>
  <c r="O59" i="116"/>
  <c r="AX56" i="116"/>
  <c r="AX46" i="116"/>
  <c r="AW44" i="116"/>
  <c r="AX29" i="116"/>
  <c r="S35" i="116"/>
  <c r="M400" i="110" s="1"/>
  <c r="J400" i="110"/>
  <c r="H432" i="110"/>
  <c r="Q67" i="116"/>
  <c r="K432" i="110" s="1"/>
  <c r="Q72" i="116"/>
  <c r="H437" i="110"/>
  <c r="R9" i="116"/>
  <c r="L374" i="110" s="1"/>
  <c r="I374" i="110"/>
  <c r="R23" i="116"/>
  <c r="L388" i="110" s="1"/>
  <c r="I388" i="110"/>
  <c r="J417" i="110"/>
  <c r="S52" i="116"/>
  <c r="M417" i="110" s="1"/>
  <c r="J419" i="110"/>
  <c r="S54" i="116"/>
  <c r="M419" i="110" s="1"/>
  <c r="H17" i="115"/>
  <c r="H19" i="115" s="1"/>
  <c r="D19" i="115"/>
  <c r="D18" i="134"/>
  <c r="F18" i="134" s="1"/>
  <c r="G18" i="134" s="1"/>
  <c r="E18" i="109"/>
  <c r="E18" i="134" s="1"/>
  <c r="N83" i="116"/>
  <c r="AW83" i="116"/>
  <c r="J441" i="110"/>
  <c r="S77" i="116"/>
  <c r="M441" i="110" s="1"/>
  <c r="S76" i="116"/>
  <c r="M440" i="110" s="1"/>
  <c r="J440" i="110"/>
  <c r="R34" i="116"/>
  <c r="L399" i="110" s="1"/>
  <c r="I399" i="110"/>
  <c r="S44" i="116"/>
  <c r="M409" i="110" s="1"/>
  <c r="J409" i="110"/>
  <c r="J412" i="110"/>
  <c r="S47" i="116"/>
  <c r="M412" i="110" s="1"/>
  <c r="S7" i="116"/>
  <c r="M372" i="110" s="1"/>
  <c r="J372" i="110"/>
  <c r="H383" i="110"/>
  <c r="Q18" i="116"/>
  <c r="K383" i="110" s="1"/>
  <c r="H385" i="110"/>
  <c r="Q20" i="116"/>
  <c r="K385" i="110" s="1"/>
  <c r="S22" i="116"/>
  <c r="M387" i="110" s="1"/>
  <c r="J387" i="110"/>
  <c r="Q24" i="116"/>
  <c r="K389" i="110" s="1"/>
  <c r="H389" i="110"/>
  <c r="I417" i="110"/>
  <c r="R52" i="116"/>
  <c r="L417" i="110" s="1"/>
  <c r="H426" i="110"/>
  <c r="Q61" i="116"/>
  <c r="K426" i="110" s="1"/>
  <c r="J437" i="110"/>
  <c r="S72" i="116"/>
  <c r="M437" i="110" s="1"/>
  <c r="Q71" i="116"/>
  <c r="H436" i="110"/>
  <c r="J413" i="110"/>
  <c r="S48" i="116"/>
  <c r="M413" i="110" s="1"/>
  <c r="R80" i="116"/>
  <c r="L444" i="110" s="1"/>
  <c r="I444" i="110"/>
  <c r="H397" i="110"/>
  <c r="Q32" i="116"/>
  <c r="K397" i="110" s="1"/>
  <c r="AW77" i="116"/>
  <c r="AX78" i="116"/>
  <c r="AY73" i="116"/>
  <c r="AY77" i="116"/>
  <c r="AX80" i="116"/>
  <c r="AX71" i="116"/>
  <c r="P74" i="116"/>
  <c r="P80" i="116"/>
  <c r="O76" i="116"/>
  <c r="O75" i="116"/>
  <c r="AX74" i="116"/>
  <c r="AX73" i="116"/>
  <c r="AX70" i="116"/>
  <c r="AX67" i="116"/>
  <c r="AX66" i="116"/>
  <c r="AX43" i="116"/>
  <c r="AW37" i="116"/>
  <c r="AY26" i="116"/>
  <c r="G13" i="109"/>
  <c r="I438" i="110"/>
  <c r="R74" i="116"/>
  <c r="L438" i="110" s="1"/>
  <c r="I432" i="110"/>
  <c r="R67" i="116"/>
  <c r="L432" i="110" s="1"/>
  <c r="R66" i="116"/>
  <c r="L431" i="110" s="1"/>
  <c r="I431" i="110"/>
  <c r="H416" i="110"/>
  <c r="Q51" i="116"/>
  <c r="H405" i="110"/>
  <c r="Q40" i="116"/>
  <c r="H402" i="110"/>
  <c r="Q37" i="116"/>
  <c r="K402" i="110" s="1"/>
  <c r="J394" i="110"/>
  <c r="S29" i="116"/>
  <c r="M394" i="110" s="1"/>
  <c r="J391" i="110"/>
  <c r="S26" i="116"/>
  <c r="M391" i="110" s="1"/>
  <c r="J389" i="110"/>
  <c r="S24" i="116"/>
  <c r="M389" i="110" s="1"/>
  <c r="I448" i="110"/>
  <c r="R84" i="116"/>
  <c r="L448" i="110" s="1"/>
  <c r="Q70" i="116"/>
  <c r="K435" i="110" s="1"/>
  <c r="H435" i="110"/>
  <c r="S60" i="116"/>
  <c r="M425" i="110" s="1"/>
  <c r="J425" i="110"/>
  <c r="R56" i="116"/>
  <c r="L421" i="110" s="1"/>
  <c r="I421" i="110"/>
  <c r="H408" i="110"/>
  <c r="Q43" i="116"/>
  <c r="K408" i="110" s="1"/>
  <c r="I394" i="110"/>
  <c r="R29" i="116"/>
  <c r="L394" i="110" s="1"/>
  <c r="J392" i="110"/>
  <c r="S27" i="116"/>
  <c r="M392" i="110" s="1"/>
  <c r="I391" i="110"/>
  <c r="R26" i="116"/>
  <c r="L391" i="110" s="1"/>
  <c r="D23" i="134"/>
  <c r="F23" i="134" s="1"/>
  <c r="G23" i="134" s="1"/>
  <c r="E20" i="115"/>
  <c r="D21" i="115" s="1"/>
  <c r="E20" i="109"/>
  <c r="E20" i="134" s="1"/>
  <c r="D20" i="134"/>
  <c r="F20" i="134" s="1"/>
  <c r="G20" i="134" s="1"/>
  <c r="AX77" i="116"/>
  <c r="AX63" i="116"/>
  <c r="AY62" i="116"/>
  <c r="AY59" i="116"/>
  <c r="AX58" i="116"/>
  <c r="AW53" i="116"/>
  <c r="AW52" i="116"/>
  <c r="N49" i="116"/>
  <c r="AW48" i="116"/>
  <c r="AW46" i="116"/>
  <c r="AX28" i="116"/>
  <c r="AX25" i="116"/>
  <c r="AX5" i="116"/>
  <c r="E19" i="109"/>
  <c r="E19" i="134" s="1"/>
  <c r="D19" i="134"/>
  <c r="F19" i="134" s="1"/>
  <c r="G19" i="134" s="1"/>
  <c r="AY66" i="116"/>
  <c r="E30" i="115"/>
  <c r="E26" i="115"/>
  <c r="AD20" i="116"/>
  <c r="AD64" i="116"/>
  <c r="E23" i="109"/>
  <c r="E23" i="134" s="1"/>
  <c r="N245" i="108"/>
  <c r="N682" i="108"/>
  <c r="G31" i="109"/>
  <c r="AV22" i="123"/>
  <c r="AV28" i="123"/>
  <c r="AV10" i="123"/>
  <c r="N57" i="108"/>
  <c r="N63" i="108"/>
  <c r="N66" i="108"/>
  <c r="N72" i="108"/>
  <c r="N479" i="108"/>
  <c r="N76" i="108"/>
  <c r="N679" i="108"/>
  <c r="N60" i="108"/>
  <c r="N375" i="108"/>
  <c r="N69" i="108"/>
  <c r="N395" i="108"/>
  <c r="AV16" i="123"/>
  <c r="N76" i="110"/>
  <c r="N42" i="110"/>
  <c r="N297" i="110"/>
  <c r="N308" i="110"/>
  <c r="H34" i="109"/>
  <c r="G34" i="109"/>
  <c r="N48" i="108"/>
  <c r="C35" i="109"/>
  <c r="G33" i="109"/>
  <c r="H33" i="109"/>
  <c r="L861" i="108"/>
  <c r="AV8" i="123"/>
  <c r="AV21" i="123"/>
  <c r="N425" i="108"/>
  <c r="AV20" i="123"/>
  <c r="AV12" i="123"/>
  <c r="AV11" i="123"/>
  <c r="H12" i="109"/>
  <c r="G12" i="109"/>
  <c r="C14" i="109"/>
  <c r="M305" i="110"/>
  <c r="J305" i="110"/>
  <c r="I305" i="110"/>
  <c r="H305" i="110"/>
  <c r="L305" i="110"/>
  <c r="O305" i="110"/>
  <c r="I477" i="110" s="1"/>
  <c r="K305" i="110"/>
  <c r="N15" i="108"/>
  <c r="N12" i="108"/>
  <c r="AD45" i="116"/>
  <c r="M861" i="108"/>
  <c r="AD17" i="116"/>
  <c r="AD26" i="116"/>
  <c r="I861" i="108"/>
  <c r="D33" i="109" s="1"/>
  <c r="D33" i="134" s="1"/>
  <c r="F33" i="134" s="1"/>
  <c r="G33" i="134" s="1"/>
  <c r="N410" i="110"/>
  <c r="S39" i="116"/>
  <c r="M404" i="110" s="1"/>
  <c r="N296" i="110"/>
  <c r="N11" i="108"/>
  <c r="H424" i="110"/>
  <c r="N303" i="110"/>
  <c r="K861" i="108"/>
  <c r="AD47" i="116"/>
  <c r="AD18" i="116"/>
  <c r="Q25" i="116"/>
  <c r="K390" i="110" s="1"/>
  <c r="N390" i="110" s="1"/>
  <c r="J477" i="110"/>
  <c r="N399" i="110"/>
  <c r="N307" i="110"/>
  <c r="M479" i="110"/>
  <c r="N293" i="110"/>
  <c r="N300" i="110"/>
  <c r="G449" i="110"/>
  <c r="G475" i="110" s="1"/>
  <c r="M432" i="110"/>
  <c r="N432" i="110" s="1"/>
  <c r="AD67" i="116"/>
  <c r="M381" i="110"/>
  <c r="N381" i="110" s="1"/>
  <c r="AD16" i="116"/>
  <c r="K436" i="110"/>
  <c r="AD71" i="116"/>
  <c r="AD72" i="116"/>
  <c r="K437" i="110"/>
  <c r="N437" i="110" s="1"/>
  <c r="N436" i="110"/>
  <c r="J861" i="108"/>
  <c r="D34" i="109" s="1"/>
  <c r="J479" i="110"/>
  <c r="E480" i="110"/>
  <c r="L478" i="110"/>
  <c r="S59" i="116"/>
  <c r="M424" i="110" s="1"/>
  <c r="AD63" i="116"/>
  <c r="N298" i="110"/>
  <c r="N301" i="110"/>
  <c r="AD27" i="116"/>
  <c r="AD60" i="116"/>
  <c r="N392" i="110"/>
  <c r="N291" i="110"/>
  <c r="AD81" i="116"/>
  <c r="AD34" i="116"/>
  <c r="AD32" i="116"/>
  <c r="AD52" i="116"/>
  <c r="AD57" i="116"/>
  <c r="N299" i="110"/>
  <c r="N393" i="110"/>
  <c r="N304" i="110"/>
  <c r="AD28" i="116"/>
  <c r="M380" i="110"/>
  <c r="AD15" i="116"/>
  <c r="K404" i="110"/>
  <c r="AD39" i="116"/>
  <c r="N380" i="110"/>
  <c r="N428" i="110"/>
  <c r="N415" i="110"/>
  <c r="L864" i="108"/>
  <c r="D863" i="108"/>
  <c r="E863" i="108"/>
  <c r="I864" i="108"/>
  <c r="L396" i="110"/>
  <c r="N396" i="110" s="1"/>
  <c r="AD31" i="116"/>
  <c r="K372" i="110"/>
  <c r="N372" i="110" s="1"/>
  <c r="AD7" i="116"/>
  <c r="AD10" i="116"/>
  <c r="E478" i="110"/>
  <c r="D477" i="110"/>
  <c r="N389" i="110"/>
  <c r="N14" i="108"/>
  <c r="K422" i="110"/>
  <c r="N422" i="110" s="1"/>
  <c r="M384" i="110"/>
  <c r="N384" i="110" s="1"/>
  <c r="N305" i="110"/>
  <c r="N409" i="110"/>
  <c r="AD69" i="116"/>
  <c r="N412" i="110"/>
  <c r="N292" i="110"/>
  <c r="D478" i="110"/>
  <c r="AD66" i="116"/>
  <c r="N417" i="110"/>
  <c r="N401" i="110"/>
  <c r="AD48" i="116"/>
  <c r="H479" i="110"/>
  <c r="J864" i="108"/>
  <c r="F480" i="110"/>
  <c r="F479" i="110"/>
  <c r="AD43" i="116"/>
  <c r="K375" i="110"/>
  <c r="N306" i="110"/>
  <c r="I379" i="110"/>
  <c r="E17" i="109"/>
  <c r="E17" i="134" s="1"/>
  <c r="K479" i="110"/>
  <c r="N382" i="110"/>
  <c r="I31" i="115"/>
  <c r="E28" i="115"/>
  <c r="E31" i="115" s="1"/>
  <c r="C29" i="115"/>
  <c r="N385" i="110"/>
  <c r="N425" i="110"/>
  <c r="N408" i="110"/>
  <c r="N413" i="110"/>
  <c r="K35" i="115"/>
  <c r="K37" i="115" s="1"/>
  <c r="D35" i="109"/>
  <c r="N294" i="110"/>
  <c r="N13" i="108"/>
  <c r="C30" i="115"/>
  <c r="K405" i="110"/>
  <c r="AD40" i="116"/>
  <c r="D480" i="110"/>
  <c r="Q76" i="116"/>
  <c r="K440" i="110" s="1"/>
  <c r="H440" i="110"/>
  <c r="Q8" i="116"/>
  <c r="H373" i="110"/>
  <c r="S11" i="116"/>
  <c r="M376" i="110" s="1"/>
  <c r="J376" i="110"/>
  <c r="S14" i="116"/>
  <c r="M379" i="110" s="1"/>
  <c r="J379" i="110"/>
  <c r="N391" i="110"/>
  <c r="I420" i="110"/>
  <c r="R55" i="116"/>
  <c r="Q65" i="116"/>
  <c r="H430" i="110"/>
  <c r="I377" i="110"/>
  <c r="R12" i="116"/>
  <c r="S56" i="116"/>
  <c r="J421" i="110"/>
  <c r="Q30" i="116"/>
  <c r="K395" i="110" s="1"/>
  <c r="H447" i="110"/>
  <c r="Q83" i="116"/>
  <c r="S80" i="116"/>
  <c r="J444" i="110"/>
  <c r="AD51" i="116"/>
  <c r="K416" i="110"/>
  <c r="N416" i="110" s="1"/>
  <c r="H864" i="108"/>
  <c r="M863" i="108"/>
  <c r="M864" i="108"/>
  <c r="L863" i="108"/>
  <c r="H861" i="108"/>
  <c r="F477" i="110"/>
  <c r="E477" i="110"/>
  <c r="D479" i="110"/>
  <c r="I479" i="110"/>
  <c r="K478" i="110"/>
  <c r="K394" i="110"/>
  <c r="N394" i="110" s="1"/>
  <c r="AD29" i="116"/>
  <c r="AD42" i="116"/>
  <c r="Q5" i="116"/>
  <c r="H370" i="110"/>
  <c r="S9" i="116"/>
  <c r="M374" i="110" s="1"/>
  <c r="J374" i="110"/>
  <c r="N375" i="110"/>
  <c r="H376" i="110"/>
  <c r="H379" i="110"/>
  <c r="Q14" i="116"/>
  <c r="H388" i="110"/>
  <c r="Q23" i="116"/>
  <c r="J426" i="110"/>
  <c r="S61" i="116"/>
  <c r="R78" i="116"/>
  <c r="L442" i="110" s="1"/>
  <c r="I442" i="110"/>
  <c r="R21" i="116"/>
  <c r="L386" i="110" s="1"/>
  <c r="N386" i="110" s="1"/>
  <c r="H441" i="110"/>
  <c r="Q77" i="116"/>
  <c r="K441" i="110" s="1"/>
  <c r="S84" i="116"/>
  <c r="J448" i="110"/>
  <c r="J443" i="110"/>
  <c r="S79" i="116"/>
  <c r="M443" i="110" s="1"/>
  <c r="AD53" i="116"/>
  <c r="BN9" i="123"/>
  <c r="AV9" i="123"/>
  <c r="AV13" i="123"/>
  <c r="BN13" i="123"/>
  <c r="K863" i="108"/>
  <c r="D864" i="108"/>
  <c r="F863" i="108"/>
  <c r="G863" i="108" s="1"/>
  <c r="K864" i="108"/>
  <c r="N10" i="108"/>
  <c r="N445" i="110"/>
  <c r="M478" i="110"/>
  <c r="K434" i="110"/>
  <c r="N434" i="110" s="1"/>
  <c r="AD36" i="116"/>
  <c r="F478" i="110"/>
  <c r="G478" i="110" s="1"/>
  <c r="F864" i="108"/>
  <c r="E864" i="108"/>
  <c r="AD50" i="116"/>
  <c r="H477" i="110"/>
  <c r="N397" i="110"/>
  <c r="AD24" i="116"/>
  <c r="E479" i="110"/>
  <c r="N302" i="110"/>
  <c r="N383" i="110"/>
  <c r="S23" i="116"/>
  <c r="M388" i="110" s="1"/>
  <c r="N295" i="110"/>
  <c r="J430" i="110"/>
  <c r="I418" i="110"/>
  <c r="Q73" i="116"/>
  <c r="AD73" i="116" s="1"/>
  <c r="H429" i="110"/>
  <c r="N429" i="110" s="1"/>
  <c r="S38" i="116"/>
  <c r="M403" i="110" s="1"/>
  <c r="N403" i="110" s="1"/>
  <c r="N407" i="110"/>
  <c r="J406" i="110"/>
  <c r="S41" i="116"/>
  <c r="H433" i="110"/>
  <c r="N433" i="110" s="1"/>
  <c r="AD68" i="116"/>
  <c r="AD44" i="116"/>
  <c r="S6" i="116"/>
  <c r="M371" i="110" s="1"/>
  <c r="J371" i="110"/>
  <c r="Q9" i="116"/>
  <c r="H374" i="110"/>
  <c r="J378" i="110"/>
  <c r="S13" i="116"/>
  <c r="M378" i="110" s="1"/>
  <c r="N405" i="110"/>
  <c r="H443" i="110"/>
  <c r="S78" i="116"/>
  <c r="M442" i="110" s="1"/>
  <c r="J442" i="110"/>
  <c r="I446" i="110"/>
  <c r="R82" i="116"/>
  <c r="L402" i="110"/>
  <c r="N402" i="110" s="1"/>
  <c r="AD37" i="116"/>
  <c r="R33" i="116"/>
  <c r="I398" i="110"/>
  <c r="J435" i="110"/>
  <c r="N435" i="110" s="1"/>
  <c r="AD70" i="116"/>
  <c r="H419" i="110"/>
  <c r="N419" i="110" s="1"/>
  <c r="AD54" i="116"/>
  <c r="H378" i="110"/>
  <c r="Q13" i="116"/>
  <c r="H387" i="110"/>
  <c r="Q22" i="116"/>
  <c r="K387" i="110" s="1"/>
  <c r="Q46" i="116"/>
  <c r="H411" i="110"/>
  <c r="R11" i="116"/>
  <c r="L376" i="110" s="1"/>
  <c r="I376" i="110"/>
  <c r="R35" i="116"/>
  <c r="L400" i="110" s="1"/>
  <c r="I400" i="110"/>
  <c r="S58" i="116"/>
  <c r="M423" i="110" s="1"/>
  <c r="J423" i="110"/>
  <c r="AV15" i="123"/>
  <c r="BN15" i="123"/>
  <c r="AV14" i="123"/>
  <c r="N431" i="110"/>
  <c r="O58" i="116"/>
  <c r="O30" i="116"/>
  <c r="N404" i="110" l="1"/>
  <c r="AD25" i="116"/>
  <c r="C19" i="115"/>
  <c r="AD79" i="116"/>
  <c r="R62" i="116"/>
  <c r="I427" i="110"/>
  <c r="J439" i="110"/>
  <c r="S75" i="116"/>
  <c r="M439" i="110" s="1"/>
  <c r="R59" i="116"/>
  <c r="L424" i="110" s="1"/>
  <c r="I424" i="110"/>
  <c r="S83" i="116"/>
  <c r="M447" i="110" s="1"/>
  <c r="J447" i="110"/>
  <c r="AD19" i="116"/>
  <c r="R75" i="116"/>
  <c r="I439" i="110"/>
  <c r="I440" i="110"/>
  <c r="R76" i="116"/>
  <c r="L440" i="110" s="1"/>
  <c r="J438" i="110"/>
  <c r="S74" i="116"/>
  <c r="E33" i="109"/>
  <c r="E33" i="134" s="1"/>
  <c r="E34" i="109"/>
  <c r="E34" i="134" s="1"/>
  <c r="D34" i="134"/>
  <c r="F34" i="134" s="1"/>
  <c r="G34" i="134" s="1"/>
  <c r="E35" i="109"/>
  <c r="E35" i="134" s="1"/>
  <c r="D35" i="134"/>
  <c r="F35" i="134" s="1"/>
  <c r="G35" i="134" s="1"/>
  <c r="Q49" i="116"/>
  <c r="H414" i="110"/>
  <c r="AD59" i="116"/>
  <c r="L479" i="110"/>
  <c r="N478" i="110"/>
  <c r="G35" i="109"/>
  <c r="H35" i="109"/>
  <c r="C37" i="109"/>
  <c r="G14" i="109"/>
  <c r="H14" i="109"/>
  <c r="C25" i="109"/>
  <c r="AD22" i="116"/>
  <c r="G480" i="110"/>
  <c r="N424" i="110"/>
  <c r="N863" i="108"/>
  <c r="J449" i="110"/>
  <c r="J452" i="110" s="1"/>
  <c r="N443" i="110"/>
  <c r="AD21" i="116"/>
  <c r="G477" i="110"/>
  <c r="C31" i="115"/>
  <c r="N400" i="110"/>
  <c r="N418" i="110"/>
  <c r="I423" i="110"/>
  <c r="R58" i="116"/>
  <c r="L423" i="110" s="1"/>
  <c r="N387" i="110"/>
  <c r="L398" i="110"/>
  <c r="AD33" i="116"/>
  <c r="AD9" i="116"/>
  <c r="K374" i="110"/>
  <c r="N374" i="110" s="1"/>
  <c r="G864" i="108"/>
  <c r="N864" i="108" s="1"/>
  <c r="AD77" i="116"/>
  <c r="AD78" i="116"/>
  <c r="AD35" i="116"/>
  <c r="M421" i="110"/>
  <c r="AD56" i="116"/>
  <c r="K430" i="110"/>
  <c r="AD65" i="116"/>
  <c r="AD76" i="116"/>
  <c r="I395" i="110"/>
  <c r="R30" i="116"/>
  <c r="L395" i="110" s="1"/>
  <c r="K411" i="110"/>
  <c r="N411" i="110" s="1"/>
  <c r="AD46" i="116"/>
  <c r="K378" i="110"/>
  <c r="N378" i="110" s="1"/>
  <c r="AD13" i="116"/>
  <c r="L446" i="110"/>
  <c r="N446" i="110" s="1"/>
  <c r="AD82" i="116"/>
  <c r="AD6" i="116"/>
  <c r="AD84" i="116"/>
  <c r="M448" i="110"/>
  <c r="N448" i="110" s="1"/>
  <c r="N442" i="110"/>
  <c r="K388" i="110"/>
  <c r="AD23" i="116"/>
  <c r="N376" i="110"/>
  <c r="G479" i="110"/>
  <c r="D31" i="109"/>
  <c r="D31" i="134" s="1"/>
  <c r="F31" i="134" s="1"/>
  <c r="G31" i="134" s="1"/>
  <c r="N861" i="108"/>
  <c r="M444" i="110"/>
  <c r="N444" i="110" s="1"/>
  <c r="AD80" i="116"/>
  <c r="AD12" i="116"/>
  <c r="L377" i="110"/>
  <c r="L420" i="110"/>
  <c r="N420" i="110" s="1"/>
  <c r="AD55" i="116"/>
  <c r="K373" i="110"/>
  <c r="N373" i="110" s="1"/>
  <c r="AD8" i="116"/>
  <c r="N371" i="110"/>
  <c r="J480" i="110"/>
  <c r="N388" i="110"/>
  <c r="AD11" i="116"/>
  <c r="H480" i="110"/>
  <c r="H449" i="110"/>
  <c r="N477" i="110"/>
  <c r="AD83" i="116"/>
  <c r="K447" i="110"/>
  <c r="N447" i="110" s="1"/>
  <c r="N440" i="110"/>
  <c r="M406" i="110"/>
  <c r="AD41" i="116"/>
  <c r="AD38" i="116"/>
  <c r="I480" i="110"/>
  <c r="N441" i="110"/>
  <c r="AD61" i="116"/>
  <c r="M426" i="110"/>
  <c r="N426" i="110" s="1"/>
  <c r="K379" i="110"/>
  <c r="N379" i="110" s="1"/>
  <c r="AD14" i="116"/>
  <c r="AD5" i="116"/>
  <c r="K370" i="110"/>
  <c r="N370" i="110" s="1"/>
  <c r="N421" i="110"/>
  <c r="N430" i="110"/>
  <c r="N479" i="110" l="1"/>
  <c r="L427" i="110"/>
  <c r="N427" i="110" s="1"/>
  <c r="AD62" i="116"/>
  <c r="M438" i="110"/>
  <c r="N438" i="110" s="1"/>
  <c r="AD74" i="116"/>
  <c r="L439" i="110"/>
  <c r="N439" i="110" s="1"/>
  <c r="AD75" i="116"/>
  <c r="K414" i="110"/>
  <c r="N414" i="110" s="1"/>
  <c r="AD49" i="116"/>
  <c r="G37" i="109"/>
  <c r="H37" i="109"/>
  <c r="C39" i="109"/>
  <c r="N377" i="110"/>
  <c r="AD58" i="116"/>
  <c r="N395" i="110"/>
  <c r="N423" i="110"/>
  <c r="I449" i="110"/>
  <c r="AD30" i="116"/>
  <c r="N398" i="110"/>
  <c r="J465" i="110"/>
  <c r="J461" i="110"/>
  <c r="J457" i="110"/>
  <c r="J473" i="110"/>
  <c r="J459" i="110"/>
  <c r="J468" i="110"/>
  <c r="J469" i="110"/>
  <c r="J462" i="110"/>
  <c r="J453" i="110"/>
  <c r="J458" i="110"/>
  <c r="J466" i="110"/>
  <c r="J472" i="110"/>
  <c r="J454" i="110"/>
  <c r="J471" i="110"/>
  <c r="J456" i="110"/>
  <c r="J467" i="110"/>
  <c r="J463" i="110"/>
  <c r="J464" i="110"/>
  <c r="J470" i="110"/>
  <c r="J455" i="110"/>
  <c r="J460" i="110"/>
  <c r="N406" i="110"/>
  <c r="H452" i="110"/>
  <c r="E31" i="109"/>
  <c r="E31" i="134" s="1"/>
  <c r="D37" i="109"/>
  <c r="M449" i="110" l="1"/>
  <c r="K480" i="110"/>
  <c r="L480" i="110"/>
  <c r="M480" i="110"/>
  <c r="L449" i="110"/>
  <c r="L452" i="110" s="1"/>
  <c r="L457" i="110" s="1"/>
  <c r="K449" i="110"/>
  <c r="E37" i="109"/>
  <c r="E37" i="134" s="1"/>
  <c r="D37" i="134"/>
  <c r="F37" i="134" s="1"/>
  <c r="G37" i="134" s="1"/>
  <c r="I452" i="110"/>
  <c r="H460" i="110"/>
  <c r="H462" i="110"/>
  <c r="H456" i="110"/>
  <c r="H453" i="110"/>
  <c r="H469" i="110"/>
  <c r="H464" i="110"/>
  <c r="H472" i="110"/>
  <c r="H465" i="110"/>
  <c r="H459" i="110"/>
  <c r="H470" i="110"/>
  <c r="H466" i="110"/>
  <c r="H458" i="110"/>
  <c r="H457" i="110"/>
  <c r="H473" i="110"/>
  <c r="H468" i="110"/>
  <c r="H461" i="110"/>
  <c r="H454" i="110"/>
  <c r="H471" i="110"/>
  <c r="H455" i="110"/>
  <c r="H467" i="110"/>
  <c r="H463" i="110"/>
  <c r="J474" i="110"/>
  <c r="M452" i="110"/>
  <c r="L458" i="110" l="1"/>
  <c r="L453" i="110"/>
  <c r="L466" i="110"/>
  <c r="L454" i="110"/>
  <c r="L463" i="110"/>
  <c r="L469" i="110"/>
  <c r="L470" i="110"/>
  <c r="L465" i="110"/>
  <c r="L467" i="110"/>
  <c r="L456" i="110"/>
  <c r="L472" i="110"/>
  <c r="L473" i="110"/>
  <c r="L464" i="110"/>
  <c r="L461" i="110"/>
  <c r="L459" i="110"/>
  <c r="L455" i="110"/>
  <c r="L460" i="110"/>
  <c r="L468" i="110"/>
  <c r="L471" i="110"/>
  <c r="L462" i="110"/>
  <c r="N480" i="110"/>
  <c r="N449" i="110"/>
  <c r="K452" i="110"/>
  <c r="K466" i="110" s="1"/>
  <c r="M455" i="110"/>
  <c r="M463" i="110"/>
  <c r="M469" i="110"/>
  <c r="M465" i="110"/>
  <c r="M462" i="110"/>
  <c r="M454" i="110"/>
  <c r="M466" i="110"/>
  <c r="M461" i="110"/>
  <c r="M456" i="110"/>
  <c r="M458" i="110"/>
  <c r="M471" i="110"/>
  <c r="M457" i="110"/>
  <c r="M470" i="110"/>
  <c r="M464" i="110"/>
  <c r="M473" i="110"/>
  <c r="M467" i="110"/>
  <c r="M468" i="110"/>
  <c r="M472" i="110"/>
  <c r="M460" i="110"/>
  <c r="M453" i="110"/>
  <c r="M459" i="110"/>
  <c r="I471" i="110"/>
  <c r="I455" i="110"/>
  <c r="I466" i="110"/>
  <c r="I453" i="110"/>
  <c r="I467" i="110"/>
  <c r="I459" i="110"/>
  <c r="I465" i="110"/>
  <c r="I470" i="110"/>
  <c r="I463" i="110"/>
  <c r="I462" i="110"/>
  <c r="I469" i="110"/>
  <c r="I460" i="110"/>
  <c r="I468" i="110"/>
  <c r="I472" i="110"/>
  <c r="I473" i="110"/>
  <c r="I464" i="110"/>
  <c r="I456" i="110"/>
  <c r="I457" i="110"/>
  <c r="I458" i="110"/>
  <c r="I461" i="110"/>
  <c r="I454" i="110"/>
  <c r="K461" i="110"/>
  <c r="K467" i="110"/>
  <c r="K473" i="110"/>
  <c r="K469" i="110"/>
  <c r="J481" i="110"/>
  <c r="J475" i="110"/>
  <c r="D13" i="109" s="1"/>
  <c r="D22" i="115"/>
  <c r="D33" i="115"/>
  <c r="H474" i="110"/>
  <c r="K459" i="110" l="1"/>
  <c r="N459" i="110" s="1"/>
  <c r="K463" i="110"/>
  <c r="L474" i="110"/>
  <c r="L481" i="110" s="1"/>
  <c r="K458" i="110"/>
  <c r="N458" i="110" s="1"/>
  <c r="K462" i="110"/>
  <c r="N462" i="110" s="1"/>
  <c r="K468" i="110"/>
  <c r="N468" i="110" s="1"/>
  <c r="K460" i="110"/>
  <c r="N460" i="110" s="1"/>
  <c r="K465" i="110"/>
  <c r="K455" i="110"/>
  <c r="K472" i="110"/>
  <c r="N472" i="110" s="1"/>
  <c r="K453" i="110"/>
  <c r="N453" i="110" s="1"/>
  <c r="K470" i="110"/>
  <c r="K456" i="110"/>
  <c r="N456" i="110" s="1"/>
  <c r="K464" i="110"/>
  <c r="N464" i="110" s="1"/>
  <c r="K457" i="110"/>
  <c r="N457" i="110" s="1"/>
  <c r="K471" i="110"/>
  <c r="K454" i="110"/>
  <c r="N454" i="110" s="1"/>
  <c r="E13" i="109"/>
  <c r="E13" i="134" s="1"/>
  <c r="D13" i="134"/>
  <c r="F13" i="134" s="1"/>
  <c r="G13" i="134" s="1"/>
  <c r="N467" i="110"/>
  <c r="N471" i="110"/>
  <c r="N461" i="110"/>
  <c r="N470" i="110"/>
  <c r="L475" i="110"/>
  <c r="N469" i="110"/>
  <c r="H33" i="115"/>
  <c r="H35" i="115" s="1"/>
  <c r="H37" i="115" s="1"/>
  <c r="D44" i="115" s="1"/>
  <c r="N465" i="110"/>
  <c r="N473" i="110"/>
  <c r="I474" i="110"/>
  <c r="E33" i="115"/>
  <c r="J33" i="115" s="1"/>
  <c r="J35" i="115" s="1"/>
  <c r="J37" i="115" s="1"/>
  <c r="D45" i="115" s="1"/>
  <c r="N455" i="110"/>
  <c r="D35" i="115"/>
  <c r="D37" i="115" s="1"/>
  <c r="G22" i="115"/>
  <c r="G35" i="115" s="1"/>
  <c r="G37" i="115" s="1"/>
  <c r="C44" i="115" s="1"/>
  <c r="H481" i="110"/>
  <c r="H475" i="110"/>
  <c r="D9" i="109" s="1"/>
  <c r="N463" i="110"/>
  <c r="N466" i="110"/>
  <c r="M474" i="110"/>
  <c r="E22" i="115"/>
  <c r="K474" i="110" l="1"/>
  <c r="K475" i="110" s="1"/>
  <c r="D9" i="134"/>
  <c r="F9" i="134" s="1"/>
  <c r="G9" i="134" s="1"/>
  <c r="D38" i="115"/>
  <c r="D39" i="115" s="1"/>
  <c r="E35" i="115"/>
  <c r="E37" i="115" s="1"/>
  <c r="I22" i="115"/>
  <c r="I35" i="115" s="1"/>
  <c r="I37" i="115" s="1"/>
  <c r="C45" i="115" s="1"/>
  <c r="E45" i="115" s="1"/>
  <c r="E44" i="115"/>
  <c r="I55" i="115"/>
  <c r="E9" i="109"/>
  <c r="E9" i="134" s="1"/>
  <c r="M481" i="110"/>
  <c r="M475" i="110"/>
  <c r="I481" i="110"/>
  <c r="I475" i="110"/>
  <c r="D12" i="109" s="1"/>
  <c r="D12" i="134" s="1"/>
  <c r="F12" i="134" s="1"/>
  <c r="G12" i="134" s="1"/>
  <c r="K481" i="110"/>
  <c r="C22" i="115"/>
  <c r="D46" i="115"/>
  <c r="C33" i="115"/>
  <c r="C35" i="115" l="1"/>
  <c r="C37" i="115" s="1"/>
  <c r="D14" i="109"/>
  <c r="D14" i="134" s="1"/>
  <c r="F14" i="134" s="1"/>
  <c r="G14" i="134" s="1"/>
  <c r="E12" i="109"/>
  <c r="E12" i="134" s="1"/>
  <c r="C46" i="115"/>
  <c r="E49" i="115" l="1"/>
  <c r="E14" i="109"/>
  <c r="E14" i="134" s="1"/>
  <c r="D25" i="109"/>
  <c r="D25" i="134" s="1"/>
  <c r="F25" i="134" s="1"/>
  <c r="G25" i="134" s="1"/>
  <c r="E46" i="115"/>
  <c r="D47" i="115" s="1"/>
  <c r="D48" i="115" s="1"/>
  <c r="E25" i="109" l="1"/>
  <c r="E25" i="134" s="1"/>
  <c r="D39" i="109"/>
  <c r="C47" i="115"/>
  <c r="D41" i="134" l="1"/>
  <c r="F41" i="134" s="1"/>
  <c r="G41" i="134" s="1"/>
  <c r="C38" i="115"/>
  <c r="E47" i="115"/>
  <c r="C48" i="115"/>
  <c r="E48" i="115" s="1"/>
  <c r="C49" i="115"/>
  <c r="D49" i="115" s="1"/>
  <c r="G55" i="115"/>
  <c r="E39" i="109"/>
  <c r="E41" i="134" s="1"/>
  <c r="B39" i="115" l="1"/>
  <c r="C39" i="115"/>
  <c r="G49" i="115"/>
</calcChain>
</file>

<file path=xl/sharedStrings.xml><?xml version="1.0" encoding="utf-8"?>
<sst xmlns="http://schemas.openxmlformats.org/spreadsheetml/2006/main" count="8200" uniqueCount="3385">
  <si>
    <t>SERRANO-VILLA PARK No. 2</t>
  </si>
  <si>
    <t>TOTAL 220kV T/L'S</t>
  </si>
  <si>
    <t>161kV TRANSMISSION LINES</t>
  </si>
  <si>
    <t>EAGLE MOUNTAIN-BLYTHE</t>
  </si>
  <si>
    <t>TOTAL 161kV T/L'S</t>
  </si>
  <si>
    <t>115kV TRANSMISSION LINES</t>
  </si>
  <si>
    <t>CONTROL-HAIWEE-INYOKERN No. 1</t>
  </si>
  <si>
    <t>CONTROL-HAIWEE-INYOKERN No. 2</t>
  </si>
  <si>
    <t>CONTROL-INYO (DWP)</t>
  </si>
  <si>
    <t>COOLWATER-SEGS 2-TORTILLA</t>
  </si>
  <si>
    <t>DEVERS-GARNET-VENWIND</t>
  </si>
  <si>
    <t>ELDORADO-BAKER-CLWTR-DUNN-MT.PASS</t>
  </si>
  <si>
    <t>TOTAL ELDO-BAK-CLWTR-DUNN-MT.PASS</t>
  </si>
  <si>
    <t>KRAMER-COOL WATER</t>
  </si>
  <si>
    <t>KRAMER-INYOKERN-RANDSBURG No. 1</t>
  </si>
  <si>
    <t>KRAMER-INYOKERN-RANDSBURG No. 3</t>
  </si>
  <si>
    <t>KRAMER-ROADWAY-VICTOR</t>
  </si>
  <si>
    <t>KRAMER-TORTILLA</t>
  </si>
  <si>
    <t>KRAMER-VICTOR</t>
  </si>
  <si>
    <t>TOTAL 115kV T/L'S</t>
  </si>
  <si>
    <t>55kV TRANSMISSION LINES</t>
  </si>
  <si>
    <t>CONTROL-SILVER PEAK "A" - CALIF</t>
  </si>
  <si>
    <t>CONTROL-SILVER PEAK "C" - CALIF</t>
  </si>
  <si>
    <t>TOTAL 55kV T/L'S</t>
  </si>
  <si>
    <t>GRAND TOTAL</t>
  </si>
  <si>
    <t>115kV TRANSMISSION LINES WHICH WILL CONVERT TO NON-ISO DUE TO THE IMPLEMENTATION OF THE DEVERS MIRAGE PROJECT</t>
  </si>
  <si>
    <t>CONCHO-INDIAN WELLS</t>
  </si>
  <si>
    <t>CONCHO-INDIAN WELLS-SANTA ROSA</t>
  </si>
  <si>
    <t>TOTAL CONCHO-INDIAN WELLS-SANTA ROSA</t>
  </si>
  <si>
    <t>DEVERS-EISENHOWER</t>
  </si>
  <si>
    <t>DEVERS-GARNET-INDIGO</t>
  </si>
  <si>
    <t>EISENHOWER-FARRELL</t>
  </si>
  <si>
    <t>EISENHOWER-THORNHILL</t>
  </si>
  <si>
    <t>MIRAGE-TAMARISK</t>
  </si>
  <si>
    <t>SANTA ROSA-TAMARISK</t>
  </si>
  <si>
    <t>TAMARISK-THORNHILL</t>
  </si>
  <si>
    <t>TOTAL TAMARISK-THORNHILL</t>
  </si>
  <si>
    <t>DEVERS-FARRELL-WINDLAND</t>
  </si>
  <si>
    <t>TOTAL DEVERS-FARRELL-WINDLAND</t>
  </si>
  <si>
    <t>SUB TOTAL OF 115kV T/L'S Non ISO</t>
  </si>
  <si>
    <t>66kV TRANSMISSION LINES WHICH WILL CONVERT TO NON-ISO DUE TO THE IMPLEMENTATION OF THE EKWRA &amp; ANTELOPE BAILEY PROJECT</t>
  </si>
  <si>
    <t>BAILEY-NEENACH-WESTPAC</t>
  </si>
  <si>
    <t>ANTELOPE-ACTON-PALMDALE-SHUTTLE</t>
  </si>
  <si>
    <t>ANTELOPE-ANAVERDE</t>
  </si>
  <si>
    <t>ANTELOPE-ANAVERDE-HELIJET</t>
  </si>
  <si>
    <t>ANTELOPE-CAL CEMENT</t>
  </si>
  <si>
    <t>ANTELOPE-DEL SUR</t>
  </si>
  <si>
    <t>ANTELOPE-DEL SUR-ROSAMOND</t>
  </si>
  <si>
    <t>ANTELOPE-LANCASTER-LANPRI-SHUTTLE</t>
  </si>
  <si>
    <t>*OH</t>
  </si>
  <si>
    <t>*UG</t>
  </si>
  <si>
    <t>TOTAL ANTELOPE-LANCASTER-LANPRI-SHUTTLE</t>
  </si>
  <si>
    <t>ANTELOPE-OASIS-PALMDALE-QUARTZ HILL</t>
  </si>
  <si>
    <t>ANTELOPE-ROSAMOND</t>
  </si>
  <si>
    <t>ANTELOPE-SHUTTLE</t>
  </si>
  <si>
    <t>BAILEY-GORMAN</t>
  </si>
  <si>
    <t>CAL CEMENT-GOLDTOWN-MONOLITH-W/LAND</t>
  </si>
  <si>
    <t>TOTAL CAL CEMENT-GOLDTOWN MONOLITH-WINDLANDS</t>
  </si>
  <si>
    <t>CAL CEMENT-MONOLITH-ROSAMOND-W/FARM</t>
  </si>
  <si>
    <t>TOTAL CAL CEMENT-MONOLITH-ROSAMOND-W/FARM</t>
  </si>
  <si>
    <t>CAL CEMENT-MONOLITH-WINDPARK</t>
  </si>
  <si>
    <t>TOTAL CAL CEMENT-MONOLITH-WINDPARK</t>
  </si>
  <si>
    <t>CORUM-GOLDTOWN</t>
  </si>
  <si>
    <t>CORUM-ROSAMOND</t>
  </si>
  <si>
    <t>CUMMINGS-MONOLITH</t>
  </si>
  <si>
    <t>DEL SUR-LANCASTER-RITE AID</t>
  </si>
  <si>
    <t>GOLDTOWN-LANCASTER</t>
  </si>
  <si>
    <t>GORMAN-KERN RIVER No. 1</t>
  </si>
  <si>
    <t>TOTAL GORMAN-KERN RIVER No. 1</t>
  </si>
  <si>
    <t>HELIJET-LITTLE ROCK-PALMDALE-ROCKAIR</t>
  </si>
  <si>
    <t>LANCASTER-LITTLE ROCK-PIUTE</t>
  </si>
  <si>
    <t>TOTAL LANCASTER-LITTLE ROCK-PIUTE</t>
  </si>
  <si>
    <t>PIUTE-REDMAN</t>
  </si>
  <si>
    <t>Indicates only the portion of the circuit that is considered under ISO control.</t>
  </si>
  <si>
    <t>TRANSMISSION LINE COST BY</t>
  </si>
  <si>
    <t xml:space="preserve">OPERATING VOLTAGE / LOCATION NO. </t>
  </si>
  <si>
    <t>OPERATING VOLTAGE /</t>
  </si>
  <si>
    <t>COST PER</t>
  </si>
  <si>
    <t>LOCATION NO.</t>
  </si>
  <si>
    <t>MILE</t>
  </si>
  <si>
    <t>CIRCUITS</t>
  </si>
  <si>
    <t>1000 kV TRANSMISSION LINES</t>
  </si>
  <si>
    <t>500 kV TRANSMISSION LINES</t>
  </si>
  <si>
    <t>No Mileage in DPB1519</t>
  </si>
  <si>
    <t>220 kV TRANSMISSION LINES</t>
  </si>
  <si>
    <t>Chino-San Onofre Circuit divided into Chino-Viejo (53.73%) and San Onofre-Viejo (46.27%)</t>
  </si>
  <si>
    <t>Designed at 500kV</t>
  </si>
  <si>
    <t>Does Not show on DPB1519</t>
  </si>
  <si>
    <t>TOTAL 230kV T/L'S</t>
  </si>
  <si>
    <t>*  Cost allocated between operating voltages by pole miles.</t>
  </si>
  <si>
    <t>161 kV TRANSMISSION LINES</t>
  </si>
  <si>
    <t>115 kV TRANSMISSION LINES</t>
  </si>
  <si>
    <t>*Designed at 220kV</t>
  </si>
  <si>
    <t>OH*</t>
  </si>
  <si>
    <t>UG*</t>
  </si>
  <si>
    <t>66 / 55 / 33 kV TRANSMISSION LINES</t>
  </si>
  <si>
    <t>Lytle Creek 12kV Line</t>
  </si>
  <si>
    <t>*Designed at 115kV</t>
  </si>
  <si>
    <t xml:space="preserve"> OH*Designed at 115kV</t>
  </si>
  <si>
    <t>TOTAL 66 / 55 / 33kV T/L'S</t>
  </si>
  <si>
    <t>TOTAL ALL T/L'S</t>
  </si>
  <si>
    <t>Totals including exclusions</t>
  </si>
  <si>
    <t>SERRANO SUB</t>
  </si>
  <si>
    <t>EL DORADO SUB</t>
  </si>
  <si>
    <t xml:space="preserve">SYLMAR-PAC INTERTIE      </t>
  </si>
  <si>
    <t>GOULD SUBSTATION</t>
  </si>
  <si>
    <t>SANTA CLARA SUBSTATION</t>
  </si>
  <si>
    <t>MIRA LOMA SUBSTATION</t>
  </si>
  <si>
    <t>VIEJO SUBSTATION</t>
  </si>
  <si>
    <t>4XXX locns excluded from Study</t>
  </si>
  <si>
    <t>FERC FORM 1 Totals</t>
  </si>
  <si>
    <t>EKWRA Reconfiguration</t>
  </si>
  <si>
    <t>1 = Assuming EKWRA Reconfiguration HAS occurred</t>
  </si>
  <si>
    <t>2 = Assuming EKWRA Reconfiguration HAS NOT occurred</t>
  </si>
  <si>
    <t>TAG</t>
  </si>
  <si>
    <t>EKWRA Affected</t>
  </si>
  <si>
    <r>
      <t xml:space="preserve">Assuming EKWRA Reconfiguration </t>
    </r>
    <r>
      <rPr>
        <b/>
        <sz val="10"/>
        <rFont val="Calibri"/>
        <family val="2"/>
      </rPr>
      <t>HAS</t>
    </r>
    <r>
      <rPr>
        <sz val="10"/>
        <rFont val="Calibri"/>
        <family val="2"/>
      </rPr>
      <t xml:space="preserve"> occurred</t>
    </r>
  </si>
  <si>
    <r>
      <t xml:space="preserve">Assuming EKWRA Reconfiguration </t>
    </r>
    <r>
      <rPr>
        <b/>
        <sz val="10"/>
        <rFont val="Calibri"/>
        <family val="2"/>
      </rPr>
      <t>HAS NOT</t>
    </r>
    <r>
      <rPr>
        <sz val="10"/>
        <rFont val="Calibri"/>
        <family val="2"/>
      </rPr>
      <t xml:space="preserve"> occurred</t>
    </r>
  </si>
  <si>
    <t>Johanna</t>
  </si>
  <si>
    <t>NON-ISO RELATED PLANT</t>
  </si>
  <si>
    <t>Straddle Substations:</t>
  </si>
  <si>
    <t>Total Straddle Substations</t>
  </si>
  <si>
    <t>2110</t>
  </si>
  <si>
    <t>2211</t>
  </si>
  <si>
    <t>2237</t>
  </si>
  <si>
    <t>2304</t>
  </si>
  <si>
    <t>Lundy</t>
  </si>
  <si>
    <t>2560</t>
  </si>
  <si>
    <t>Eastern T/S Region</t>
  </si>
  <si>
    <t>4500</t>
  </si>
  <si>
    <t>5033</t>
  </si>
  <si>
    <t>Kramer</t>
  </si>
  <si>
    <t>5613</t>
  </si>
  <si>
    <t>5662</t>
  </si>
  <si>
    <t>Customer Service</t>
  </si>
  <si>
    <t>8020</t>
  </si>
  <si>
    <t>8022</t>
  </si>
  <si>
    <t>San Onofre Switchrack</t>
  </si>
  <si>
    <t>8296</t>
  </si>
  <si>
    <t>8340</t>
  </si>
  <si>
    <t>9231</t>
  </si>
  <si>
    <t>5631</t>
  </si>
  <si>
    <t>2120</t>
  </si>
  <si>
    <t>2202</t>
  </si>
  <si>
    <t>2229</t>
  </si>
  <si>
    <t>2230</t>
  </si>
  <si>
    <t>2234</t>
  </si>
  <si>
    <t>2238</t>
  </si>
  <si>
    <t>2317</t>
  </si>
  <si>
    <t>2319</t>
  </si>
  <si>
    <t>2512</t>
  </si>
  <si>
    <t>2522</t>
  </si>
  <si>
    <t>2523</t>
  </si>
  <si>
    <t>2524</t>
  </si>
  <si>
    <t>2557</t>
  </si>
  <si>
    <t>2561</t>
  </si>
  <si>
    <t>2570</t>
  </si>
  <si>
    <t>2580</t>
  </si>
  <si>
    <t>2582</t>
  </si>
  <si>
    <t>2583</t>
  </si>
  <si>
    <t>2589</t>
  </si>
  <si>
    <t>2594</t>
  </si>
  <si>
    <t>2598</t>
  </si>
  <si>
    <t>2604</t>
  </si>
  <si>
    <t>2609</t>
  </si>
  <si>
    <t>2610</t>
  </si>
  <si>
    <t>2611</t>
  </si>
  <si>
    <t>2612</t>
  </si>
  <si>
    <t>3064</t>
  </si>
  <si>
    <t>4105</t>
  </si>
  <si>
    <t>5014</t>
  </si>
  <si>
    <t>5042</t>
  </si>
  <si>
    <t>5059</t>
  </si>
  <si>
    <t>5064</t>
  </si>
  <si>
    <t>5069</t>
  </si>
  <si>
    <t>5075</t>
  </si>
  <si>
    <t>5081</t>
  </si>
  <si>
    <t>5082</t>
  </si>
  <si>
    <t>5084</t>
  </si>
  <si>
    <t>5096</t>
  </si>
  <si>
    <t>5100</t>
  </si>
  <si>
    <t>5101</t>
  </si>
  <si>
    <t>5102</t>
  </si>
  <si>
    <t>5103</t>
  </si>
  <si>
    <t>5104</t>
  </si>
  <si>
    <t>5105</t>
  </si>
  <si>
    <t>5106</t>
  </si>
  <si>
    <t>5107</t>
  </si>
  <si>
    <t>5108</t>
  </si>
  <si>
    <t>5109</t>
  </si>
  <si>
    <t>5110</t>
  </si>
  <si>
    <t>5111</t>
  </si>
  <si>
    <t>5113</t>
  </si>
  <si>
    <t>5114</t>
  </si>
  <si>
    <t>5115</t>
  </si>
  <si>
    <t>5116</t>
  </si>
  <si>
    <t>5119</t>
  </si>
  <si>
    <t>5120</t>
  </si>
  <si>
    <t>5121</t>
  </si>
  <si>
    <t>5122</t>
  </si>
  <si>
    <t>5125</t>
  </si>
  <si>
    <t>5126</t>
  </si>
  <si>
    <t>5127</t>
  </si>
  <si>
    <t>5128</t>
  </si>
  <si>
    <t>5129</t>
  </si>
  <si>
    <t>5130</t>
  </si>
  <si>
    <t>5131</t>
  </si>
  <si>
    <t>5132</t>
  </si>
  <si>
    <t>5133</t>
  </si>
  <si>
    <t>5134</t>
  </si>
  <si>
    <t>5135</t>
  </si>
  <si>
    <t>5136</t>
  </si>
  <si>
    <t>5138</t>
  </si>
  <si>
    <t>5139</t>
  </si>
  <si>
    <t>5141</t>
  </si>
  <si>
    <t>5142</t>
  </si>
  <si>
    <t>5143</t>
  </si>
  <si>
    <t>5144</t>
  </si>
  <si>
    <t>5145</t>
  </si>
  <si>
    <t>5146</t>
  </si>
  <si>
    <t>5147</t>
  </si>
  <si>
    <t>5148</t>
  </si>
  <si>
    <t>5149</t>
  </si>
  <si>
    <t>5150</t>
  </si>
  <si>
    <t>5151</t>
  </si>
  <si>
    <t>5152</t>
  </si>
  <si>
    <t>5153</t>
  </si>
  <si>
    <t>5154</t>
  </si>
  <si>
    <t>5157</t>
  </si>
  <si>
    <t>5158</t>
  </si>
  <si>
    <t>5159</t>
  </si>
  <si>
    <t>5160</t>
  </si>
  <si>
    <t>5161</t>
  </si>
  <si>
    <t>5162</t>
  </si>
  <si>
    <t>5164</t>
  </si>
  <si>
    <t>5167</t>
  </si>
  <si>
    <t>5168</t>
  </si>
  <si>
    <t>5169</t>
  </si>
  <si>
    <t>5170</t>
  </si>
  <si>
    <t>5171</t>
  </si>
  <si>
    <t>5172</t>
  </si>
  <si>
    <t>5173</t>
  </si>
  <si>
    <t>5175</t>
  </si>
  <si>
    <t>5178</t>
  </si>
  <si>
    <t>5179</t>
  </si>
  <si>
    <t>5180</t>
  </si>
  <si>
    <t>5181</t>
  </si>
  <si>
    <t>5182</t>
  </si>
  <si>
    <t>5184</t>
  </si>
  <si>
    <t>5185</t>
  </si>
  <si>
    <t>5186</t>
  </si>
  <si>
    <t>5187</t>
  </si>
  <si>
    <t>5188</t>
  </si>
  <si>
    <t>5190</t>
  </si>
  <si>
    <t>5191</t>
  </si>
  <si>
    <t>5192</t>
  </si>
  <si>
    <t>5193</t>
  </si>
  <si>
    <t>5194</t>
  </si>
  <si>
    <t>5195</t>
  </si>
  <si>
    <t>5196</t>
  </si>
  <si>
    <t>5198</t>
  </si>
  <si>
    <t>5201</t>
  </si>
  <si>
    <t>5202</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</si>
  <si>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</si>
  <si>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</si>
  <si>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</si>
  <si>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</si>
  <si>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</si>
  <si>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</si>
  <si>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</si>
  <si>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</si>
  <si>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</si>
  <si>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</si>
  <si>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</si>
  <si>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</si>
  <si>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</si>
  <si>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</si>
  <si>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</si>
  <si>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</si>
  <si>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</si>
  <si>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</si>
  <si>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</si>
  <si>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</si>
  <si>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</si>
  <si>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</si>
  <si>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</si>
  <si>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</si>
  <si>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</si>
  <si>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</si>
  <si>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</si>
  <si>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</si>
  <si>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</si>
  <si>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</si>
  <si>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5235</t>
  </si>
  <si>
    <t>5236</t>
  </si>
  <si>
    <t>5238</t>
  </si>
  <si>
    <t>5239</t>
  </si>
  <si>
    <t>5240</t>
  </si>
  <si>
    <t>5241</t>
  </si>
  <si>
    <t>5242</t>
  </si>
  <si>
    <t>5243</t>
  </si>
  <si>
    <t>5244</t>
  </si>
  <si>
    <t>5245</t>
  </si>
  <si>
    <t>5246</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</si>
  <si>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</si>
  <si>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</si>
  <si>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</si>
  <si>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</si>
  <si>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</si>
  <si>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</si>
  <si>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</si>
  <si>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</si>
  <si>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</si>
  <si>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</si>
  <si>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</si>
  <si>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</si>
  <si>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</si>
  <si>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</si>
  <si>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</si>
  <si>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</si>
  <si>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</si>
  <si>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</si>
  <si>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</si>
  <si>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</si>
  <si>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</si>
  <si>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</si>
  <si>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</si>
  <si>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</si>
  <si>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</si>
  <si>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</si>
  <si>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</si>
  <si>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</si>
  <si>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</si>
  <si>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</si>
  <si>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</si>
  <si>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</si>
  <si>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</si>
  <si>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</si>
  <si>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</si>
  <si>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</si>
  <si>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</si>
  <si>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</si>
  <si>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</si>
  <si>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</si>
  <si>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</si>
  <si>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</si>
  <si>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</si>
  <si>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</si>
  <si>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</si>
  <si>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</si>
  <si>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</si>
  <si>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</si>
  <si>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</si>
  <si>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5301</t>
  </si>
  <si>
    <t>5302</t>
  </si>
  <si>
    <t>5303</t>
  </si>
  <si>
    <t>5304</t>
  </si>
  <si>
    <t>5305</t>
  </si>
  <si>
    <t>5306</t>
  </si>
  <si>
    <t>5307</t>
  </si>
  <si>
    <t>5308</t>
  </si>
  <si>
    <t>5309</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</si>
  <si>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</si>
  <si>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</si>
  <si>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</si>
  <si>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</si>
  <si>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</si>
  <si>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</si>
  <si>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</si>
  <si>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</si>
  <si>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</si>
  <si>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</si>
  <si>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</si>
  <si>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</si>
  <si>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</si>
  <si>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</si>
  <si>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</si>
  <si>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</si>
  <si>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</si>
  <si>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</si>
  <si>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</si>
  <si>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</si>
  <si>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</si>
  <si>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</si>
  <si>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</si>
  <si>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</si>
  <si>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</si>
  <si>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</si>
  <si>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</si>
  <si>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</si>
  <si>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</si>
  <si>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</si>
  <si>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5342</t>
  </si>
  <si>
    <t>5343</t>
  </si>
  <si>
    <t>5344</t>
  </si>
  <si>
    <t>5345</t>
  </si>
  <si>
    <t>5346</t>
  </si>
  <si>
    <t>5347</t>
  </si>
  <si>
    <t>5348</t>
  </si>
  <si>
    <t>5350</t>
  </si>
  <si>
    <t>5351</t>
  </si>
  <si>
    <t>5352</t>
  </si>
  <si>
    <t>5353</t>
  </si>
  <si>
    <t>5356</t>
  </si>
  <si>
    <t>5357</t>
  </si>
  <si>
    <t>5358</t>
  </si>
  <si>
    <t>5360</t>
  </si>
  <si>
    <t>5361</t>
  </si>
  <si>
    <t>5362</t>
  </si>
  <si>
    <t>5363</t>
  </si>
  <si>
    <t>5365</t>
  </si>
  <si>
    <t>5366</t>
  </si>
  <si>
    <t>5368</t>
  </si>
  <si>
    <t>5369</t>
  </si>
  <si>
    <t>5370</t>
  </si>
  <si>
    <t>5371</t>
  </si>
  <si>
    <t>5372</t>
  </si>
  <si>
    <t>5373</t>
  </si>
  <si>
    <t>5400</t>
  </si>
  <si>
    <t>5401</t>
  </si>
  <si>
    <t>5402</t>
  </si>
  <si>
    <t>5404</t>
  </si>
  <si>
    <t>5405</t>
  </si>
  <si>
    <t>5406</t>
  </si>
  <si>
    <t>5409</t>
  </si>
  <si>
    <t>5410</t>
  </si>
  <si>
    <t>5411</t>
  </si>
  <si>
    <t>5412</t>
  </si>
  <si>
    <t>5414</t>
  </si>
  <si>
    <t>5415</t>
  </si>
  <si>
    <t>5423</t>
  </si>
  <si>
    <t>5424</t>
  </si>
  <si>
    <t>5425</t>
  </si>
  <si>
    <t>5461</t>
  </si>
  <si>
    <t>5462</t>
  </si>
  <si>
    <t>5463</t>
  </si>
  <si>
    <t>5464</t>
  </si>
  <si>
    <t>5500</t>
  </si>
  <si>
    <t>5502</t>
  </si>
  <si>
    <t>5503</t>
  </si>
  <si>
    <t>5504</t>
  </si>
  <si>
    <t>5505</t>
  </si>
  <si>
    <t>5506</t>
  </si>
  <si>
    <t>5507</t>
  </si>
  <si>
    <t>5508</t>
  </si>
  <si>
    <t>5509</t>
  </si>
  <si>
    <t>5510</t>
  </si>
  <si>
    <t>#5a 5045</t>
  </si>
  <si>
    <t>#5b 1320</t>
  </si>
  <si>
    <t>Recalc based on all other TS locations</t>
  </si>
  <si>
    <t>Allocation % to use</t>
  </si>
  <si>
    <t>Total Locations Reclac'd</t>
  </si>
  <si>
    <t>Total Transmission Substations</t>
  </si>
  <si>
    <t>5511</t>
  </si>
  <si>
    <t>5512</t>
  </si>
  <si>
    <t>5514</t>
  </si>
  <si>
    <t>5515</t>
  </si>
  <si>
    <t>5516</t>
  </si>
  <si>
    <t>5517</t>
  </si>
  <si>
    <t>5518</t>
  </si>
  <si>
    <t>5519</t>
  </si>
  <si>
    <t>5520</t>
  </si>
  <si>
    <t>5521</t>
  </si>
  <si>
    <t>5522</t>
  </si>
  <si>
    <t>5523</t>
  </si>
  <si>
    <t>5524</t>
  </si>
  <si>
    <t>5525</t>
  </si>
  <si>
    <t>5526</t>
  </si>
  <si>
    <t>5527</t>
  </si>
  <si>
    <t>5528</t>
  </si>
  <si>
    <t>5529</t>
  </si>
  <si>
    <t>5530</t>
  </si>
  <si>
    <t>5531</t>
  </si>
  <si>
    <t>5532</t>
  </si>
  <si>
    <t>5534</t>
  </si>
  <si>
    <t>5535</t>
  </si>
  <si>
    <t>5536</t>
  </si>
  <si>
    <t>5538</t>
  </si>
  <si>
    <t>5539</t>
  </si>
  <si>
    <t>5541</t>
  </si>
  <si>
    <t>5542</t>
  </si>
  <si>
    <t>5543</t>
  </si>
  <si>
    <t>5544</t>
  </si>
  <si>
    <t>5545</t>
  </si>
  <si>
    <t>5546</t>
  </si>
  <si>
    <t>5547</t>
  </si>
  <si>
    <t>5548</t>
  </si>
  <si>
    <t>5549</t>
  </si>
  <si>
    <t>5550</t>
  </si>
  <si>
    <t>5551</t>
  </si>
  <si>
    <t>5552</t>
  </si>
  <si>
    <t>5553</t>
  </si>
  <si>
    <t>5554</t>
  </si>
  <si>
    <t>5555</t>
  </si>
  <si>
    <t>5556</t>
  </si>
  <si>
    <t>5557</t>
  </si>
  <si>
    <t>5560</t>
  </si>
  <si>
    <t>5561</t>
  </si>
  <si>
    <t>5562</t>
  </si>
  <si>
    <t>5563</t>
  </si>
  <si>
    <t>5564</t>
  </si>
  <si>
    <t>5565</t>
  </si>
  <si>
    <t>5566</t>
  </si>
  <si>
    <t>5567</t>
  </si>
  <si>
    <t>5568</t>
  </si>
  <si>
    <t>5569</t>
  </si>
  <si>
    <t>5570</t>
  </si>
  <si>
    <t>5572</t>
  </si>
  <si>
    <t>COGEN/RENEWABLE ENERGY SO</t>
  </si>
  <si>
    <t>DEVERS-HINS LN, OTHERS</t>
  </si>
  <si>
    <t>COGEN/RENEW ENGY SOURCES</t>
  </si>
  <si>
    <t>BIG CRK 1-CMP TEN-..-PRTL</t>
  </si>
  <si>
    <t>KERN RIVER3-VESTAL 66 KV</t>
  </si>
  <si>
    <t>CUMMINGS-KERBN RIV1, OTHE</t>
  </si>
  <si>
    <t>BOREL-...-WALKER 66KV LN</t>
  </si>
  <si>
    <t>LUGO-VICTOR LNS, OTHER</t>
  </si>
  <si>
    <t>SPRGVLL-TULE 66KV LN</t>
  </si>
  <si>
    <t>BOREL-WELDON 66KV LN</t>
  </si>
  <si>
    <t>MIRA LOMA-SERRANO LN</t>
  </si>
  <si>
    <t>SANTA ANA LNS 1,2,3</t>
  </si>
  <si>
    <t>VINCENT-PEARBLOSSOM LN</t>
  </si>
  <si>
    <t>LUCERNE-LUGO/MIRA LOMA LN</t>
  </si>
  <si>
    <t>BIG CRK 3-MAMMOTH POOL</t>
  </si>
  <si>
    <t>CENTER-MESA 220KV LN</t>
  </si>
  <si>
    <t>ETIWANDA-PADUA 220KV LN</t>
  </si>
  <si>
    <t>33&amp;66KV LNS IN NRTHEN T/S</t>
  </si>
  <si>
    <t>LEE VINING-LUNDY 55K 4771</t>
  </si>
  <si>
    <t>BISHOP CRK55&amp;115KV LINES</t>
  </si>
  <si>
    <t>5573</t>
  </si>
  <si>
    <t>5574</t>
  </si>
  <si>
    <t>5575</t>
  </si>
  <si>
    <t>5576</t>
  </si>
  <si>
    <t>5577</t>
  </si>
  <si>
    <t>5578</t>
  </si>
  <si>
    <t>5579</t>
  </si>
  <si>
    <t>5580</t>
  </si>
  <si>
    <t>5581</t>
  </si>
  <si>
    <t>5582</t>
  </si>
  <si>
    <t>5584</t>
  </si>
  <si>
    <t>5585</t>
  </si>
  <si>
    <t>5587</t>
  </si>
  <si>
    <t>5589</t>
  </si>
  <si>
    <t>5591</t>
  </si>
  <si>
    <t>5594</t>
  </si>
  <si>
    <t>5595</t>
  </si>
  <si>
    <t>5596</t>
  </si>
  <si>
    <t>5597</t>
  </si>
  <si>
    <t>5599</t>
  </si>
  <si>
    <t>5600</t>
  </si>
  <si>
    <t>5601</t>
  </si>
  <si>
    <t>5602</t>
  </si>
  <si>
    <t>5603</t>
  </si>
  <si>
    <t>5604</t>
  </si>
  <si>
    <t>5605</t>
  </si>
  <si>
    <t>5606</t>
  </si>
  <si>
    <t>5607</t>
  </si>
  <si>
    <t>5608</t>
  </si>
  <si>
    <t>5609</t>
  </si>
  <si>
    <t>5610</t>
  </si>
  <si>
    <t>5611</t>
  </si>
  <si>
    <t>5612</t>
  </si>
  <si>
    <t>5614</t>
  </si>
  <si>
    <t>5615</t>
  </si>
  <si>
    <t>5616</t>
  </si>
  <si>
    <t>5617</t>
  </si>
  <si>
    <t>5618</t>
  </si>
  <si>
    <t>5619</t>
  </si>
  <si>
    <t>5620</t>
  </si>
  <si>
    <t>5621</t>
  </si>
  <si>
    <t>5622</t>
  </si>
  <si>
    <t>5624</t>
  </si>
  <si>
    <t>5625</t>
  </si>
  <si>
    <t>5626</t>
  </si>
  <si>
    <t>5627</t>
  </si>
  <si>
    <t>5628</t>
  </si>
  <si>
    <t>5629</t>
  </si>
  <si>
    <t>5630</t>
  </si>
  <si>
    <t>5632</t>
  </si>
  <si>
    <t>5633</t>
  </si>
  <si>
    <t>5634</t>
  </si>
  <si>
    <t>5635</t>
  </si>
  <si>
    <t>5636</t>
  </si>
  <si>
    <t>5637</t>
  </si>
  <si>
    <t>5638</t>
  </si>
  <si>
    <t>5639</t>
  </si>
  <si>
    <t>5640</t>
  </si>
  <si>
    <t>5641</t>
  </si>
  <si>
    <t>5644</t>
  </si>
  <si>
    <t>5645</t>
  </si>
  <si>
    <t>5646</t>
  </si>
  <si>
    <t>5647</t>
  </si>
  <si>
    <t>5648</t>
  </si>
  <si>
    <t>5650</t>
  </si>
  <si>
    <t>5652</t>
  </si>
  <si>
    <t>5653</t>
  </si>
  <si>
    <t>5654</t>
  </si>
  <si>
    <t>5655</t>
  </si>
  <si>
    <t>5656</t>
  </si>
  <si>
    <t>5657</t>
  </si>
  <si>
    <t>5658</t>
  </si>
  <si>
    <t>5659</t>
  </si>
  <si>
    <t>5661</t>
  </si>
  <si>
    <t>5663</t>
  </si>
  <si>
    <t>5664</t>
  </si>
  <si>
    <t>5665</t>
  </si>
  <si>
    <t>5667</t>
  </si>
  <si>
    <t>5668</t>
  </si>
  <si>
    <t>5670</t>
  </si>
  <si>
    <t>5672</t>
  </si>
  <si>
    <t>5674</t>
  </si>
  <si>
    <t>5677</t>
  </si>
  <si>
    <t>5678</t>
  </si>
  <si>
    <t>5679</t>
  </si>
  <si>
    <t>5680</t>
  </si>
  <si>
    <t>5681</t>
  </si>
  <si>
    <t>5682</t>
  </si>
  <si>
    <t>5683</t>
  </si>
  <si>
    <t>5685</t>
  </si>
  <si>
    <t>5686</t>
  </si>
  <si>
    <t>5688</t>
  </si>
  <si>
    <t>5690</t>
  </si>
  <si>
    <t>5694</t>
  </si>
  <si>
    <t>5695</t>
  </si>
  <si>
    <t>5696</t>
  </si>
  <si>
    <t>5697</t>
  </si>
  <si>
    <t>5699</t>
  </si>
  <si>
    <t>5701</t>
  </si>
  <si>
    <t>5702</t>
  </si>
  <si>
    <t>5704</t>
  </si>
  <si>
    <t>5705</t>
  </si>
  <si>
    <t>5706</t>
  </si>
  <si>
    <t>5707</t>
  </si>
  <si>
    <t>5708</t>
  </si>
  <si>
    <t>5709</t>
  </si>
  <si>
    <t>5710</t>
  </si>
  <si>
    <t>5711</t>
  </si>
  <si>
    <t>5712</t>
  </si>
  <si>
    <t>5714</t>
  </si>
  <si>
    <t>5717</t>
  </si>
  <si>
    <t>5718</t>
  </si>
  <si>
    <t>5719</t>
  </si>
  <si>
    <t>5720</t>
  </si>
  <si>
    <t>5721</t>
  </si>
  <si>
    <t>5722</t>
  </si>
  <si>
    <t>5723</t>
  </si>
  <si>
    <t>5725</t>
  </si>
  <si>
    <t>5726</t>
  </si>
  <si>
    <t>5727</t>
  </si>
  <si>
    <t>5728</t>
  </si>
  <si>
    <t>5730</t>
  </si>
  <si>
    <t>5731</t>
  </si>
  <si>
    <t>5732</t>
  </si>
  <si>
    <t>5733</t>
  </si>
  <si>
    <t>5734</t>
  </si>
  <si>
    <t>5735</t>
  </si>
  <si>
    <t>5738</t>
  </si>
  <si>
    <t>5739</t>
  </si>
  <si>
    <t>5740</t>
  </si>
  <si>
    <t>5741</t>
  </si>
  <si>
    <t>5742</t>
  </si>
  <si>
    <t>5744</t>
  </si>
  <si>
    <t>5745</t>
  </si>
  <si>
    <t>5746</t>
  </si>
  <si>
    <t>5749</t>
  </si>
  <si>
    <t>5750</t>
  </si>
  <si>
    <t>5751</t>
  </si>
  <si>
    <t>5753</t>
  </si>
  <si>
    <t>5754</t>
  </si>
  <si>
    <t>5755</t>
  </si>
  <si>
    <t>5756</t>
  </si>
  <si>
    <t>5757</t>
  </si>
  <si>
    <t>5758</t>
  </si>
  <si>
    <t>5759</t>
  </si>
  <si>
    <t>5760</t>
  </si>
  <si>
    <t>5763</t>
  </si>
  <si>
    <t>5765</t>
  </si>
  <si>
    <t>5766</t>
  </si>
  <si>
    <t>5767</t>
  </si>
  <si>
    <t>5768</t>
  </si>
  <si>
    <t>5769</t>
  </si>
  <si>
    <t>5770</t>
  </si>
  <si>
    <t>5771</t>
  </si>
  <si>
    <t>5772</t>
  </si>
  <si>
    <t>5773</t>
  </si>
  <si>
    <t>5774</t>
  </si>
  <si>
    <t>5775</t>
  </si>
  <si>
    <t>5776</t>
  </si>
  <si>
    <t>5777</t>
  </si>
  <si>
    <t>5779</t>
  </si>
  <si>
    <t>5780</t>
  </si>
  <si>
    <t>5781</t>
  </si>
  <si>
    <t>5782</t>
  </si>
  <si>
    <t>5783</t>
  </si>
  <si>
    <t>5784</t>
  </si>
  <si>
    <t>5785</t>
  </si>
  <si>
    <t>5787</t>
  </si>
  <si>
    <t>5788</t>
  </si>
  <si>
    <t>5789</t>
  </si>
  <si>
    <t>5790</t>
  </si>
  <si>
    <t>5791</t>
  </si>
  <si>
    <t>5792</t>
  </si>
  <si>
    <t>5794</t>
  </si>
  <si>
    <t>5795</t>
  </si>
  <si>
    <t>5796</t>
  </si>
  <si>
    <t>5797</t>
  </si>
  <si>
    <t>5798</t>
  </si>
  <si>
    <t>5799</t>
  </si>
  <si>
    <t>5800</t>
  </si>
  <si>
    <t>5801</t>
  </si>
  <si>
    <t>5802</t>
  </si>
  <si>
    <t>5803</t>
  </si>
  <si>
    <t>5804</t>
  </si>
  <si>
    <t>5805</t>
  </si>
  <si>
    <t>5806</t>
  </si>
  <si>
    <t>5807</t>
  </si>
  <si>
    <t>5808</t>
  </si>
  <si>
    <t>5809</t>
  </si>
  <si>
    <t>5810</t>
  </si>
  <si>
    <t>5811</t>
  </si>
  <si>
    <t>5812</t>
  </si>
  <si>
    <t>5813</t>
  </si>
  <si>
    <t>5814</t>
  </si>
  <si>
    <t>5815</t>
  </si>
  <si>
    <t>5816</t>
  </si>
  <si>
    <t>5817</t>
  </si>
  <si>
    <t>5818</t>
  </si>
  <si>
    <t>5819</t>
  </si>
  <si>
    <t>5820</t>
  </si>
  <si>
    <t>5821</t>
  </si>
  <si>
    <t>5822</t>
  </si>
  <si>
    <t>5823</t>
  </si>
  <si>
    <t>5824</t>
  </si>
  <si>
    <t>5825</t>
  </si>
  <si>
    <t>5826</t>
  </si>
  <si>
    <t>5828</t>
  </si>
  <si>
    <t>5829</t>
  </si>
  <si>
    <t>5830</t>
  </si>
  <si>
    <t>5832</t>
  </si>
  <si>
    <t>5833</t>
  </si>
  <si>
    <t>5834</t>
  </si>
  <si>
    <t>5835</t>
  </si>
  <si>
    <t>5836</t>
  </si>
  <si>
    <t>5837</t>
  </si>
  <si>
    <t>5838</t>
  </si>
  <si>
    <t>5840</t>
  </si>
  <si>
    <t>5841</t>
  </si>
  <si>
    <t>5842</t>
  </si>
  <si>
    <t>5843</t>
  </si>
  <si>
    <t>5844</t>
  </si>
  <si>
    <t>5845</t>
  </si>
  <si>
    <t>5846</t>
  </si>
  <si>
    <t>5848</t>
  </si>
  <si>
    <t>5849</t>
  </si>
  <si>
    <t>5850</t>
  </si>
  <si>
    <t>5851</t>
  </si>
  <si>
    <t>5852</t>
  </si>
  <si>
    <t>5853</t>
  </si>
  <si>
    <t>5854</t>
  </si>
  <si>
    <t>5856</t>
  </si>
  <si>
    <t>5857</t>
  </si>
  <si>
    <t>5859</t>
  </si>
  <si>
    <t>5860</t>
  </si>
  <si>
    <t>5861</t>
  </si>
  <si>
    <t>5862</t>
  </si>
  <si>
    <t>5863</t>
  </si>
  <si>
    <t>5864</t>
  </si>
  <si>
    <t>5865</t>
  </si>
  <si>
    <t>5866</t>
  </si>
  <si>
    <t>5867</t>
  </si>
  <si>
    <t>5869</t>
  </si>
  <si>
    <t>5870</t>
  </si>
  <si>
    <t>5871</t>
  </si>
  <si>
    <t>5872</t>
  </si>
  <si>
    <t>5873</t>
  </si>
  <si>
    <t>5874</t>
  </si>
  <si>
    <t>5875</t>
  </si>
  <si>
    <t>5878</t>
  </si>
  <si>
    <t>5879</t>
  </si>
  <si>
    <t>5880</t>
  </si>
  <si>
    <t>5883</t>
  </si>
  <si>
    <t>5884</t>
  </si>
  <si>
    <t>5885</t>
  </si>
  <si>
    <t>5886</t>
  </si>
  <si>
    <t>5887</t>
  </si>
  <si>
    <t>5888</t>
  </si>
  <si>
    <t>5889</t>
  </si>
  <si>
    <t>5890</t>
  </si>
  <si>
    <t>5891</t>
  </si>
  <si>
    <t>5892</t>
  </si>
  <si>
    <t>5893</t>
  </si>
  <si>
    <t>5894</t>
  </si>
  <si>
    <t>5895</t>
  </si>
  <si>
    <t>5896</t>
  </si>
  <si>
    <t>5897</t>
  </si>
  <si>
    <t>5898</t>
  </si>
  <si>
    <t>5899</t>
  </si>
  <si>
    <t>5901</t>
  </si>
  <si>
    <t>6061</t>
  </si>
  <si>
    <t>6072</t>
  </si>
  <si>
    <t>GENERATION RELATED PLANT COST</t>
  </si>
  <si>
    <t>IS0 RELATED PLANT COST</t>
  </si>
  <si>
    <t>8018</t>
  </si>
  <si>
    <t>8036</t>
  </si>
  <si>
    <t>8055</t>
  </si>
  <si>
    <t>8072</t>
  </si>
  <si>
    <t>8073</t>
  </si>
  <si>
    <t>8076</t>
  </si>
  <si>
    <t>8077</t>
  </si>
  <si>
    <t>8079</t>
  </si>
  <si>
    <t>8096</t>
  </si>
  <si>
    <t>8102</t>
  </si>
  <si>
    <t>8103</t>
  </si>
  <si>
    <t>8104</t>
  </si>
  <si>
    <t>8105</t>
  </si>
  <si>
    <t>8106</t>
  </si>
  <si>
    <t>8110</t>
  </si>
  <si>
    <t>8113</t>
  </si>
  <si>
    <t>8117</t>
  </si>
  <si>
    <t>8118</t>
  </si>
  <si>
    <t>8119</t>
  </si>
  <si>
    <t>8120</t>
  </si>
  <si>
    <t>8121</t>
  </si>
  <si>
    <t>8122</t>
  </si>
  <si>
    <t>8123</t>
  </si>
  <si>
    <t>8124</t>
  </si>
  <si>
    <t>8126</t>
  </si>
  <si>
    <t>8130</t>
  </si>
  <si>
    <t>8132</t>
  </si>
  <si>
    <t>LUGO-RANCHO VISTA</t>
  </si>
  <si>
    <t>MIRA LOMA-RANCHO VISTA</t>
  </si>
  <si>
    <t>ETIWANDA-RANCHO VISTA No1</t>
  </si>
  <si>
    <t>ETIWANDA-RANCHO VISTA No2</t>
  </si>
  <si>
    <t>LANCASTER-PURIFY-REDMAN</t>
  </si>
  <si>
    <t xml:space="preserve">MET T/S REGION           </t>
  </si>
  <si>
    <t xml:space="preserve">COASTAL T/S REGION       </t>
  </si>
  <si>
    <t xml:space="preserve">EASTERN T/S REGION       </t>
  </si>
  <si>
    <t xml:space="preserve">VALLEY-INLAND 500KV TL   </t>
  </si>
  <si>
    <t>VAR. TRANS. LINES-S/E DIV</t>
  </si>
  <si>
    <t>Non 4xxx locns excluded from Study*</t>
  </si>
  <si>
    <t>PALOVERDE NUCL GEN PLT-U1</t>
  </si>
  <si>
    <t xml:space="preserve">PALO VERDE-UNIT 2        </t>
  </si>
  <si>
    <t xml:space="preserve">PALO VERDE-UNIT 3        </t>
  </si>
  <si>
    <t xml:space="preserve">TELCOMM-ALHAMBRA         </t>
  </si>
  <si>
    <t xml:space="preserve">SUN CITY(NEW)            </t>
  </si>
  <si>
    <t xml:space="preserve">MARSCHINO SUB            </t>
  </si>
  <si>
    <t xml:space="preserve">EISENHOWER SUB           </t>
  </si>
  <si>
    <t xml:space="preserve">MORAGA                   </t>
  </si>
  <si>
    <t>*Rows hidden in Non4xxx Locations</t>
  </si>
  <si>
    <t>8133</t>
  </si>
  <si>
    <t>8136</t>
  </si>
  <si>
    <t>8137</t>
  </si>
  <si>
    <t>8139</t>
  </si>
  <si>
    <t>8140</t>
  </si>
  <si>
    <t>8141</t>
  </si>
  <si>
    <t>8143</t>
  </si>
  <si>
    <t>8148</t>
  </si>
  <si>
    <t>8149</t>
  </si>
  <si>
    <t>8151</t>
  </si>
  <si>
    <t>8152</t>
  </si>
  <si>
    <t>8154</t>
  </si>
  <si>
    <t>8156</t>
  </si>
  <si>
    <t>8159</t>
  </si>
  <si>
    <t>8160</t>
  </si>
  <si>
    <t>8161</t>
  </si>
  <si>
    <t>8162</t>
  </si>
  <si>
    <t>8163</t>
  </si>
  <si>
    <t>8164</t>
  </si>
  <si>
    <t>8167</t>
  </si>
  <si>
    <t>8168</t>
  </si>
  <si>
    <t>8170</t>
  </si>
  <si>
    <t>8171</t>
  </si>
  <si>
    <t>8172</t>
  </si>
  <si>
    <t>8176</t>
  </si>
  <si>
    <t>8190</t>
  </si>
  <si>
    <t>8193</t>
  </si>
  <si>
    <t>8195</t>
  </si>
  <si>
    <t>8196</t>
  </si>
  <si>
    <t>8197</t>
  </si>
  <si>
    <t>8198</t>
  </si>
  <si>
    <t>8199</t>
  </si>
  <si>
    <t>8204</t>
  </si>
  <si>
    <t>8205</t>
  </si>
  <si>
    <t>8206</t>
  </si>
  <si>
    <t>8207</t>
  </si>
  <si>
    <t>8209</t>
  </si>
  <si>
    <t>8210</t>
  </si>
  <si>
    <t>8211</t>
  </si>
  <si>
    <t>8212</t>
  </si>
  <si>
    <t>8214</t>
  </si>
  <si>
    <t>8215</t>
  </si>
  <si>
    <t>8216</t>
  </si>
  <si>
    <t>8219</t>
  </si>
  <si>
    <t>Kramer &amp; Kramer-Radial Line Agmt</t>
  </si>
  <si>
    <t>2510 &amp; 2560</t>
  </si>
  <si>
    <t>San Bernardino-220kv Switchyard &amp; 220kv to 66kv</t>
  </si>
  <si>
    <t>Inyokern (CEP) &amp; Inyokern</t>
  </si>
  <si>
    <t>Valley &amp; Valley - CEP</t>
  </si>
  <si>
    <t>8220</t>
  </si>
  <si>
    <t>8221</t>
  </si>
  <si>
    <t>8222</t>
  </si>
  <si>
    <t>8225</t>
  </si>
  <si>
    <t>8226</t>
  </si>
  <si>
    <t>8227</t>
  </si>
  <si>
    <t>8228</t>
  </si>
  <si>
    <t>8231</t>
  </si>
  <si>
    <t>8234</t>
  </si>
  <si>
    <t>8235</t>
  </si>
  <si>
    <t>8238</t>
  </si>
  <si>
    <t>8239</t>
  </si>
  <si>
    <t>8243</t>
  </si>
  <si>
    <t>8244</t>
  </si>
  <si>
    <t>8250</t>
  </si>
  <si>
    <t>8251</t>
  </si>
  <si>
    <t>8252</t>
  </si>
  <si>
    <t>8255</t>
  </si>
  <si>
    <t>8259</t>
  </si>
  <si>
    <t>8260</t>
  </si>
  <si>
    <t>8262</t>
  </si>
  <si>
    <t>8263</t>
  </si>
  <si>
    <t>8265</t>
  </si>
  <si>
    <t>8266</t>
  </si>
  <si>
    <t>8267</t>
  </si>
  <si>
    <t>8268</t>
  </si>
  <si>
    <t>8269</t>
  </si>
  <si>
    <t>8273</t>
  </si>
  <si>
    <t>8275</t>
  </si>
  <si>
    <t>8279</t>
  </si>
  <si>
    <t>8283</t>
  </si>
  <si>
    <t>8294</t>
  </si>
  <si>
    <t>8297</t>
  </si>
  <si>
    <t>8299</t>
  </si>
  <si>
    <t>8302</t>
  </si>
  <si>
    <t>8312</t>
  </si>
  <si>
    <t>8342</t>
  </si>
  <si>
    <t>8343</t>
  </si>
  <si>
    <t>8344</t>
  </si>
  <si>
    <t>8345</t>
  </si>
  <si>
    <t>8348</t>
  </si>
  <si>
    <t>8502</t>
  </si>
  <si>
    <t>8503</t>
  </si>
  <si>
    <t>8505</t>
  </si>
  <si>
    <t>8507</t>
  </si>
  <si>
    <t>8509</t>
  </si>
  <si>
    <t>8510</t>
  </si>
  <si>
    <t>8550</t>
  </si>
  <si>
    <t>8553</t>
  </si>
  <si>
    <t>8555</t>
  </si>
  <si>
    <t>8556</t>
  </si>
  <si>
    <t>8557</t>
  </si>
  <si>
    <t>8558</t>
  </si>
  <si>
    <t>8559</t>
  </si>
  <si>
    <t>8801</t>
  </si>
  <si>
    <t>8802</t>
  </si>
  <si>
    <t>8804</t>
  </si>
  <si>
    <t>8805</t>
  </si>
  <si>
    <t>8807</t>
  </si>
  <si>
    <t>8808</t>
  </si>
  <si>
    <t>8810</t>
  </si>
  <si>
    <t>8811</t>
  </si>
  <si>
    <t>8812</t>
  </si>
  <si>
    <t>8813</t>
  </si>
  <si>
    <t>8814</t>
  </si>
  <si>
    <t>8817</t>
  </si>
  <si>
    <t>8818</t>
  </si>
  <si>
    <t>8820</t>
  </si>
  <si>
    <t>8822</t>
  </si>
  <si>
    <t>8824</t>
  </si>
  <si>
    <t>8825</t>
  </si>
  <si>
    <t>8827</t>
  </si>
  <si>
    <t>9033</t>
  </si>
  <si>
    <t>9047</t>
  </si>
  <si>
    <t>9077</t>
  </si>
  <si>
    <t>9310</t>
  </si>
  <si>
    <t>9430</t>
  </si>
  <si>
    <t>9440</t>
  </si>
  <si>
    <t>9679</t>
  </si>
  <si>
    <t>9900</t>
  </si>
  <si>
    <t>60--</t>
  </si>
  <si>
    <t>61--</t>
  </si>
  <si>
    <t>62--</t>
  </si>
  <si>
    <t>Transmission/Distribution ISO Facilities Study</t>
  </si>
  <si>
    <t>$</t>
  </si>
  <si>
    <t>Transmission</t>
  </si>
  <si>
    <t>Total
Plant</t>
  </si>
  <si>
    <t>ISO
Plant</t>
  </si>
  <si>
    <t>ISO %
of Total</t>
  </si>
  <si>
    <t>Total Substation</t>
  </si>
  <si>
    <t>Land</t>
  </si>
  <si>
    <t>Lines</t>
  </si>
  <si>
    <t>Total Lines</t>
  </si>
  <si>
    <t>Substation</t>
  </si>
  <si>
    <t>Distribution</t>
  </si>
  <si>
    <t>Land:</t>
  </si>
  <si>
    <t>Structures:</t>
  </si>
  <si>
    <t xml:space="preserve"> TRANSMISSION ACCOUNTS</t>
  </si>
  <si>
    <t>A/C 350</t>
  </si>
  <si>
    <t>A/C 352</t>
  </si>
  <si>
    <t>A/C 353</t>
  </si>
  <si>
    <t>A/C 350-353</t>
  </si>
  <si>
    <t xml:space="preserve">A/C 350
</t>
  </si>
  <si>
    <t>DWP-Edison  Calif</t>
  </si>
  <si>
    <t>DWP-Edison  Nevada</t>
  </si>
  <si>
    <t>Lugo-Vincent</t>
  </si>
  <si>
    <t>Midway-Vincent</t>
  </si>
  <si>
    <t>Lugo-Mira Loma</t>
  </si>
  <si>
    <t>Serrano-Valley</t>
  </si>
  <si>
    <t>Vincent</t>
  </si>
  <si>
    <t>Eldorado</t>
  </si>
  <si>
    <t>Eagle Mountain</t>
  </si>
  <si>
    <t>Antelope</t>
  </si>
  <si>
    <t>Victor</t>
  </si>
  <si>
    <t/>
  </si>
  <si>
    <t>500KV</t>
  </si>
  <si>
    <t>Mandalay-Santa Clara GRT (2 Lines)</t>
  </si>
  <si>
    <t>161KV</t>
  </si>
  <si>
    <t>Difference</t>
  </si>
  <si>
    <t>Structures</t>
  </si>
  <si>
    <t>#108 5049</t>
  </si>
  <si>
    <t>#107 5048</t>
  </si>
  <si>
    <t>#106 2510 &amp; 2560</t>
  </si>
  <si>
    <t>#102 2309</t>
  </si>
  <si>
    <t>#101 2307</t>
  </si>
  <si>
    <t>#100 2303</t>
  </si>
  <si>
    <t>#96 8074</t>
  </si>
  <si>
    <t>#95 8051-8055</t>
  </si>
  <si>
    <t>#94 2234</t>
  </si>
  <si>
    <t>#15 5026 &amp; 1095</t>
  </si>
  <si>
    <t>#17 5096 &amp; 1094</t>
  </si>
  <si>
    <t>#21 5027 &amp; 1088</t>
  </si>
  <si>
    <t>#33 8076 &amp; 1999</t>
  </si>
  <si>
    <t>#50 5042 &amp; 8046</t>
  </si>
  <si>
    <t>#67 5041 &amp; 8040</t>
  </si>
  <si>
    <t>#68 5070 &amp; 8034</t>
  </si>
  <si>
    <t>Determination of High Voltage/Low Voltage Gross Plant Percentage of SCE ISO Transmission Facilities</t>
  </si>
  <si>
    <t>TOTAL TRANSMISSION SUBSTATIONS</t>
  </si>
  <si>
    <t>2150</t>
  </si>
  <si>
    <t>1320</t>
  </si>
  <si>
    <t>352</t>
  </si>
  <si>
    <t>353</t>
  </si>
  <si>
    <t>1330</t>
  </si>
  <si>
    <t>1451</t>
  </si>
  <si>
    <t>1808</t>
  </si>
  <si>
    <t>1809</t>
  </si>
  <si>
    <t>1810</t>
  </si>
  <si>
    <t>1812</t>
  </si>
  <si>
    <t>1818</t>
  </si>
  <si>
    <t>1824</t>
  </si>
  <si>
    <t>1839</t>
  </si>
  <si>
    <t>1860</t>
  </si>
  <si>
    <t>1864</t>
  </si>
  <si>
    <t>1866</t>
  </si>
  <si>
    <t>1867</t>
  </si>
  <si>
    <t>350</t>
  </si>
  <si>
    <t>1869</t>
  </si>
  <si>
    <t>2212</t>
  </si>
  <si>
    <t>2236</t>
  </si>
  <si>
    <t>2239</t>
  </si>
  <si>
    <t>2300</t>
  </si>
  <si>
    <t>2301</t>
  </si>
  <si>
    <t>2303</t>
  </si>
  <si>
    <t>2305</t>
  </si>
  <si>
    <t>2307</t>
  </si>
  <si>
    <t>2309</t>
  </si>
  <si>
    <t>2313</t>
  </si>
  <si>
    <t>2314</t>
  </si>
  <si>
    <t>2315</t>
  </si>
  <si>
    <t>2318</t>
  </si>
  <si>
    <t>2324</t>
  </si>
  <si>
    <t>2325</t>
  </si>
  <si>
    <t>2326</t>
  </si>
  <si>
    <t>2327</t>
  </si>
  <si>
    <t>2328</t>
  </si>
  <si>
    <t>2331</t>
  </si>
  <si>
    <t>2500</t>
  </si>
  <si>
    <t>2501</t>
  </si>
  <si>
    <t>2503</t>
  </si>
  <si>
    <t>2514</t>
  </si>
  <si>
    <t>2525</t>
  </si>
  <si>
    <t>2526</t>
  </si>
  <si>
    <t>2553</t>
  </si>
  <si>
    <t>2556</t>
  </si>
  <si>
    <t>2571</t>
  </si>
  <si>
    <t>3717</t>
  </si>
  <si>
    <t>4026</t>
  </si>
  <si>
    <t>4031</t>
  </si>
  <si>
    <t>4034</t>
  </si>
  <si>
    <t>4101</t>
  </si>
  <si>
    <t>4107</t>
  </si>
  <si>
    <t>4108</t>
  </si>
  <si>
    <t>4114</t>
  </si>
  <si>
    <t>4115</t>
  </si>
  <si>
    <t>4116</t>
  </si>
  <si>
    <t>4117</t>
  </si>
  <si>
    <t>4118</t>
  </si>
  <si>
    <t>4119</t>
  </si>
  <si>
    <t>4120</t>
  </si>
  <si>
    <t>4123</t>
  </si>
  <si>
    <t>4125</t>
  </si>
  <si>
    <t>4138</t>
  </si>
  <si>
    <t>4147</t>
  </si>
  <si>
    <t>4157</t>
  </si>
  <si>
    <t>4169</t>
  </si>
  <si>
    <t>4188</t>
  </si>
  <si>
    <t>4200</t>
  </si>
  <si>
    <t>4300</t>
  </si>
  <si>
    <t>4307</t>
  </si>
  <si>
    <t>4400</t>
  </si>
  <si>
    <t>4600</t>
  </si>
  <si>
    <t>4700</t>
  </si>
  <si>
    <t>4705</t>
  </si>
  <si>
    <t>4750</t>
  </si>
  <si>
    <t>4800</t>
  </si>
  <si>
    <t>5000</t>
  </si>
  <si>
    <t>5001</t>
  </si>
  <si>
    <t>5011</t>
  </si>
  <si>
    <t>5012</t>
  </si>
  <si>
    <t>5013</t>
  </si>
  <si>
    <t>5015</t>
  </si>
  <si>
    <t>5016</t>
  </si>
  <si>
    <t>5019</t>
  </si>
  <si>
    <t>5021</t>
  </si>
  <si>
    <t>5022</t>
  </si>
  <si>
    <t>5023</t>
  </si>
  <si>
    <t>5024</t>
  </si>
  <si>
    <t>5025</t>
  </si>
  <si>
    <t>5028</t>
  </si>
  <si>
    <t>5031</t>
  </si>
  <si>
    <t>5032</t>
  </si>
  <si>
    <t>5034</t>
  </si>
  <si>
    <t>5035</t>
  </si>
  <si>
    <t>5036</t>
  </si>
  <si>
    <t>5038</t>
  </si>
  <si>
    <t>5040</t>
  </si>
  <si>
    <t>5043</t>
  </si>
  <si>
    <t>5044</t>
  </si>
  <si>
    <t>5045</t>
  </si>
  <si>
    <t>5046</t>
  </si>
  <si>
    <t>5047</t>
  </si>
  <si>
    <t>5048</t>
  </si>
  <si>
    <t>5049</t>
  </si>
  <si>
    <t>5050</t>
  </si>
  <si>
    <t>5051</t>
  </si>
  <si>
    <t>5052</t>
  </si>
  <si>
    <t>5053</t>
  </si>
  <si>
    <t>5055</t>
  </si>
  <si>
    <t>5056</t>
  </si>
  <si>
    <t>5058</t>
  </si>
  <si>
    <t>5060</t>
  </si>
  <si>
    <t>5061</t>
  </si>
  <si>
    <t>5062</t>
  </si>
  <si>
    <t>5063</t>
  </si>
  <si>
    <t>5065</t>
  </si>
  <si>
    <t>5066</t>
  </si>
  <si>
    <t>5067</t>
  </si>
  <si>
    <t>5068</t>
  </si>
  <si>
    <t>5071</t>
  </si>
  <si>
    <t>5072</t>
  </si>
  <si>
    <t>5073</t>
  </si>
  <si>
    <t>5074</t>
  </si>
  <si>
    <t>5078</t>
  </si>
  <si>
    <t>5080</t>
  </si>
  <si>
    <t>5083</t>
  </si>
  <si>
    <t>5086</t>
  </si>
  <si>
    <t>5087</t>
  </si>
  <si>
    <t>5088</t>
  </si>
  <si>
    <t>5089</t>
  </si>
  <si>
    <t>5090</t>
  </si>
  <si>
    <t>5091</t>
  </si>
  <si>
    <t>5092</t>
  </si>
  <si>
    <t>5093</t>
  </si>
  <si>
    <t>5094</t>
  </si>
  <si>
    <t>5097</t>
  </si>
  <si>
    <t>5165</t>
  </si>
  <si>
    <t>5374</t>
  </si>
  <si>
    <t>8000</t>
  </si>
  <si>
    <t>8003</t>
  </si>
  <si>
    <t>8004</t>
  </si>
  <si>
    <t>8005</t>
  </si>
  <si>
    <t>8009</t>
  </si>
  <si>
    <t>8010</t>
  </si>
  <si>
    <t>8011</t>
  </si>
  <si>
    <t>8012</t>
  </si>
  <si>
    <t>8013</t>
  </si>
  <si>
    <t>8014</t>
  </si>
  <si>
    <t>8016</t>
  </si>
  <si>
    <t>8017</t>
  </si>
  <si>
    <t>8019</t>
  </si>
  <si>
    <t>8021</t>
  </si>
  <si>
    <t>8023</t>
  </si>
  <si>
    <t>8024</t>
  </si>
  <si>
    <t>8025</t>
  </si>
  <si>
    <t>8026</t>
  </si>
  <si>
    <t>8027</t>
  </si>
  <si>
    <t>8028</t>
  </si>
  <si>
    <t>8029</t>
  </si>
  <si>
    <t>8030</t>
  </si>
  <si>
    <t>8031</t>
  </si>
  <si>
    <t>8032</t>
  </si>
  <si>
    <t>8033</t>
  </si>
  <si>
    <t>8035</t>
  </si>
  <si>
    <t>8037</t>
  </si>
  <si>
    <t>8038</t>
  </si>
  <si>
    <t>8039</t>
  </si>
  <si>
    <t>8041</t>
  </si>
  <si>
    <t>8042</t>
  </si>
  <si>
    <t>8044</t>
  </si>
  <si>
    <t>8045</t>
  </si>
  <si>
    <t>8047</t>
  </si>
  <si>
    <t>8048</t>
  </si>
  <si>
    <t>8049</t>
  </si>
  <si>
    <t>8059</t>
  </si>
  <si>
    <t>8061</t>
  </si>
  <si>
    <t>8063</t>
  </si>
  <si>
    <t>8067</t>
  </si>
  <si>
    <t>8074</t>
  </si>
  <si>
    <t>8075</t>
  </si>
  <si>
    <t>8078</t>
  </si>
  <si>
    <t>8081</t>
  </si>
  <si>
    <t>8082</t>
  </si>
  <si>
    <t>8086</t>
  </si>
  <si>
    <t>8087</t>
  </si>
  <si>
    <t>8088</t>
  </si>
  <si>
    <t>8089</t>
  </si>
  <si>
    <t>8090</t>
  </si>
  <si>
    <t>8091</t>
  </si>
  <si>
    <t>8092</t>
  </si>
  <si>
    <t>8093</t>
  </si>
  <si>
    <t>8094</t>
  </si>
  <si>
    <t>8095</t>
  </si>
  <si>
    <t>8097</t>
  </si>
  <si>
    <t>8098</t>
  </si>
  <si>
    <t>8099</t>
  </si>
  <si>
    <t>8301</t>
  </si>
  <si>
    <t>8303</t>
  </si>
  <si>
    <t>8304</t>
  </si>
  <si>
    <t>8305</t>
  </si>
  <si>
    <t>8306</t>
  </si>
  <si>
    <t>8308</t>
  </si>
  <si>
    <t>8310</t>
  </si>
  <si>
    <t>8311</t>
  </si>
  <si>
    <t>8314</t>
  </si>
  <si>
    <t>8320</t>
  </si>
  <si>
    <t>8321</t>
  </si>
  <si>
    <t>8322</t>
  </si>
  <si>
    <t>8323</t>
  </si>
  <si>
    <t>8324</t>
  </si>
  <si>
    <t>8325</t>
  </si>
  <si>
    <t>8326</t>
  </si>
  <si>
    <t>8327</t>
  </si>
  <si>
    <t>8347</t>
  </si>
  <si>
    <t>8351</t>
  </si>
  <si>
    <t>8353</t>
  </si>
  <si>
    <t>8354</t>
  </si>
  <si>
    <t>8357</t>
  </si>
  <si>
    <t>8359</t>
  </si>
  <si>
    <t>8362</t>
  </si>
  <si>
    <t>8504</t>
  </si>
  <si>
    <t>8932</t>
  </si>
  <si>
    <t>8950</t>
  </si>
  <si>
    <t>8958</t>
  </si>
  <si>
    <t>9009</t>
  </si>
  <si>
    <t>9010</t>
  </si>
  <si>
    <t>9203</t>
  </si>
  <si>
    <t>9219</t>
  </si>
  <si>
    <t>9243</t>
  </si>
  <si>
    <t>File Location</t>
  </si>
  <si>
    <t>Location</t>
  </si>
  <si>
    <t>Generation</t>
  </si>
  <si>
    <t>#1 5067</t>
  </si>
  <si>
    <t>#2 5090</t>
  </si>
  <si>
    <t>#3 5043</t>
  </si>
  <si>
    <t>#4 5069</t>
  </si>
  <si>
    <t>#7 5054 &amp; 8954</t>
  </si>
  <si>
    <t>Description</t>
  </si>
  <si>
    <t>Location Number</t>
  </si>
  <si>
    <t>Ledger Values</t>
  </si>
  <si>
    <t>5539 Anaverde</t>
  </si>
  <si>
    <t>5599 Helijet</t>
  </si>
  <si>
    <t>5564 Palmdale</t>
  </si>
  <si>
    <t>5518 Little Rock</t>
  </si>
  <si>
    <t>5522 Shuttle</t>
  </si>
  <si>
    <t>5548 Oasis</t>
  </si>
  <si>
    <t>5545 Piute</t>
  </si>
  <si>
    <t>5530 Redman</t>
  </si>
  <si>
    <t>5514 Lancaster</t>
  </si>
  <si>
    <t>5508 Del Sur</t>
  </si>
  <si>
    <t>5511 Goldtown</t>
  </si>
  <si>
    <t>5547 Corum</t>
  </si>
  <si>
    <t>5541 Rosamond</t>
  </si>
  <si>
    <t>5553 Cal Cement</t>
  </si>
  <si>
    <t>5357 Cummings</t>
  </si>
  <si>
    <t>5512 Gorman</t>
  </si>
  <si>
    <t>5358 Monolith</t>
  </si>
  <si>
    <t>5566 Quartz Hill</t>
  </si>
  <si>
    <t>8504 Ritter Ranch</t>
  </si>
  <si>
    <t>1.  Devers-Mirage System</t>
  </si>
  <si>
    <t>2.  East Kern Wind Resource Area and Future Project (Antelope-Bailey System)</t>
  </si>
  <si>
    <t>3.  Current FERC methodology for transformer bank circuit breakers</t>
  </si>
  <si>
    <t>#73 5539 Anaverde</t>
  </si>
  <si>
    <t>#74 5599 Helijet</t>
  </si>
  <si>
    <t>#75 5564 Palmdale</t>
  </si>
  <si>
    <t>#76 5518 Little Rock</t>
  </si>
  <si>
    <t>#77 5522 Shuttle</t>
  </si>
  <si>
    <t>#78 5548 Oasis</t>
  </si>
  <si>
    <t>#79 5545 Piute</t>
  </si>
  <si>
    <t>#80 5530 Redman</t>
  </si>
  <si>
    <t>#81 5514 Lancaster</t>
  </si>
  <si>
    <t>#82 5508 Del Sur</t>
  </si>
  <si>
    <t>#83 5511 Goldtown</t>
  </si>
  <si>
    <t>#84 5547 Corum</t>
  </si>
  <si>
    <t>#85 5541 Rosamond</t>
  </si>
  <si>
    <t>#86 5553 Cal Cement</t>
  </si>
  <si>
    <t>#87 5357 Cummings</t>
  </si>
  <si>
    <t>#90 5512 Gorman</t>
  </si>
  <si>
    <t>#93 5358 Monolith</t>
  </si>
  <si>
    <t xml:space="preserve">2313 Kern River </t>
  </si>
  <si>
    <t>PARDEE-SYLMAR LNES 1&amp;2</t>
  </si>
  <si>
    <t>EAGLE ROCK-SYLMAR LNE</t>
  </si>
  <si>
    <t>PARDEE-VINCENT LINE CONST</t>
  </si>
  <si>
    <t>RIO HONDO-VINCENT LN 2</t>
  </si>
  <si>
    <t>BIG CRK 3-BIG CRK 4</t>
  </si>
  <si>
    <t>BIGCRK-SPRGVL, MGDN-SPRGV</t>
  </si>
  <si>
    <t>BIG CREEK 4-SPRNGVLL-MGDN</t>
  </si>
  <si>
    <t>NORTH BOULDER-MEAD, OTHER</t>
  </si>
  <si>
    <t>MOHAVE-LUGO 500KV</t>
  </si>
  <si>
    <t>LUGO-ELDORADO LN</t>
  </si>
  <si>
    <t>MOHAVE-LUGO 500 KV LN</t>
  </si>
  <si>
    <t>MOHAVE-ELDORADO LN</t>
  </si>
  <si>
    <t>ELDORADO-BORDER 500 KV LN</t>
  </si>
  <si>
    <t>ELDORADO-MEAD LNS 1&amp;2</t>
  </si>
  <si>
    <t>LUGO-VICTORVLL EDSON-DWP</t>
  </si>
  <si>
    <t>MIDWAY-VINCENT LN 3</t>
  </si>
  <si>
    <t>ELLIS-SANTIAGO LNS 1,2</t>
  </si>
  <si>
    <t>BIG CRK 2-BIG CRK 8</t>
  </si>
  <si>
    <t>DEVERS-PALO VERDE</t>
  </si>
  <si>
    <t>DEVERS-VALLEY LNS 1,2</t>
  </si>
  <si>
    <t>SERRANO-VILLA PK LN 1,2,3</t>
  </si>
  <si>
    <t>DEVERS-SN BRDNO 220 KV LN</t>
  </si>
  <si>
    <t>BLYTHE-EAGLE MT 161 KV LN</t>
  </si>
  <si>
    <t>HOOVER-CLWTR 115 KV LN</t>
  </si>
  <si>
    <t>HOOVER-CLWTER 115 KV LN</t>
  </si>
  <si>
    <t>5085 &amp; 5881</t>
  </si>
  <si>
    <t>#22 5085 &amp; 5881</t>
  </si>
  <si>
    <t>5054 &amp; 8954</t>
  </si>
  <si>
    <t>#8 5081</t>
  </si>
  <si>
    <t>#9 5084</t>
  </si>
  <si>
    <t>#10 8063</t>
  </si>
  <si>
    <t>#11 5062</t>
  </si>
  <si>
    <t>#12 5075</t>
  </si>
  <si>
    <t>#13 5011</t>
  </si>
  <si>
    <t>#14 5023</t>
  </si>
  <si>
    <t>5026 &amp; 1095</t>
  </si>
  <si>
    <t>#16 5086</t>
  </si>
  <si>
    <t>5096 &amp; 1094</t>
  </si>
  <si>
    <t>#18 5055</t>
  </si>
  <si>
    <t>#19 5015</t>
  </si>
  <si>
    <t>#20 5071</t>
  </si>
  <si>
    <t>5027 &amp; 1088</t>
  </si>
  <si>
    <t>#23 5024</t>
  </si>
  <si>
    <t>#24 5021</t>
  </si>
  <si>
    <t>#25 5028</t>
  </si>
  <si>
    <t>#26 5074</t>
  </si>
  <si>
    <t>#27 5073</t>
  </si>
  <si>
    <t>#28 5012</t>
  </si>
  <si>
    <t>#29 5056</t>
  </si>
  <si>
    <t>#30 5087</t>
  </si>
  <si>
    <t>#31 5060</t>
  </si>
  <si>
    <t>#32 5013</t>
  </si>
  <si>
    <t>8076 &amp; 1999</t>
  </si>
  <si>
    <t>#34 5053</t>
  </si>
  <si>
    <t>#35 5088</t>
  </si>
  <si>
    <t>#36 5050</t>
  </si>
  <si>
    <t>#37 5083</t>
  </si>
  <si>
    <t>#38 5082</t>
  </si>
  <si>
    <t>#39 5014</t>
  </si>
  <si>
    <t>#40 2211</t>
  </si>
  <si>
    <t>#41 2212</t>
  </si>
  <si>
    <t>#42 2230</t>
  </si>
  <si>
    <t>#43 2236</t>
  </si>
  <si>
    <t>#44 2229</t>
  </si>
  <si>
    <t>#45 5036</t>
  </si>
  <si>
    <t>#46 5031</t>
  </si>
  <si>
    <t>#47 5034</t>
  </si>
  <si>
    <t>#48 5033</t>
  </si>
  <si>
    <t>#49 5035</t>
  </si>
  <si>
    <t>5042 &amp; 8046</t>
  </si>
  <si>
    <t>#51 5044</t>
  </si>
  <si>
    <t>#52 5063</t>
  </si>
  <si>
    <t>#53 5040</t>
  </si>
  <si>
    <t>#54 8048</t>
  </si>
  <si>
    <t>#55 2556</t>
  </si>
  <si>
    <t>#57 8012</t>
  </si>
  <si>
    <t>#58 8016</t>
  </si>
  <si>
    <t>#59 8098</t>
  </si>
  <si>
    <t>#60 8017</t>
  </si>
  <si>
    <t>#61 8099</t>
  </si>
  <si>
    <t>#62 8004</t>
  </si>
  <si>
    <t>#63 8044</t>
  </si>
  <si>
    <t>#64 8036</t>
  </si>
  <si>
    <t>#65 8345</t>
  </si>
  <si>
    <t>#66 8037</t>
  </si>
  <si>
    <t>5041 &amp; 8040</t>
  </si>
  <si>
    <t>5070 &amp; 8034</t>
  </si>
  <si>
    <t>#69 8049</t>
  </si>
  <si>
    <t>#70 5064</t>
  </si>
  <si>
    <t>#71 5025</t>
  </si>
  <si>
    <t>#72 5052</t>
  </si>
  <si>
    <t>#73 5539</t>
  </si>
  <si>
    <t>#74 5599</t>
  </si>
  <si>
    <t>#75 5564</t>
  </si>
  <si>
    <t>#76 5518</t>
  </si>
  <si>
    <t>#77 5522</t>
  </si>
  <si>
    <t>#78 5548</t>
  </si>
  <si>
    <t>#79 5545</t>
  </si>
  <si>
    <t>#80 5530</t>
  </si>
  <si>
    <t>#81 5514</t>
  </si>
  <si>
    <t>#82 5508</t>
  </si>
  <si>
    <t>#83 5511</t>
  </si>
  <si>
    <t>#84 5547</t>
  </si>
  <si>
    <t>#85 5541</t>
  </si>
  <si>
    <t>#86 5553</t>
  </si>
  <si>
    <t>#87 5357</t>
  </si>
  <si>
    <t>#89 2305</t>
  </si>
  <si>
    <t>#90 5512</t>
  </si>
  <si>
    <t>#91 5059</t>
  </si>
  <si>
    <t>#93 5358</t>
  </si>
  <si>
    <t>Plant</t>
  </si>
  <si>
    <t>FERC</t>
  </si>
  <si>
    <t>CPUC</t>
  </si>
  <si>
    <t>Total</t>
  </si>
  <si>
    <t>SOUTHERN CALIFORNIA EDISON COMPANY</t>
  </si>
  <si>
    <t>DESCRIPTION</t>
  </si>
  <si>
    <t>8051-8055</t>
  </si>
  <si>
    <t>Many Transmission Lines</t>
  </si>
  <si>
    <t>Various 220kv Lines</t>
  </si>
  <si>
    <t>Chino-Serrano</t>
  </si>
  <si>
    <t>Alamitos-Mesa-&amp; Various</t>
  </si>
  <si>
    <t>Lighthipe-Hinson-Long Beach</t>
  </si>
  <si>
    <t>Mira Loma, other</t>
  </si>
  <si>
    <t>Vincent-Pardee Line 2</t>
  </si>
  <si>
    <t>Rio Honda-Vincent Line 2</t>
  </si>
  <si>
    <t>Various 66kv Lines</t>
  </si>
  <si>
    <t>Various 55kv Lines</t>
  </si>
  <si>
    <t>Eastern (Transmission Location)</t>
  </si>
  <si>
    <t>Northern (Transmission Location)</t>
  </si>
  <si>
    <t>Various 115kv Lines</t>
  </si>
  <si>
    <t xml:space="preserve">A/C 360
</t>
  </si>
  <si>
    <t>Land &amp;
Land Rights</t>
  </si>
  <si>
    <t>DISTRIBUTION SUBSTATION FACILITIES</t>
  </si>
  <si>
    <t>LOCATION
NUMBER</t>
  </si>
  <si>
    <t>DISTRIBUTION ACCOUNT</t>
  </si>
  <si>
    <t>VARIOUS 66KV LINES</t>
  </si>
  <si>
    <t>E.MAGUNDEN-ANTELOPE 220KV</t>
  </si>
  <si>
    <t>EAGLE ROCK-MESA 220KV LN</t>
  </si>
  <si>
    <t>CENTER MESA&amp;OLINDA 220KV</t>
  </si>
  <si>
    <t>DESERT REGION 115KV LINES</t>
  </si>
  <si>
    <t>MOORPARK-PARDEE 200KV LN</t>
  </si>
  <si>
    <t>=</t>
  </si>
  <si>
    <t>A/C 361</t>
  </si>
  <si>
    <t>A/C 362</t>
  </si>
  <si>
    <t>A/C 360-362</t>
  </si>
  <si>
    <t>Structures &amp;
Improvements</t>
  </si>
  <si>
    <t>Station
Equipment</t>
  </si>
  <si>
    <t>TOTAL</t>
  </si>
  <si>
    <t>Bailey</t>
  </si>
  <si>
    <t>Total HV &amp; LV Gross Plant</t>
  </si>
  <si>
    <t>Transmission Lines:</t>
  </si>
  <si>
    <t>Substations:</t>
  </si>
  <si>
    <t>5298</t>
  </si>
  <si>
    <t>Voltage</t>
  </si>
  <si>
    <t>750KV</t>
  </si>
  <si>
    <t>Total ISO
Gross Plant</t>
  </si>
  <si>
    <t>Land
HV</t>
  </si>
  <si>
    <t>Land
LV</t>
  </si>
  <si>
    <t>Structures
HV</t>
  </si>
  <si>
    <t>Structures
LV</t>
  </si>
  <si>
    <t>Transformers
HV/LV</t>
  </si>
  <si>
    <t>High</t>
  </si>
  <si>
    <t>Low</t>
  </si>
  <si>
    <t>Facility:</t>
  </si>
  <si>
    <t>500 kV Substations:</t>
  </si>
  <si>
    <t>230 kV Substations</t>
  </si>
  <si>
    <t>Location #</t>
  </si>
  <si>
    <t>Mix</t>
  </si>
  <si>
    <t>Southern California Edison Company</t>
  </si>
  <si>
    <t>Summary of ISO Facility Gross Plant</t>
  </si>
  <si>
    <t>Summary of Transmission Facility Gross Plant</t>
  </si>
  <si>
    <t>High/Low Voltage Split</t>
  </si>
  <si>
    <t>($)</t>
  </si>
  <si>
    <t>Total ISO Plant</t>
  </si>
  <si>
    <t>Gross ISO Plant Split into High Voltage, Low Voltage, and Transformers that Straddle HV/LV</t>
  </si>
  <si>
    <t>750 kV T Lines</t>
  </si>
  <si>
    <t>500 kV T Lines</t>
  </si>
  <si>
    <t>230 kV T Lines</t>
  </si>
  <si>
    <t>161 kV T Lines</t>
  </si>
  <si>
    <t>115 kV T Lines</t>
  </si>
  <si>
    <t>Total  Transmission Lines</t>
  </si>
  <si>
    <t xml:space="preserve"> </t>
  </si>
  <si>
    <t>Total Substations</t>
  </si>
  <si>
    <t>Total Lines and Substations</t>
  </si>
  <si>
    <t>Gross Plant Percentage Determined Pursuant to ISO Tariff Section 12</t>
  </si>
  <si>
    <t>Gross Plant that can be
determined HV/LV</t>
  </si>
  <si>
    <t>High
Voltage</t>
  </si>
  <si>
    <t>Low
Voltage</t>
  </si>
  <si>
    <t>Total Determined HV/LV</t>
  </si>
  <si>
    <t>Percentage:</t>
  </si>
  <si>
    <t>Huntington Beach- Ellis GRT (4 Lines)</t>
  </si>
  <si>
    <t>Check</t>
  </si>
  <si>
    <t>A/C 360</t>
  </si>
  <si>
    <t>CSTMR SRVC FAC.</t>
  </si>
  <si>
    <t>Total Structures</t>
  </si>
  <si>
    <t>ISO TRANSMISSION LINES BY</t>
  </si>
  <si>
    <t>OPERATING VOLTAGE / CIRCUIT NAME</t>
  </si>
  <si>
    <t>OPERATING VOLTAGE</t>
  </si>
  <si>
    <t>LOCATION</t>
  </si>
  <si>
    <t>CIRCUIT</t>
  </si>
  <si>
    <t>A C C O U N T    N O.</t>
  </si>
  <si>
    <t>CIRCUIT NAME</t>
  </si>
  <si>
    <t>NO.</t>
  </si>
  <si>
    <t>MILES</t>
  </si>
  <si>
    <t>354</t>
  </si>
  <si>
    <t>355</t>
  </si>
  <si>
    <t>356</t>
  </si>
  <si>
    <t>357</t>
  </si>
  <si>
    <t>358</t>
  </si>
  <si>
    <t>359</t>
  </si>
  <si>
    <t>1000kV TRANSMISSION LINES</t>
  </si>
  <si>
    <t>CELILO-SYLMAR HV DC - CALIF.</t>
  </si>
  <si>
    <t>CELILO-SYLMAR HV DC - NEVADA</t>
  </si>
  <si>
    <t>TOTAL CELILO-SYLMAR</t>
  </si>
  <si>
    <t>TOTAL 1000kV T/L'S</t>
  </si>
  <si>
    <t>500kV TRANSMISSION LINES</t>
  </si>
  <si>
    <t>DEVERS-PALO VERDE - CALIF.</t>
  </si>
  <si>
    <t>DEVERS-PALO VERDE - ARIZONA</t>
  </si>
  <si>
    <t>TOTAL DEVERS-PALO VERDE</t>
  </si>
  <si>
    <t>DEVERS-VALLEY</t>
  </si>
  <si>
    <t>ELDORADO-LUGO - CALIF.</t>
  </si>
  <si>
    <t>ELDORADO-LUGO - NEVADA</t>
  </si>
  <si>
    <t>TOTAL ELDORADO-LUGO</t>
  </si>
  <si>
    <t>ELDORADO-MCCULLOUGH (SCE PORTION)</t>
  </si>
  <si>
    <t>N/A</t>
  </si>
  <si>
    <t>ELDORADO-MOENKOPI  (SCE PORTION)</t>
  </si>
  <si>
    <t>ELDORADO-MOHAVE</t>
  </si>
  <si>
    <t>LAUGHLIN-MOHAVE  (SCE PORTION)</t>
  </si>
  <si>
    <t>LUGO-MOHAVE - NEVADA</t>
  </si>
  <si>
    <t>LUGO-MOHAVE - CALIF.</t>
  </si>
  <si>
    <t>TOTAL LUGO-MOHAVE</t>
  </si>
  <si>
    <t>LUGO-MIRA LOMA No.2</t>
  </si>
  <si>
    <t>LUGO-MIRA LOMA No. 3</t>
  </si>
  <si>
    <t>LUGO-VICTORVILLE  (SCE PORTION)</t>
  </si>
  <si>
    <t>LUGO-VINCENT No. 1</t>
  </si>
  <si>
    <t>LUGO-VINCENT No. 2</t>
  </si>
  <si>
    <t>MIDWAY-VINCENT No. 1</t>
  </si>
  <si>
    <t>MIDWAY-VINCENT No. 2</t>
  </si>
  <si>
    <t>MIDWAY-VINCENT No. 3  (SCE PORTION)</t>
  </si>
  <si>
    <t>SERRANO-VALLEY</t>
  </si>
  <si>
    <t>TOTAL 500kV T/L'S</t>
  </si>
  <si>
    <t>220kV TRANSMISSION LINES</t>
  </si>
  <si>
    <t>ANTELOPE WINDHUB ($56M)</t>
  </si>
  <si>
    <t>ANTELOPE-PARDEE ($132M)</t>
  </si>
  <si>
    <t>ALAMITOS-BARRE No. 2</t>
  </si>
  <si>
    <t>ALAMITOS-CENTER</t>
  </si>
  <si>
    <t>ALAMITOS-LIGHTHIPE</t>
  </si>
  <si>
    <t>ANTELOPE-MAGUNDEN No. 1</t>
  </si>
  <si>
    <t>ANTELOPE-MAGUNDEN No. 2</t>
  </si>
  <si>
    <t>BAILEY-PARDEE</t>
  </si>
  <si>
    <t>BAILEY-PASTORIA</t>
  </si>
  <si>
    <t>BARRE-ELLIS</t>
  </si>
  <si>
    <t>BARRE-LEWIS</t>
  </si>
  <si>
    <t>BARRE-VILLA PARK</t>
  </si>
  <si>
    <t>BIG CREEK 1-BIG CREEK 2</t>
  </si>
  <si>
    <t>BIG CREEK 1-RECTOR</t>
  </si>
  <si>
    <t>BIG CREEK 2-BIG CREEK 3</t>
  </si>
  <si>
    <t>BIG CREEK 2-BIG CREEK 8</t>
  </si>
  <si>
    <t>BIG CREEK 3-BIG CREEK 4</t>
  </si>
  <si>
    <t>BIG CREEK 3-BIG CREEK 8</t>
  </si>
  <si>
    <t>BIG CREEK 3-RECTOR</t>
  </si>
  <si>
    <t>BIG CREEK 3-SPRINGVILLE</t>
  </si>
  <si>
    <t>BIG CREEK 4-SPRINGVILLE</t>
  </si>
  <si>
    <t>CENTER-DEL AMO</t>
  </si>
  <si>
    <t>CENTER-MESA</t>
  </si>
  <si>
    <t>CENTER-OLINDA</t>
  </si>
  <si>
    <t>CHEVMAIN-EL NIDO</t>
  </si>
  <si>
    <t>OH</t>
  </si>
  <si>
    <t>UG</t>
  </si>
  <si>
    <t>TOTAL CHEVMAIN-EL NIDO</t>
  </si>
  <si>
    <t>CHEVMAIN-EL SEGUNDO</t>
  </si>
  <si>
    <t>CHINO-MIRA LOMA No.1</t>
  </si>
  <si>
    <t>CHINO-MIRA LOMA No. 2</t>
  </si>
  <si>
    <t>CHINO-MIRA LOMA No. 3</t>
  </si>
  <si>
    <t>CHINO-SERRANO</t>
  </si>
  <si>
    <t>CHINO-VIEJO</t>
  </si>
  <si>
    <t>CIMA-ELDORADO-PISGAH No. 1 - CALIF.</t>
  </si>
  <si>
    <t>CIMA-ELDORADO-PISGAH No. 1 - NEVADA</t>
  </si>
  <si>
    <t>TOTAL CIMA-ELDORADO-PISGAH No.1</t>
  </si>
  <si>
    <t>CIMA-ELDORADO-PISGAH No. 2 - CALIF.</t>
  </si>
  <si>
    <t>CIMA-ELDORADO-PISGAH No. 2 - NEVADA</t>
  </si>
  <si>
    <t>TOTAL CIMA-ELDORADO-PISGAH No.2</t>
  </si>
  <si>
    <t>COACHELLA VALLEY-DEVERS</t>
  </si>
  <si>
    <t>DEL AMO-ELLIS</t>
  </si>
  <si>
    <t>DEL AMO-HINSON</t>
  </si>
  <si>
    <t>TOTAL DEL AMO-HINSON</t>
  </si>
  <si>
    <t>DEL AMO-LAGUNA BELL</t>
  </si>
  <si>
    <t>TOTAL DEL AMO-LAGUNA BELL</t>
  </si>
  <si>
    <t>DEVERS-MIRAGE</t>
  </si>
  <si>
    <t>DEVERS-VISTA No. 1</t>
  </si>
  <si>
    <t>TOTAL DEVERS-VISTA No. 1</t>
  </si>
  <si>
    <t>DEVERS-VISTA No. 2</t>
  </si>
  <si>
    <t>TOTAL DEVERS-VISTA No. 2</t>
  </si>
  <si>
    <t>EAGLE ROCK-MESA</t>
  </si>
  <si>
    <t>TOTAL EAGLE ROCK-MESA</t>
  </si>
  <si>
    <t>EAGLE ROCK-PARDEE</t>
  </si>
  <si>
    <t>TOTAL EAGLE ROCK-PARDEE</t>
  </si>
  <si>
    <t>EAGLE ROCK-SYLMAR</t>
  </si>
  <si>
    <t>TOTAL EAGLE ROCK-SYLMAR</t>
  </si>
  <si>
    <t>EL NIDO-EL SEGUNDO</t>
  </si>
  <si>
    <t>TOTAL EL NIDO-EL SEGUNDO</t>
  </si>
  <si>
    <t>EL NIDO-LA CIENEGA</t>
  </si>
  <si>
    <t>EL NIDO-LA FRESA No. 3</t>
  </si>
  <si>
    <t>EL NIDO-LA FRESA No. 4</t>
  </si>
  <si>
    <t>ELDORADO-MEAD No. 1</t>
  </si>
  <si>
    <t xml:space="preserve">ELDORADO-MEAD No. 2 </t>
  </si>
  <si>
    <t>ELDORADO-MERCHANT</t>
  </si>
  <si>
    <t>ELLIS-JOHANNA</t>
  </si>
  <si>
    <t>ELLIS-SANTIAGO</t>
  </si>
  <si>
    <t>ETIWANDA-MIRA LOMA</t>
  </si>
  <si>
    <t>ETIWANDA-PADUA</t>
  </si>
  <si>
    <t>ETIWANDA-SAN BERNARDINO</t>
  </si>
  <si>
    <t>TOTAL ETIWANDA-SAN BERNARDINO</t>
  </si>
  <si>
    <t>ETIWANDA-VISTA</t>
  </si>
  <si>
    <t>GOLETA-SANTA CLARA No. 1</t>
  </si>
  <si>
    <t>GOLETA-SANTA CLARA No. 2</t>
  </si>
  <si>
    <t>GOODRICH-GOULD</t>
  </si>
  <si>
    <t>GOODRICH-LAGUNA BELL</t>
  </si>
  <si>
    <t>GOULD-SYLMAR</t>
  </si>
  <si>
    <t>HARBORGEN-HINSON</t>
  </si>
  <si>
    <t>HARBORGEN-LONG BEACH</t>
  </si>
  <si>
    <t>HINSON-LA FRESA</t>
  </si>
  <si>
    <t>TOTAL HINSON-LA FRESA</t>
  </si>
  <si>
    <t>HINSON-LIGHTHIPE</t>
  </si>
  <si>
    <t>HOOVER-MEAD No. 2  (No. Boulder-Mead)</t>
  </si>
  <si>
    <t>HOOVER-MEAD No. 3  (So. Boulder-Mead)</t>
  </si>
  <si>
    <t>JOHANNA-SANTIAGO</t>
  </si>
  <si>
    <t>JULIAN HINDS-MIRAGE</t>
  </si>
  <si>
    <t>KRAMER-LUGO No. 1</t>
  </si>
  <si>
    <t>KRAMER-LUGO No. 2</t>
  </si>
  <si>
    <t>LA CIENEGA-LA FRESA</t>
  </si>
  <si>
    <t>LA FRESA-LAGUNA BELL</t>
  </si>
  <si>
    <t>TOTAL LA FRESA-LAGUNA BELL</t>
  </si>
  <si>
    <t>LA FRESA-REDONDO No. 1</t>
  </si>
  <si>
    <t>LA FRESA-REDONDO No. 2</t>
  </si>
  <si>
    <t>LAGUNA BELL-RIO HONDO</t>
  </si>
  <si>
    <t>LAGUNA BELL-VELASCO</t>
  </si>
  <si>
    <t>LEWIS-SERRANO No.1</t>
  </si>
  <si>
    <t>LEWIS-SERRANO No. 2</t>
  </si>
  <si>
    <t>LEWIS-VILLA PARK</t>
  </si>
  <si>
    <t>LIGHTHIPE-LONG BEACH</t>
  </si>
  <si>
    <t>LIGHTHIPE-MESA</t>
  </si>
  <si>
    <t>LIGHTHIPE-REDONDO</t>
  </si>
  <si>
    <t>LUGO-PISGAH No. 1</t>
  </si>
  <si>
    <t>LUGO-PISGAH No. 2</t>
  </si>
  <si>
    <t>LUGO-VICTOR No. 1</t>
  </si>
  <si>
    <t>LUGO-VICTOR No. 2</t>
  </si>
  <si>
    <t>MAGUNDEN-PASTORIA No. 1</t>
  </si>
  <si>
    <t>MAGUNDEN-PASTORIA No. 2</t>
  </si>
  <si>
    <t>MAGUNDEN-PASTORIA No. 3</t>
  </si>
  <si>
    <t>MAGUNDEN-SPRINGVILLE No. 1</t>
  </si>
  <si>
    <t>MAGUNDEN-SPRINGVILLE No. 2</t>
  </si>
  <si>
    <t>MAGUNDEN-VESTAL No. 1</t>
  </si>
  <si>
    <t>MAGUNDEN-VESTAL No. 2</t>
  </si>
  <si>
    <t>MESA-REDONDO</t>
  </si>
  <si>
    <t>TOTAL MESA-REDONDO</t>
  </si>
  <si>
    <t>MESA-RIO HONDO</t>
  </si>
  <si>
    <t>MESA-VINCENT</t>
  </si>
  <si>
    <t>TOTAL MESA-VINCENT</t>
  </si>
  <si>
    <t>MESA-WALNUT</t>
  </si>
  <si>
    <t>MIRA LOMA-OLINDA</t>
  </si>
  <si>
    <t>MIRA LOMA-PADUA</t>
  </si>
  <si>
    <t>TOTAL MIRA LOMA-PADUA</t>
  </si>
  <si>
    <t>MIRA LOMA-VISTA No. 1</t>
  </si>
  <si>
    <t>MIRA LOMA-VISTA No. 2</t>
  </si>
  <si>
    <t>MIRA LOMA-WALNUT</t>
  </si>
  <si>
    <t>MIRAGE-RAMON (SCE PORTION)</t>
  </si>
  <si>
    <t>MOORPARK-PARDEE No. 1</t>
  </si>
  <si>
    <t>MOORPARK-PARDEE No. 2</t>
  </si>
  <si>
    <t>MOORPARK-PARDEE No. 3</t>
  </si>
  <si>
    <t>MOORPARK-SANTA CLARA No. 1</t>
  </si>
  <si>
    <t>MOORPARK-SANTA CLARA No. 2</t>
  </si>
  <si>
    <t>OLINDA-WALNUT</t>
  </si>
  <si>
    <t>PARDEE-PASTORIA</t>
  </si>
  <si>
    <t>PARDEE-PASTORIA-WARNE</t>
  </si>
  <si>
    <t>*</t>
  </si>
  <si>
    <t>PARDEE-SANTA CLARA</t>
  </si>
  <si>
    <t>PARDEE-SYLMAR No. 1</t>
  </si>
  <si>
    <t>TOTAL PARDEE-SYLMAR No. 1</t>
  </si>
  <si>
    <t>PARDEE-SYLMAR No. 2</t>
  </si>
  <si>
    <t>TOTAL PARDEE-SYLMAR No. 2</t>
  </si>
  <si>
    <t>PARDEE-VINCENT</t>
  </si>
  <si>
    <t>TOTAL PARDEE-VINCENT</t>
  </si>
  <si>
    <t>RECTOR-VESTAL No. 1</t>
  </si>
  <si>
    <t>RECTOR-VESTAL No. 2</t>
  </si>
  <si>
    <t>RIO HONDO-VINCENT No. 1</t>
  </si>
  <si>
    <t>RIO HONDO-VINCENT No. 2</t>
  </si>
  <si>
    <t>TOTAL RIO HONDO-VINCENT No. 2</t>
  </si>
  <si>
    <t>SAN BERNARDINO-VISTA</t>
  </si>
  <si>
    <t>TOTAL SAN BERNARDINO-VISTA</t>
  </si>
  <si>
    <t>SAN ONOFRE-SANTIAGO No. 1</t>
  </si>
  <si>
    <t>SAN ONOFRE-SANTIAGO No. 2</t>
  </si>
  <si>
    <t>SAN ONOFRE-SERRANO</t>
  </si>
  <si>
    <t>SAN ONOFRE-VIEJO</t>
  </si>
  <si>
    <t>SANTA CLARA-VINCENT</t>
  </si>
  <si>
    <t>TOTAL SANTA CLARA-VINCENT</t>
  </si>
  <si>
    <t>SERRANO-VILLA PARK No. 1</t>
  </si>
  <si>
    <t>High Voltage Substations 
(750 kV, 500kV, 220kV)</t>
  </si>
  <si>
    <t>Low Voltage Substations 
(Less Than 220kV)</t>
  </si>
  <si>
    <t>End of Year 2011 Facilities</t>
  </si>
  <si>
    <t>Total Plant
FERC Form 1</t>
  </si>
  <si>
    <t>Does FF1 Total Equal Plant Study total</t>
  </si>
  <si>
    <t>Total Transmission</t>
  </si>
  <si>
    <t>Total Distribution</t>
  </si>
  <si>
    <t>ISO Transmission and Distribution Facility</t>
  </si>
  <si>
    <t>Plant Total by Account</t>
  </si>
  <si>
    <t>ISO Study Assumptions</t>
  </si>
  <si>
    <t>Straddle</t>
  </si>
  <si>
    <t>High / Low / Straddle Voltage</t>
  </si>
  <si>
    <t>KELLOGG SUB</t>
  </si>
  <si>
    <t>TOTAL LUGO-MIRA LOMA</t>
  </si>
  <si>
    <t>MIRA LOMA-SERRANO No. 1 &amp; 2</t>
  </si>
  <si>
    <t>VALLEY SUB</t>
  </si>
  <si>
    <t>Built as 500kV energized as 220</t>
  </si>
  <si>
    <t>ALAMITOS-BARRE NO. 1</t>
  </si>
  <si>
    <t>ANTELOPE-VINCENT No. 1&amp;2 ($88M)</t>
  </si>
  <si>
    <t>ANTELOPE-MESA (DISCONNECTED)</t>
  </si>
  <si>
    <t>DEVERS-SAN BERNARDINO No.1</t>
  </si>
  <si>
    <t>DEVERS-EL CASCO</t>
  </si>
  <si>
    <t>TOTAL DEVERS-EL CASCO</t>
  </si>
  <si>
    <t>EL CASCO-SAN BERNARDINO</t>
  </si>
  <si>
    <t>TOTAL EL CASCO-SAN BERNARDINO</t>
  </si>
  <si>
    <t>MIRA LOMA-RANCHO VISTA No.1 &amp; 2</t>
  </si>
  <si>
    <t>PADUA-RANCHO VISTA No.1 &amp; 2</t>
  </si>
  <si>
    <t>PARDEE-VINCENT (IDLE)</t>
  </si>
  <si>
    <t>SAN BERNARDINO-VISTA (IDLE)</t>
  </si>
  <si>
    <t>TOTAL KRAMER-VICTOR</t>
  </si>
  <si>
    <t>66kV TRANSMISSION LINES</t>
  </si>
  <si>
    <t>ANTELOPE-NEENACH</t>
  </si>
  <si>
    <t>TOTAL 66kV T/L'S</t>
  </si>
  <si>
    <t>DEVERS-EISENHOWER (IDLE)</t>
  </si>
  <si>
    <t>TOTAL DEVERS-EISENHOWER</t>
  </si>
  <si>
    <t>GARNET-SANTA ROSA (IDLE)</t>
  </si>
  <si>
    <t>TOTAL MIRAGE-TAMARISK</t>
  </si>
  <si>
    <t>TOTAL SANTA ROSA-TAMARISK</t>
  </si>
  <si>
    <t>MIRAGE-SANTA ROSA-TAMARISK</t>
  </si>
  <si>
    <t>TOTAL MIRAGE-SANTA ROSA-TAMARISK</t>
  </si>
  <si>
    <t>TOTAL DEVERS-GARNET-VENWIND</t>
  </si>
  <si>
    <t>MIRAGE-SANTA ROSA</t>
  </si>
  <si>
    <t>MIRAGE-CAPWIND-DEVERS (TAMARISK TAP NOT UPDATED)</t>
  </si>
  <si>
    <t>MIRAGE-CONCHO</t>
  </si>
  <si>
    <t>ACTON-PALMDALE-SHUTTLE</t>
  </si>
  <si>
    <t>ACTON-RITTER RANCH</t>
  </si>
  <si>
    <t>ANAVERDE-RITTER RANCH</t>
  </si>
  <si>
    <t>ANTELOPE-RITTER RANCH No.1</t>
  </si>
  <si>
    <t>TOTAL ANTELOPE-RITTER RANCH No.1 and ANAVERDE-RITTER RANCH</t>
  </si>
  <si>
    <t>TOTAL ANTELOPE-ANAVERDE-HELIJET</t>
  </si>
  <si>
    <t>ANTELOPE-LANCASTER-OASIS</t>
  </si>
  <si>
    <t>ANTELOPE-QUARTZ HILL No.2</t>
  </si>
  <si>
    <t>TOTAL ANTELOPE-QUARTZ HILL No.2</t>
  </si>
  <si>
    <t>ANTELOPE-RITTER RANCH No.2</t>
  </si>
  <si>
    <t>TOTAL ANTELOPE-RITTER RANCH No.2</t>
  </si>
  <si>
    <t>CORRECTION-CUMMINGS--KERN RIVER No. 1</t>
  </si>
  <si>
    <t>TOTAL CORRECTION-CUMMINGS--KERN RIVER No. 1</t>
  </si>
  <si>
    <t>ANTELOPE-QUARTZ HILL No.1</t>
  </si>
  <si>
    <t>TOTAL ANTELOPE-QUARTZ HILL No.1</t>
  </si>
  <si>
    <t>OASIS-PALMDALE-QUARTZ HILL</t>
  </si>
  <si>
    <t>ANTELOPE-QUARTZ HILL-SHUTTLE</t>
  </si>
  <si>
    <t>TOTAL ANTELOPE-QUARTZ HILL-SHUTTLE</t>
  </si>
  <si>
    <t>AS OF DECEMBER 31, 2011</t>
  </si>
  <si>
    <t>Refer Substation Study</t>
  </si>
  <si>
    <t>ANTELOPE-MESA 220 KV LN</t>
  </si>
  <si>
    <t xml:space="preserve">DWP-EDSN CELILO-SYLMR LN </t>
  </si>
  <si>
    <t xml:space="preserve">MIDWAY-VINCENT LINES 1&amp;2 </t>
  </si>
  <si>
    <t xml:space="preserve">LUGO-VINCENT LNES 1&amp;2    </t>
  </si>
  <si>
    <t xml:space="preserve">MOHAVE-LUGO 500KV        </t>
  </si>
  <si>
    <t xml:space="preserve">LUGO-ELDORADO LN         </t>
  </si>
  <si>
    <t xml:space="preserve">LUGO-MIRA LOMA 2&amp;3       </t>
  </si>
  <si>
    <t xml:space="preserve">MOHAVE-LUGO 500 KV LN    </t>
  </si>
  <si>
    <t xml:space="preserve">MOHAVE-ELDORADO LN       </t>
  </si>
  <si>
    <t xml:space="preserve">MIRA LOMA-SERRANO LN     </t>
  </si>
  <si>
    <t xml:space="preserve">Mira Loma-Serrano Ln     </t>
  </si>
  <si>
    <t>retirements from 354, 356</t>
  </si>
  <si>
    <t xml:space="preserve">LUGO-VICTORVLL EDSON-DWP </t>
  </si>
  <si>
    <t xml:space="preserve">MIDWAY-VINCENT LN 3      </t>
  </si>
  <si>
    <t xml:space="preserve">DEVERS-PALO VERDE        </t>
  </si>
  <si>
    <t xml:space="preserve">DEVERS-VALLEY LNS 1,2    </t>
  </si>
  <si>
    <t xml:space="preserve">SERRANO-VALLEY LN        </t>
  </si>
  <si>
    <t xml:space="preserve">MIRA LOMA SUB            </t>
  </si>
  <si>
    <t xml:space="preserve">VALLEY-500 KV            </t>
  </si>
  <si>
    <t xml:space="preserve">SERRANO SUB              </t>
  </si>
  <si>
    <t xml:space="preserve">EL DORADO SUB(NEVADA)    </t>
  </si>
  <si>
    <t>$1.7 million reversal from 106</t>
  </si>
  <si>
    <t>New Location 4318 Chino Villa Park included, per table 18 closes to 4117</t>
  </si>
  <si>
    <t xml:space="preserve">Mra Lma-Vll Pk Lns, Othr </t>
  </si>
  <si>
    <t>plant adds and retirements 354, 356</t>
  </si>
  <si>
    <t xml:space="preserve">Center-Mesa Ln, Others   </t>
  </si>
  <si>
    <t>106 reversals and $1M of manual adjustments have been removed</t>
  </si>
  <si>
    <t>plant adds less retirements, transfers from 106 to 101</t>
  </si>
  <si>
    <t xml:space="preserve">Vincent-Pardee Ln 2      </t>
  </si>
  <si>
    <t>4644 did not exist last year, was formerly 4602 and 4600 included</t>
  </si>
  <si>
    <t xml:space="preserve">GOULD SUB                </t>
  </si>
  <si>
    <t xml:space="preserve">SANTA CLARA SUB          </t>
  </si>
  <si>
    <t>location 4950 reversal/transfer $95k from 106, 4750 added $10.2M retired $538k $4.6M from 106 to 101 added $2.3M, 4570 reversal/transfer $58k from 106, 4513 $1.8M added to 101 $700k retirement from 101, added $2.8M to 106, closed $1.8M from 106 to 101         adds 350, 354, 355, 356, 359</t>
  </si>
  <si>
    <t xml:space="preserve">115 Kv Lns, Estn T/S Reg </t>
  </si>
  <si>
    <t>location 4950 reversal/transfer $95k from 106, 4750 added $10.2M retired $538k $4.6M from 106 to 101 added $2.3M, 4570 reversal/transfer $58k from 106, 4513 $1.8M added to 101 $700k retirement from 101, added $2.8M to 106, closed $1.8M from 106 to 101....adds 357, 358</t>
  </si>
  <si>
    <t>Mirage-Santa Rosa Line OH</t>
  </si>
  <si>
    <t>included in totals above</t>
  </si>
  <si>
    <t>UG * Kramer Victor Line</t>
  </si>
  <si>
    <t xml:space="preserve">UG 33kV </t>
  </si>
  <si>
    <t>Antelope Ritter Ranch No.2 OH</t>
  </si>
  <si>
    <t>Antelope Ritter Ranch No.2 UG</t>
  </si>
  <si>
    <t>Antelope Quartz Hill No.2 OH</t>
  </si>
  <si>
    <t>Antelope Quartz Hill No.2 UG</t>
  </si>
  <si>
    <t>adds 354</t>
  </si>
  <si>
    <t xml:space="preserve">Borel-...-Walker 66Kv Ln </t>
  </si>
  <si>
    <t>adds 355, 356</t>
  </si>
  <si>
    <t xml:space="preserve">Sprgvll-Tule 66Kv Ln     </t>
  </si>
  <si>
    <t>location 4950 reversal/transfer $95k from 106, 4750 added $10.2M retired $538k $4.6M from 106 to 101 added $2.3M, 4570 reversal/transfer $58k from 106, 4513 $1.8M added to 101 $700k retirement from 101, added $2.8M to 106, closed $1.8M from 106 to 101</t>
  </si>
  <si>
    <t>EOY 2010</t>
  </si>
  <si>
    <t>Northern T/S Region</t>
  </si>
  <si>
    <t>ELLIS-HNGTN BCH#1-4 220KV</t>
  </si>
  <si>
    <t>MOUNTAINVIEW POWER-COMMON</t>
  </si>
  <si>
    <t>Refer to Substation Study</t>
  </si>
  <si>
    <t>MOHAVE GENERATING STATION</t>
  </si>
  <si>
    <t xml:space="preserve">FOUR CORNERS(NEW MEX)    </t>
  </si>
  <si>
    <t xml:space="preserve">EDISON ITAC              </t>
  </si>
  <si>
    <t xml:space="preserve">SAN ONOFRE-COMMON 1,2,3  </t>
  </si>
  <si>
    <t xml:space="preserve">SAN ONOFRE-COMMON 2,3    </t>
  </si>
  <si>
    <t xml:space="preserve">SAN ONOFRE-UNIT 1        </t>
  </si>
  <si>
    <t xml:space="preserve">SAN ONOFRE-UNIT 2        </t>
  </si>
  <si>
    <t xml:space="preserve">SAN ONOFRE-UNIT 3        </t>
  </si>
  <si>
    <t xml:space="preserve">SONGS 2,3 SPARE PARTS    </t>
  </si>
  <si>
    <t>SONGS COMMON 2 &amp; 3- (INC)</t>
  </si>
  <si>
    <t xml:space="preserve">PALOVERDE-COMMON 1,2,3   </t>
  </si>
  <si>
    <t xml:space="preserve">PALOVERDE-SWITCHYARD     </t>
  </si>
  <si>
    <t>SAN BRDNO-220 KV SWTCHYRD</t>
  </si>
  <si>
    <t>MAMMOTH POOL LAKE-FP 2085</t>
  </si>
  <si>
    <t xml:space="preserve">BIG CREEK CANYON         </t>
  </si>
  <si>
    <t xml:space="preserve">BIG CREEK NO.1           </t>
  </si>
  <si>
    <t xml:space="preserve">BIG CREEK NO.2           </t>
  </si>
  <si>
    <t xml:space="preserve">BIG CREEK NO.8           </t>
  </si>
  <si>
    <t xml:space="preserve">BIG CREEK NO.3           </t>
  </si>
  <si>
    <t xml:space="preserve">BIG CREEK NO.2A          </t>
  </si>
  <si>
    <t xml:space="preserve">BIG CREEK NO.4           </t>
  </si>
  <si>
    <t xml:space="preserve">PORTAL POWER PLANT       </t>
  </si>
  <si>
    <t xml:space="preserve">MAMMOTH POOL             </t>
  </si>
  <si>
    <t xml:space="preserve">EASTWOOD POWER STATION   </t>
  </si>
  <si>
    <t xml:space="preserve">HYDRO PRODUCTION         </t>
  </si>
  <si>
    <t>SNTA ANA RV&amp;MILL CRK CNYN</t>
  </si>
  <si>
    <t>LYTLE CRK&amp;SN ANTONIO CNYN</t>
  </si>
  <si>
    <t xml:space="preserve">KERN RIVER CANYON        </t>
  </si>
  <si>
    <t xml:space="preserve">KAWEAH RIVER CANYON      </t>
  </si>
  <si>
    <t xml:space="preserve">SAN GORGONIO CANYON      </t>
  </si>
  <si>
    <t xml:space="preserve">KERN RIVER NO.1          </t>
  </si>
  <si>
    <t xml:space="preserve">BOREL                    </t>
  </si>
  <si>
    <t xml:space="preserve">SANTA ANA NO.1           </t>
  </si>
  <si>
    <t xml:space="preserve">SANTA ANA NO.3           </t>
  </si>
  <si>
    <t xml:space="preserve">MILL CREEK NO.1          </t>
  </si>
  <si>
    <t xml:space="preserve">MILL CREEK NO.2&amp;3        </t>
  </si>
  <si>
    <t xml:space="preserve">KAWEAH NO.1              </t>
  </si>
  <si>
    <t xml:space="preserve">KAWEAH NO.2              </t>
  </si>
  <si>
    <t xml:space="preserve">KAWEAH NO.3              </t>
  </si>
  <si>
    <t xml:space="preserve">LOWER TULE RIVER         </t>
  </si>
  <si>
    <t xml:space="preserve">KERN RIVER NO.3          </t>
  </si>
  <si>
    <t xml:space="preserve">ONTARIO NO.1             </t>
  </si>
  <si>
    <t xml:space="preserve">EASTERN HYDRO REGION     </t>
  </si>
  <si>
    <t xml:space="preserve">BISHOP CREEK CANYON      </t>
  </si>
  <si>
    <t xml:space="preserve">MONO BASIN               </t>
  </si>
  <si>
    <t xml:space="preserve">LUNDY                    </t>
  </si>
  <si>
    <t xml:space="preserve">POOLE                    </t>
  </si>
  <si>
    <t xml:space="preserve">RUSH CREEK               </t>
  </si>
  <si>
    <t xml:space="preserve">BISHOP CREEK NO.2        </t>
  </si>
  <si>
    <t xml:space="preserve">BISHOP CREEK NO.3        </t>
  </si>
  <si>
    <t xml:space="preserve">BISHOP CREEK NO.4        </t>
  </si>
  <si>
    <t xml:space="preserve">BISHOP CREEK NO.5        </t>
  </si>
  <si>
    <t xml:space="preserve">BISHOP CREEK NO.6        </t>
  </si>
  <si>
    <t>FISH LAKE VALLEY METERING</t>
  </si>
  <si>
    <t xml:space="preserve">CONTROL STATION          </t>
  </si>
  <si>
    <t xml:space="preserve">CASA DIABLO              </t>
  </si>
  <si>
    <t xml:space="preserve">LEE VINING               </t>
  </si>
  <si>
    <t xml:space="preserve">INYO                     </t>
  </si>
  <si>
    <t xml:space="preserve">SHERWIN                  </t>
  </si>
  <si>
    <t xml:space="preserve">ZACK                     </t>
  </si>
  <si>
    <t xml:space="preserve">MT. TOM                  </t>
  </si>
  <si>
    <t>DAF INDAL 500KW WND TURBN</t>
  </si>
  <si>
    <t xml:space="preserve">SUBSTN DIV               </t>
  </si>
  <si>
    <t xml:space="preserve">METRO GOM MAINT          </t>
  </si>
  <si>
    <t xml:space="preserve">EAGLE ROCK SUB           </t>
  </si>
  <si>
    <t xml:space="preserve">MESA SUB                 </t>
  </si>
  <si>
    <t xml:space="preserve">RIO HONDO SUB            </t>
  </si>
  <si>
    <t xml:space="preserve">WALNUT SUB               </t>
  </si>
  <si>
    <t xml:space="preserve">LEBEC SUBSTATION         </t>
  </si>
  <si>
    <t xml:space="preserve">COTTONWIND SUB           </t>
  </si>
  <si>
    <t xml:space="preserve">HARBORGEN SUB            </t>
  </si>
  <si>
    <t xml:space="preserve">LA FRESA SUB             </t>
  </si>
  <si>
    <t xml:space="preserve">ARCOGEN SUB              </t>
  </si>
  <si>
    <t xml:space="preserve">EL NIDO SUB              </t>
  </si>
  <si>
    <t xml:space="preserve">LA CIENEGA SUB           </t>
  </si>
  <si>
    <t xml:space="preserve">ALAMITOS SWITCHRACK SUB  </t>
  </si>
  <si>
    <t>EL SEGUNDO SWITCHRACK SUB</t>
  </si>
  <si>
    <t xml:space="preserve">LG BCH SWITCHRACK SUB    </t>
  </si>
  <si>
    <t xml:space="preserve">REDONDO SWITCHRACK SUB   </t>
  </si>
  <si>
    <t xml:space="preserve">MAGUNDEN SUB             </t>
  </si>
  <si>
    <t xml:space="preserve">MIDWAY SUB               </t>
  </si>
  <si>
    <t xml:space="preserve">RECTOR SUB               </t>
  </si>
  <si>
    <t xml:space="preserve">SPRINGVILLE SUB          </t>
  </si>
  <si>
    <t xml:space="preserve">VESTAL SUB               </t>
  </si>
  <si>
    <t xml:space="preserve">PASTORIA SUB             </t>
  </si>
  <si>
    <t xml:space="preserve">NO. T/S REG OFC/VALENCIA </t>
  </si>
  <si>
    <t xml:space="preserve">EAGLE MT. SUB            </t>
  </si>
  <si>
    <t xml:space="preserve">INYOKERN SUB             </t>
  </si>
  <si>
    <t xml:space="preserve">KRAMER SUB               </t>
  </si>
  <si>
    <t xml:space="preserve">CIMA SUB                 </t>
  </si>
  <si>
    <t xml:space="preserve">CLWTR SWITCHRACKS 1,2    </t>
  </si>
  <si>
    <t xml:space="preserve">MOHAVE SWITCHRACK        </t>
  </si>
  <si>
    <t xml:space="preserve">CLWTR SWITCHRACK 3,4 SUB </t>
  </si>
  <si>
    <t xml:space="preserve">RANCHO VISTA SUB         </t>
  </si>
  <si>
    <t xml:space="preserve">MANDALAY SWITCHRACK SUB  </t>
  </si>
  <si>
    <t>ORMOND BCH SWITCHRACK SUB</t>
  </si>
  <si>
    <t xml:space="preserve">PARDEE SUB               </t>
  </si>
  <si>
    <t xml:space="preserve">SAUGUS SUB               </t>
  </si>
  <si>
    <t xml:space="preserve">ANTELOPE SUB             </t>
  </si>
  <si>
    <t xml:space="preserve">VINCENT SUB              </t>
  </si>
  <si>
    <t xml:space="preserve">GOLETA SUB               </t>
  </si>
  <si>
    <t xml:space="preserve">MOORPARK SUB             </t>
  </si>
  <si>
    <t xml:space="preserve">SYLMAR SUB               </t>
  </si>
  <si>
    <t xml:space="preserve">BAILEY SUB               </t>
  </si>
  <si>
    <t xml:space="preserve">PADUA SUB                </t>
  </si>
  <si>
    <t xml:space="preserve">LUGO SUB                 </t>
  </si>
  <si>
    <t xml:space="preserve">CHINO SUB                </t>
  </si>
  <si>
    <t xml:space="preserve">JULIAN HINDS SUB         </t>
  </si>
  <si>
    <t xml:space="preserve">VISTA SUB                </t>
  </si>
  <si>
    <t xml:space="preserve">PISGAH SUB               </t>
  </si>
  <si>
    <t xml:space="preserve">GENE SUB                 </t>
  </si>
  <si>
    <t xml:space="preserve">DEVERS SUB               </t>
  </si>
  <si>
    <t xml:space="preserve">CAMINO SUB               </t>
  </si>
  <si>
    <t xml:space="preserve">HINSON SUB               </t>
  </si>
  <si>
    <t xml:space="preserve">VELASCO SUB              </t>
  </si>
  <si>
    <t xml:space="preserve">LIGHTHIPE SUB            </t>
  </si>
  <si>
    <t xml:space="preserve">LAGUNA BELL SUB          </t>
  </si>
  <si>
    <t xml:space="preserve">DEL AMO SUB              </t>
  </si>
  <si>
    <t xml:space="preserve">HUNTINGTON BCH SWITCHRCK </t>
  </si>
  <si>
    <t xml:space="preserve">WIND HUB SUB             </t>
  </si>
  <si>
    <t xml:space="preserve">BARRE SUB                </t>
  </si>
  <si>
    <t xml:space="preserve">VILLA PARK SUB           </t>
  </si>
  <si>
    <t xml:space="preserve">CENTER SUB               </t>
  </si>
  <si>
    <t xml:space="preserve">JOHANNA SUB              </t>
  </si>
  <si>
    <t xml:space="preserve">ELLIS SUB                </t>
  </si>
  <si>
    <t xml:space="preserve">OLINDA SUB               </t>
  </si>
  <si>
    <t xml:space="preserve">SANTIAGO SUB             </t>
  </si>
  <si>
    <t xml:space="preserve">LEWIS  SUB               </t>
  </si>
  <si>
    <t xml:space="preserve">MEAD SUB                 </t>
  </si>
  <si>
    <t xml:space="preserve">MOENKOPI SUB             </t>
  </si>
  <si>
    <t xml:space="preserve">WEST SERIES CAPACITORS   </t>
  </si>
  <si>
    <t xml:space="preserve">EAST SERIES CAPACITORS 1 </t>
  </si>
  <si>
    <t xml:space="preserve">TRITON SUB               </t>
  </si>
  <si>
    <t xml:space="preserve">ETIWANDA SWITCHRACK SUB  </t>
  </si>
  <si>
    <t>PALO VERDE SWITCHRACK SUB</t>
  </si>
  <si>
    <t xml:space="preserve">METRO REGION             </t>
  </si>
  <si>
    <t xml:space="preserve">ALHAMBRA SUB             </t>
  </si>
  <si>
    <t xml:space="preserve">BANDINI SUB              </t>
  </si>
  <si>
    <t xml:space="preserve">BICKNELL SUB             </t>
  </si>
  <si>
    <t xml:space="preserve">WABASH (NEW) SUB         </t>
  </si>
  <si>
    <t xml:space="preserve">EATON SUB                </t>
  </si>
  <si>
    <t xml:space="preserve">RUSH SUB                 </t>
  </si>
  <si>
    <t xml:space="preserve">MONROVIA SUB             </t>
  </si>
  <si>
    <t xml:space="preserve">ROSEMEAD SUB             </t>
  </si>
  <si>
    <t xml:space="preserve">DUARTE SUB               </t>
  </si>
  <si>
    <t xml:space="preserve">ARROYO SUB               </t>
  </si>
  <si>
    <t xml:space="preserve">AMADOR SUB               </t>
  </si>
  <si>
    <t xml:space="preserve">FAIR OAKS SUB            </t>
  </si>
  <si>
    <t xml:space="preserve">JPL SUB                  </t>
  </si>
  <si>
    <t xml:space="preserve">MAYFLOWER SUB            </t>
  </si>
  <si>
    <t xml:space="preserve">TEMPLE SUB               </t>
  </si>
  <si>
    <t xml:space="preserve">KIRKWALL SUBSTATION      </t>
  </si>
  <si>
    <t xml:space="preserve">CITRUS SUB               </t>
  </si>
  <si>
    <t xml:space="preserve">CORTEZ SUB               </t>
  </si>
  <si>
    <t xml:space="preserve">RAILROAD SUB             </t>
  </si>
  <si>
    <t>ALHAMBRA DIST SUB TRG FAC</t>
  </si>
  <si>
    <t xml:space="preserve">LENNOX SUB               </t>
  </si>
  <si>
    <t xml:space="preserve">WINDSOR HILLS SUB        </t>
  </si>
  <si>
    <t xml:space="preserve">YUKON SUB                </t>
  </si>
  <si>
    <t xml:space="preserve">STANHILL SUB             </t>
  </si>
  <si>
    <t xml:space="preserve">STRATHMORE SUB           </t>
  </si>
  <si>
    <t xml:space="preserve">VISALIA SUB              </t>
  </si>
  <si>
    <t xml:space="preserve">LINE CREEK SUB           </t>
  </si>
  <si>
    <t xml:space="preserve">CUMMINGS SUB             </t>
  </si>
  <si>
    <t xml:space="preserve">MONOLITH SUB             </t>
  </si>
  <si>
    <t xml:space="preserve">ACTON SUB                </t>
  </si>
  <si>
    <t xml:space="preserve">RIVERWAY SUB             </t>
  </si>
  <si>
    <t xml:space="preserve">DEL SUR SUB              </t>
  </si>
  <si>
    <t xml:space="preserve">FILLMORE SUB             </t>
  </si>
  <si>
    <t xml:space="preserve">GOLDTOWN SUB             </t>
  </si>
  <si>
    <t xml:space="preserve">LANCASTER SUB            </t>
  </si>
  <si>
    <t xml:space="preserve">LITTLE ROCK SUB          </t>
  </si>
  <si>
    <t xml:space="preserve">SHUTTLE SUB               </t>
  </si>
  <si>
    <t xml:space="preserve">REDMAN WUB               </t>
  </si>
  <si>
    <t xml:space="preserve">ROSAMOND SUB             </t>
  </si>
  <si>
    <t xml:space="preserve">PIUTE SUB                </t>
  </si>
  <si>
    <t xml:space="preserve">ELIZABETH LAKE SUB       </t>
  </si>
  <si>
    <t xml:space="preserve">OASIS SUB                </t>
  </si>
  <si>
    <t xml:space="preserve">CAL CEMENT SUB           </t>
  </si>
  <si>
    <t xml:space="preserve">NEENACH SUB              </t>
  </si>
  <si>
    <t xml:space="preserve">NEWBURY SUB              </t>
  </si>
  <si>
    <t xml:space="preserve">PALMDALE SUB             </t>
  </si>
  <si>
    <t xml:space="preserve">QUARTZ HILL SUB          </t>
  </si>
  <si>
    <t xml:space="preserve">HELIJET SUB              </t>
  </si>
  <si>
    <t xml:space="preserve">RANDALL SUB              </t>
  </si>
  <si>
    <t xml:space="preserve">ORANGE PRODUCTS SUB      </t>
  </si>
  <si>
    <t xml:space="preserve">INLAND CONTAINER SUB     </t>
  </si>
  <si>
    <t xml:space="preserve">GANESHA SUB              </t>
  </si>
  <si>
    <t xml:space="preserve">SAN ANTONIO SUB          </t>
  </si>
  <si>
    <t xml:space="preserve">TIPPECANOE SUB           </t>
  </si>
  <si>
    <t xml:space="preserve">COLTON CEMENT SUB        </t>
  </si>
  <si>
    <t xml:space="preserve">AMERON SUB               </t>
  </si>
  <si>
    <t xml:space="preserve">WIMBLEDON SUB            </t>
  </si>
  <si>
    <t xml:space="preserve">ATHENS SUBSTATION        </t>
  </si>
  <si>
    <t xml:space="preserve">NAPLES SUBSTATION        </t>
  </si>
  <si>
    <t xml:space="preserve">WATSON SUBSTATION        </t>
  </si>
  <si>
    <t xml:space="preserve">ERIC SUBSTATION          </t>
  </si>
  <si>
    <t xml:space="preserve">SOUTH GATE SUBSTATION    </t>
  </si>
  <si>
    <t xml:space="preserve">BOVINE SUBSTATION        </t>
  </si>
  <si>
    <t xml:space="preserve">MOVIE SUBSTATION         </t>
  </si>
  <si>
    <t xml:space="preserve">BAYSIDE SUBSTATION       </t>
  </si>
  <si>
    <t xml:space="preserve">CARMENITA SUBSTATION     </t>
  </si>
  <si>
    <t xml:space="preserve">PARKWOOD SUBSTATION      </t>
  </si>
  <si>
    <t xml:space="preserve">WAVE SUBSTATION          </t>
  </si>
  <si>
    <t xml:space="preserve">LA HABRA SUBSTATION      </t>
  </si>
  <si>
    <t xml:space="preserve">OCEANVIEW SUBSTATION     </t>
  </si>
  <si>
    <t xml:space="preserve">ALTON SUBSTATION         </t>
  </si>
  <si>
    <t xml:space="preserve">SULLIVAN SUBSTATION      </t>
  </si>
  <si>
    <t xml:space="preserve">SHAWNEE SUBSTATION       </t>
  </si>
  <si>
    <t xml:space="preserve">TUSTIN SUBSTATION        </t>
  </si>
  <si>
    <t xml:space="preserve">TELEGRAPH SUB            </t>
  </si>
  <si>
    <t xml:space="preserve">NIGUEL SUBSTATION        </t>
  </si>
  <si>
    <t xml:space="preserve">LAS LOMAS SUB            </t>
  </si>
  <si>
    <t xml:space="preserve">CATALINA SERVICE CENTER  </t>
  </si>
  <si>
    <t>BARSTOW NO RGN-SAN BERDOO</t>
  </si>
  <si>
    <t>VENTURA COUNTY</t>
  </si>
  <si>
    <t xml:space="preserve">ROADWAY(CEP)             </t>
  </si>
  <si>
    <t xml:space="preserve">PAUBA(CEP) SUB           </t>
  </si>
  <si>
    <t xml:space="preserve">THORNHILL(CEP) SUB       </t>
  </si>
  <si>
    <t xml:space="preserve">STADLER(CEP) SUB         </t>
  </si>
  <si>
    <t xml:space="preserve">EL CASCO SUBSTATION      </t>
  </si>
  <si>
    <t xml:space="preserve">PAN AERO (CEP) SUB       </t>
  </si>
  <si>
    <t xml:space="preserve">PHELAN(CEP) SUB          </t>
  </si>
  <si>
    <t xml:space="preserve">BANWIND SUBSTATION       </t>
  </si>
  <si>
    <t xml:space="preserve">MIRAGE(CEP) SUB          </t>
  </si>
  <si>
    <t xml:space="preserve">APPLE VALLEY(CEP) SUB    </t>
  </si>
  <si>
    <t xml:space="preserve">BUNKER(CEP) SUB          </t>
  </si>
  <si>
    <t xml:space="preserve">FARREL(CEP) SUB          </t>
  </si>
  <si>
    <t xml:space="preserve">CONCHO(CEP) SUB          </t>
  </si>
  <si>
    <t xml:space="preserve">AULD(CEP) SUB            </t>
  </si>
  <si>
    <t xml:space="preserve">MAXWELL(CEP) SUB         </t>
  </si>
  <si>
    <t xml:space="preserve">SAVAGE(CEP) SUB          </t>
  </si>
  <si>
    <t xml:space="preserve">PEPPER(CEP) SUB          </t>
  </si>
  <si>
    <t xml:space="preserve">YUCCA(CEP) SUB           </t>
  </si>
  <si>
    <t xml:space="preserve">BLACK MOUNTAIN(CEP) SUB  </t>
  </si>
  <si>
    <t xml:space="preserve">ALESSANDRO(CEP) SUB      </t>
  </si>
  <si>
    <t xml:space="preserve">BAKER(CEP) SUB           </t>
  </si>
  <si>
    <t xml:space="preserve">BANNING(CEP) SUB         </t>
  </si>
  <si>
    <t xml:space="preserve">COTTONWOOD(CEP) SUB      </t>
  </si>
  <si>
    <t xml:space="preserve">EDWARDS(CEP) SUB         </t>
  </si>
  <si>
    <t xml:space="preserve">HI DESERT(CEP) SUB       </t>
  </si>
  <si>
    <t xml:space="preserve">MOUNTAIN PASS(CEP) SUB   </t>
  </si>
  <si>
    <t xml:space="preserve">RANDSBURG(CEP) SUB       </t>
  </si>
  <si>
    <t xml:space="preserve">ROCKET TEST(CEP) SUB     </t>
  </si>
  <si>
    <t xml:space="preserve">SEARLES(CEP) SUB         </t>
  </si>
  <si>
    <t xml:space="preserve">VALLEY(CEP) SUB          </t>
  </si>
  <si>
    <t xml:space="preserve">ZANJA(CEP) SUB           </t>
  </si>
  <si>
    <t xml:space="preserve">SANTA ROSA(CEP) SUB      </t>
  </si>
  <si>
    <t xml:space="preserve">TORTILLA(CEP) SUB        </t>
  </si>
  <si>
    <t xml:space="preserve">NELSON(CEP) SUB          </t>
  </si>
  <si>
    <t xml:space="preserve">HOMART(CEP) SUB          </t>
  </si>
  <si>
    <t xml:space="preserve">INYOKERN(CEP) SUB        </t>
  </si>
  <si>
    <t xml:space="preserve">HOLGATE(CEP) SUB         </t>
  </si>
  <si>
    <t xml:space="preserve">CALECTRIC SUB (CEP)      </t>
  </si>
  <si>
    <t xml:space="preserve">GARNET SUB               </t>
  </si>
  <si>
    <t xml:space="preserve">IID TIE SUB              </t>
  </si>
  <si>
    <t xml:space="preserve">KRAMER-115 KV PORTION    </t>
  </si>
  <si>
    <t xml:space="preserve">TIEFORT SUB              </t>
  </si>
  <si>
    <t xml:space="preserve">USBR BLYTHE SUB          </t>
  </si>
  <si>
    <t xml:space="preserve">VICTOR SUB               </t>
  </si>
  <si>
    <t xml:space="preserve">SAN ONOFRE SWITCHRACK U1 </t>
  </si>
  <si>
    <t xml:space="preserve">SAN ONOFRE SWITCHRACK U2 </t>
  </si>
  <si>
    <t xml:space="preserve">SAN ONOFRE SWITCHRACK U3 </t>
  </si>
  <si>
    <t xml:space="preserve">SAN ONOFRE SWITCHRACK    </t>
  </si>
  <si>
    <t xml:space="preserve">SN ONOFRE SWTHRK-100%SCE </t>
  </si>
  <si>
    <t xml:space="preserve">PUREWATER SUB            </t>
  </si>
  <si>
    <t xml:space="preserve">SEAWIND T/S              </t>
  </si>
  <si>
    <t xml:space="preserve">CHEVMAIN                 </t>
  </si>
  <si>
    <t xml:space="preserve">TIFFANYWIND SUB          </t>
  </si>
  <si>
    <t xml:space="preserve">NUSED GALE               </t>
  </si>
  <si>
    <t xml:space="preserve">CARODEAN           </t>
  </si>
  <si>
    <t xml:space="preserve">IVYGLEN SUB              </t>
  </si>
  <si>
    <t>COOL WATER SWITCHRACK 1,2</t>
  </si>
  <si>
    <t xml:space="preserve">HIGHGROVE SWITCHRCK      </t>
  </si>
  <si>
    <t xml:space="preserve">SN BRDNO SWTCHRCK        </t>
  </si>
  <si>
    <t xml:space="preserve">AQUEDUCT SUB             </t>
  </si>
  <si>
    <t xml:space="preserve">BADLANDS SUB             </t>
  </si>
  <si>
    <t xml:space="preserve">MENTONE SUB              </t>
  </si>
  <si>
    <t xml:space="preserve">CAJALCO SUB              </t>
  </si>
  <si>
    <t xml:space="preserve">HESPERIA SUB             </t>
  </si>
  <si>
    <t xml:space="preserve">SKYLARK SUB              </t>
  </si>
  <si>
    <t xml:space="preserve">MAYBERRY SUB             </t>
  </si>
  <si>
    <t xml:space="preserve">PERMANENTE SUB           </t>
  </si>
  <si>
    <t xml:space="preserve">ELCENTRO TELEMTERING     </t>
  </si>
  <si>
    <t xml:space="preserve">NILAND TELEMETERING      </t>
  </si>
  <si>
    <t xml:space="preserve">SHANDIN SUB              </t>
  </si>
  <si>
    <t xml:space="preserve">ARROWHEAD SUB            </t>
  </si>
  <si>
    <t xml:space="preserve">STETSON SUB              </t>
  </si>
  <si>
    <t xml:space="preserve">DUNN SIDING SUB          </t>
  </si>
  <si>
    <t xml:space="preserve">TAMARISK SUB             </t>
  </si>
  <si>
    <t xml:space="preserve">BARSTOW SUB              </t>
  </si>
  <si>
    <t xml:space="preserve">BLYTHE SUB               </t>
  </si>
  <si>
    <t xml:space="preserve">BRYMAN SUB               </t>
  </si>
  <si>
    <t xml:space="preserve">MILITARY SUB           </t>
  </si>
  <si>
    <t xml:space="preserve">PALM SPRINGS SUB         </t>
  </si>
  <si>
    <t xml:space="preserve">DOWNS SUB                </t>
  </si>
  <si>
    <t xml:space="preserve">GLEN IVY SUB             </t>
  </si>
  <si>
    <t xml:space="preserve">HELENDALE SUB            </t>
  </si>
  <si>
    <t xml:space="preserve">HINKLEY SUB              </t>
  </si>
  <si>
    <t xml:space="preserve">IDYLLWILD SUB            </t>
  </si>
  <si>
    <t xml:space="preserve">MINNEOLA SUB             </t>
  </si>
  <si>
    <t xml:space="preserve">MORENO SUB               </t>
  </si>
  <si>
    <t xml:space="preserve">MURRIETA 2 SUB           </t>
  </si>
  <si>
    <t xml:space="preserve">MURRIETA SUB             </t>
  </si>
  <si>
    <t xml:space="preserve">SOUTHCAP SUB.            </t>
  </si>
  <si>
    <t xml:space="preserve">MUSCOY SUB               </t>
  </si>
  <si>
    <t xml:space="preserve">BELDING SUB              </t>
  </si>
  <si>
    <t xml:space="preserve">ORDWAY SUB               </t>
  </si>
  <si>
    <t xml:space="preserve">PALM CANYON SUB          </t>
  </si>
  <si>
    <t xml:space="preserve">LUCERNE SUB              </t>
  </si>
  <si>
    <t xml:space="preserve">RANCHO SUB               </t>
  </si>
  <si>
    <t xml:space="preserve">RIALTO SUB               </t>
  </si>
  <si>
    <t xml:space="preserve">RIDGECREST SUB           </t>
  </si>
  <si>
    <t xml:space="preserve">SAN JACINTO SUB          </t>
  </si>
  <si>
    <t xml:space="preserve">SUN CITY SUB             </t>
  </si>
  <si>
    <t xml:space="preserve">TEMESCAL SUB             </t>
  </si>
  <si>
    <t xml:space="preserve">WILDE SUB                </t>
  </si>
  <si>
    <t xml:space="preserve">TENAJA SUBSTATION        </t>
  </si>
  <si>
    <t xml:space="preserve">GALE SUB                 </t>
  </si>
  <si>
    <t xml:space="preserve">FORGE SUB                </t>
  </si>
  <si>
    <t xml:space="preserve">BUCKWIND                 </t>
  </si>
  <si>
    <t xml:space="preserve">CAPWIHND                 </t>
  </si>
  <si>
    <t xml:space="preserve">RENWIND                  </t>
  </si>
  <si>
    <t xml:space="preserve">SANWIND                  </t>
  </si>
  <si>
    <t xml:space="preserve">TRANSWIND                </t>
  </si>
  <si>
    <t xml:space="preserve">VENWIND                  </t>
  </si>
  <si>
    <t xml:space="preserve">ALTWIND                  </t>
  </si>
  <si>
    <t xml:space="preserve">TERAWIND                 </t>
  </si>
  <si>
    <t xml:space="preserve">INDIGO SUBSTATION        </t>
  </si>
  <si>
    <t xml:space="preserve">CALGEN                   </t>
  </si>
  <si>
    <t xml:space="preserve">MCGEN                    </t>
  </si>
  <si>
    <t xml:space="preserve">SEGS II                  </t>
  </si>
  <si>
    <t xml:space="preserve">SEGS III                 </t>
  </si>
  <si>
    <t xml:space="preserve">SEGS IV                  </t>
  </si>
  <si>
    <t xml:space="preserve">SEGS V                   </t>
  </si>
  <si>
    <t xml:space="preserve">SEGS VI                  </t>
  </si>
  <si>
    <t xml:space="preserve">SEGS VII                 </t>
  </si>
  <si>
    <t xml:space="preserve">SEGS VIII                </t>
  </si>
  <si>
    <t xml:space="preserve">SEGS IX                  </t>
  </si>
  <si>
    <t xml:space="preserve">SOPORT                   </t>
  </si>
  <si>
    <t xml:space="preserve">NEWCOMB                  </t>
  </si>
  <si>
    <t xml:space="preserve">ELSINORE                 </t>
  </si>
  <si>
    <t xml:space="preserve">SOUTH BASE SUB           </t>
  </si>
  <si>
    <t xml:space="preserve">INDIAN WELLS SUB         </t>
  </si>
  <si>
    <t xml:space="preserve">PECHANGA SUB             </t>
  </si>
  <si>
    <t xml:space="preserve">TANKER SUBSTATION    </t>
  </si>
  <si>
    <t xml:space="preserve">PLUESS SUBSTATION        </t>
  </si>
  <si>
    <t xml:space="preserve">AFG SUBSTATION           </t>
  </si>
  <si>
    <t xml:space="preserve">RECTIFIER SUB            </t>
  </si>
  <si>
    <t xml:space="preserve">MOUNTWIND SUBSTATION     </t>
  </si>
  <si>
    <t xml:space="preserve">COSO SUB                 </t>
  </si>
  <si>
    <t xml:space="preserve">MOVAL SUBSTATION         </t>
  </si>
  <si>
    <t xml:space="preserve">RITTER SUB               </t>
  </si>
  <si>
    <t xml:space="preserve">PHARMACY SUBSTATION      </t>
  </si>
  <si>
    <t xml:space="preserve">PLASTER SUBSTATION       </t>
  </si>
  <si>
    <t xml:space="preserve">ONEIL SUBSTATION         </t>
  </si>
  <si>
    <t xml:space="preserve">MIDWAY-PAC INTERTIE      </t>
  </si>
  <si>
    <t xml:space="preserve">PARDEE-PAC INTERTIE      </t>
  </si>
  <si>
    <t xml:space="preserve">VINCENT-PAC INTERTIE     </t>
  </si>
  <si>
    <t xml:space="preserve">CONSTR FIELD FORCES      </t>
  </si>
  <si>
    <t xml:space="preserve">B&amp;A-T/S 3RD FLOOR-GO3    </t>
  </si>
  <si>
    <t>CHINO OFC BLDG (FACILITY)</t>
  </si>
  <si>
    <t xml:space="preserve">TRANS/SUB SUPPORT SERV   </t>
  </si>
  <si>
    <t xml:space="preserve">FUELS                    </t>
  </si>
  <si>
    <t xml:space="preserve">RP&amp;AS,LND&amp;ESMNT REQUIS   </t>
  </si>
  <si>
    <t xml:space="preserve">CONTROL SYS SEC-ALHAMBRA </t>
  </si>
  <si>
    <t xml:space="preserve">PLANT ACCTG-MISC. LEDGER </t>
  </si>
  <si>
    <t>Internal Order</t>
  </si>
  <si>
    <t>L ORDER</t>
  </si>
  <si>
    <t>66 kV T Lines</t>
  </si>
  <si>
    <t>55 kV T Lines</t>
  </si>
  <si>
    <t>#109 8006</t>
  </si>
  <si>
    <t>Total Distribution Substations</t>
  </si>
  <si>
    <t>4045</t>
  </si>
  <si>
    <t>4046</t>
  </si>
  <si>
    <t>4059</t>
  </si>
  <si>
    <t>4070</t>
  </si>
  <si>
    <t>4102</t>
  </si>
  <si>
    <t>4104</t>
  </si>
  <si>
    <t>4106</t>
  </si>
  <si>
    <t>4111</t>
  </si>
  <si>
    <t>4113</t>
  </si>
  <si>
    <t>4121</t>
  </si>
  <si>
    <t>4124</t>
  </si>
  <si>
    <t>4127</t>
  </si>
  <si>
    <t>4129</t>
  </si>
  <si>
    <t>4130</t>
  </si>
  <si>
    <t>4132</t>
  </si>
  <si>
    <t>4133</t>
  </si>
  <si>
    <t>4135</t>
  </si>
  <si>
    <t>4136</t>
  </si>
  <si>
    <t>4137</t>
  </si>
  <si>
    <t>4139</t>
  </si>
  <si>
    <t>4140</t>
  </si>
  <si>
    <t>4141</t>
  </si>
  <si>
    <t>4142</t>
  </si>
  <si>
    <t>4143</t>
  </si>
  <si>
    <t>4144</t>
  </si>
  <si>
    <t>4148</t>
  </si>
  <si>
    <t>4149</t>
  </si>
  <si>
    <t>4153</t>
  </si>
  <si>
    <t>4154</t>
  </si>
  <si>
    <t>4155</t>
  </si>
  <si>
    <t>4156</t>
  </si>
  <si>
    <t>4158</t>
  </si>
  <si>
    <t>4166</t>
  </si>
  <si>
    <t>4168</t>
  </si>
  <si>
    <t>4185</t>
  </si>
  <si>
    <t>4186</t>
  </si>
  <si>
    <t>4187</t>
  </si>
  <si>
    <t>4189</t>
  </si>
  <si>
    <t>4207</t>
  </si>
  <si>
    <t>4314</t>
  </si>
  <si>
    <t>4319</t>
  </si>
  <si>
    <t>4414</t>
  </si>
  <si>
    <t>4419</t>
  </si>
  <si>
    <t>4518</t>
  </si>
  <si>
    <t>4570</t>
  </si>
  <si>
    <t>4605</t>
  </si>
  <si>
    <t>4625</t>
  </si>
  <si>
    <t>4730</t>
  </si>
  <si>
    <t>4735</t>
  </si>
  <si>
    <t>4756</t>
  </si>
  <si>
    <t>4759</t>
  </si>
  <si>
    <t>4781</t>
  </si>
  <si>
    <t>4782</t>
  </si>
  <si>
    <t>5079</t>
  </si>
  <si>
    <t>5095</t>
  </si>
  <si>
    <t>5902</t>
  </si>
  <si>
    <t>8006</t>
  </si>
  <si>
    <t>8064</t>
  </si>
  <si>
    <t>8270</t>
  </si>
  <si>
    <t>8361</t>
  </si>
  <si>
    <t>1250</t>
  </si>
  <si>
    <t>4805</t>
  </si>
  <si>
    <t>7056</t>
  </si>
  <si>
    <t>9024</t>
  </si>
  <si>
    <t>Trans Line</t>
  </si>
  <si>
    <t>FOUR CORNERS(NEW MEX)</t>
  </si>
  <si>
    <t>EDISON ITAC</t>
  </si>
  <si>
    <t>Misc</t>
  </si>
  <si>
    <t>SAN ONOFRE-COMMON 1,2,3</t>
  </si>
  <si>
    <t>SAN ONOFRE-COMMON 2,3</t>
  </si>
  <si>
    <t>SAN ONOFRE-UNIT 1</t>
  </si>
  <si>
    <t>SAN ONOFRE-UNIT 2</t>
  </si>
  <si>
    <t>SAN ONOFRE-UNIT 3</t>
  </si>
  <si>
    <t>SONGS 2,3 SPARE PARTS</t>
  </si>
  <si>
    <t>PALO VERDE-UNIT 2</t>
  </si>
  <si>
    <t>PALO VERDE-UNIT 3</t>
  </si>
  <si>
    <t>PALOVERDE-COMMON 1,2,3</t>
  </si>
  <si>
    <t>BIG CREEK CANYON</t>
  </si>
  <si>
    <t>BIG CREEK NO.1</t>
  </si>
  <si>
    <t>BIG CREEK NO.2</t>
  </si>
  <si>
    <t>BIG CREEK NO.8</t>
  </si>
  <si>
    <t>BIG CREEK NO.3</t>
  </si>
  <si>
    <t>BIG CREEK NO.2A</t>
  </si>
  <si>
    <t>BIG CREEK NO.4</t>
  </si>
  <si>
    <t>PORTAL POWER PLANT</t>
  </si>
  <si>
    <t>MAMMOTH POOL</t>
  </si>
  <si>
    <t>EASTWOOD POWER STATION</t>
  </si>
  <si>
    <t>HYDRO PRODUCTION</t>
  </si>
  <si>
    <t>KERN RIVER CANYON</t>
  </si>
  <si>
    <t>KAWEAH RIVER CANYON</t>
  </si>
  <si>
    <t>SAN GORGONIO CANYON</t>
  </si>
  <si>
    <t>KERN RIVER NO.1</t>
  </si>
  <si>
    <t>BOREL</t>
  </si>
  <si>
    <t>SANTA ANA NO.1</t>
  </si>
  <si>
    <t>SANTA ANA NO.3</t>
  </si>
  <si>
    <t>MILL CREEK NO.1</t>
  </si>
  <si>
    <t>MILL CREEK NO.2&amp;3</t>
  </si>
  <si>
    <t>KAWEAH NO.1</t>
  </si>
  <si>
    <t>KAWEAH NO.2</t>
  </si>
  <si>
    <t>KAWEAH NO.3</t>
  </si>
  <si>
    <t>LOWER TULE RIVER</t>
  </si>
  <si>
    <t>KERN RIVER NO.3</t>
  </si>
  <si>
    <t>ONTARIO NO.1</t>
  </si>
  <si>
    <t>EASTERN HYDRO REGION</t>
  </si>
  <si>
    <t>BISHOP CREEK CANYON</t>
  </si>
  <si>
    <t>MONO BASIN</t>
  </si>
  <si>
    <t>POOLE</t>
  </si>
  <si>
    <t>RUSH CREEK</t>
  </si>
  <si>
    <t>BISHOP CREEK NO.2</t>
  </si>
  <si>
    <t>BISHOP CREEK NO.3</t>
  </si>
  <si>
    <t>BISHOP CREEK NO.4</t>
  </si>
  <si>
    <t>BISHOP CREEK NO.5</t>
  </si>
  <si>
    <t>BISHOP CREEK NO.6</t>
  </si>
  <si>
    <t>CONTROL STATION</t>
  </si>
  <si>
    <t>CASA DIABLO</t>
  </si>
  <si>
    <t>LEE VINING</t>
  </si>
  <si>
    <t>INYO</t>
  </si>
  <si>
    <t>SHERWIN</t>
  </si>
  <si>
    <t>ZACK</t>
  </si>
  <si>
    <t>MT. TOM</t>
  </si>
  <si>
    <t>MIDWAY-VINCENT LINES 1&amp;2</t>
  </si>
  <si>
    <t>DWP-EDSN CELILO-SYLMR LN</t>
  </si>
  <si>
    <t>MANY TRANSMISSION LINES</t>
  </si>
  <si>
    <t>33 AND 66 KV LINES</t>
  </si>
  <si>
    <t>ANTELOPE/MESA LINE, OTHER</t>
  </si>
  <si>
    <t>CHINO-SERRANO/SN ONFRE LN</t>
  </si>
  <si>
    <t>ALAMITOS-MESA LN, OTHERS</t>
  </si>
  <si>
    <t>HINSON-LIGHTHIPE 1&amp;2</t>
  </si>
  <si>
    <t>HINSON-LAFRESA, OTHERS</t>
  </si>
  <si>
    <t>ELDRDO-CIMA-PISGAH LN1,2</t>
  </si>
  <si>
    <t>MRA LMA-VLL PK LNS, OTHR</t>
  </si>
  <si>
    <t>CENTER-MESA LN, OTHERS</t>
  </si>
  <si>
    <t>ALAMITOS-CENTER, OTHERS</t>
  </si>
  <si>
    <t>LUGO-VINCENT LNES 1&amp;2</t>
  </si>
  <si>
    <t>GOLETA-SNTA CLARA, OTHERS</t>
  </si>
  <si>
    <t>LUGO-MIRA LOMA 2&amp;3</t>
  </si>
  <si>
    <t>VINCENT-PARDEE LN 2</t>
  </si>
  <si>
    <t>BIG CRK 1-RECTOR, OTHER</t>
  </si>
  <si>
    <t>SERRANO-VALLEY LN</t>
  </si>
  <si>
    <t>MESA-REDONDO 220KV LN</t>
  </si>
  <si>
    <t>EASTERN T/S REG</t>
  </si>
  <si>
    <t>Transmission Line</t>
  </si>
  <si>
    <t>CORONA-JEFFERSON 66 KV LN</t>
  </si>
  <si>
    <t>115 KV LNS, ESTN T/S REG</t>
  </si>
  <si>
    <t>METRO GOM MAINT</t>
  </si>
  <si>
    <t>EAGLE ROCK SUB</t>
  </si>
  <si>
    <t>MESA SUB</t>
  </si>
  <si>
    <t>RIO HONDO SUB</t>
  </si>
  <si>
    <t>WALNUT SUB</t>
  </si>
  <si>
    <t>GOULD SUB</t>
  </si>
  <si>
    <t>LEBEC SUBSTATION</t>
  </si>
  <si>
    <t>HARBORGEN SUB</t>
  </si>
  <si>
    <t>LA FRESA SUB</t>
  </si>
  <si>
    <t>ARCOGEN SUB</t>
  </si>
  <si>
    <t>EL NIDO SUB</t>
  </si>
  <si>
    <t>LA CIENEGA SUB</t>
  </si>
  <si>
    <t>ALAMITOS SWITCHRACK SUB</t>
  </si>
  <si>
    <t>LG BCH SWITCHRACK SUB</t>
  </si>
  <si>
    <t>REDONDO SWITCHRACK SUB</t>
  </si>
  <si>
    <t>MAGUNDEN SUB</t>
  </si>
  <si>
    <t>MIDWAY SUB</t>
  </si>
  <si>
    <t>RECTOR SUB</t>
  </si>
  <si>
    <t>SPRINGVILLE SUB</t>
  </si>
  <si>
    <t>VESTAL SUB</t>
  </si>
  <si>
    <t>PASTORIA SUB</t>
  </si>
  <si>
    <t>EAGLE MT. SUB</t>
  </si>
  <si>
    <t>CIMA SUB</t>
  </si>
  <si>
    <t>CLWTR SWITCHRACKS 1,2</t>
  </si>
  <si>
    <t>MOHAVE SWITCHRACK</t>
  </si>
  <si>
    <t>CLWTR SWITCHRACK 3,4 SUB</t>
  </si>
  <si>
    <t>RANCHO VISTA SUB</t>
  </si>
  <si>
    <t>MANDALAY SWITCHRACK SUB</t>
  </si>
  <si>
    <t>PARDEE SUB</t>
  </si>
  <si>
    <t>SAUGUS SUB</t>
  </si>
  <si>
    <t>ANTELOPE SUB</t>
  </si>
  <si>
    <t>SANTA CLARA SUB</t>
  </si>
  <si>
    <t>GOLETA SUB</t>
  </si>
  <si>
    <t>MOORPARK SUB</t>
  </si>
  <si>
    <t>SYLMAR SUB</t>
  </si>
  <si>
    <t>BAILEY SUB</t>
  </si>
  <si>
    <t>PADUA SUB</t>
  </si>
  <si>
    <t>LUGO SUB</t>
  </si>
  <si>
    <t>CHINO SUB</t>
  </si>
  <si>
    <t>JULIAN HINDS SUB</t>
  </si>
  <si>
    <t>VISTA SUB</t>
  </si>
  <si>
    <t>PISGAH SUB</t>
  </si>
  <si>
    <t>GENE SUB</t>
  </si>
  <si>
    <t>DEVERS SUB</t>
  </si>
  <si>
    <t>CAMINO SUB</t>
  </si>
  <si>
    <t>MIRA LOMA SUB</t>
  </si>
  <si>
    <t>HINSON SUB</t>
  </si>
  <si>
    <t>VELASCO SUB</t>
  </si>
  <si>
    <t>LIGHTHIPE SUB</t>
  </si>
  <si>
    <t>LAGUNA BELL SUB</t>
  </si>
  <si>
    <t>DEL AMO SUB</t>
  </si>
  <si>
    <t>HUNTINGTON BCH SWITCHRCK</t>
  </si>
  <si>
    <t>WIND HUB SUB</t>
  </si>
  <si>
    <t>BARRE SUB</t>
  </si>
  <si>
    <t>VILLA PARK SUB</t>
  </si>
  <si>
    <t>CENTER SUB</t>
  </si>
  <si>
    <t>JOHANNA SUB</t>
  </si>
  <si>
    <t>ELLIS SUB</t>
  </si>
  <si>
    <t>OLINDA SUB</t>
  </si>
  <si>
    <t>SANTIAGO SUB</t>
  </si>
  <si>
    <t>LEWIS  SUB</t>
  </si>
  <si>
    <t>EL DORADO SUB(NEVADA)</t>
  </si>
  <si>
    <t>MEAD SUB</t>
  </si>
  <si>
    <t>MOENKOPI SUB</t>
  </si>
  <si>
    <t>WEST SERIES CAPACITORS</t>
  </si>
  <si>
    <t>EAST SERIES CAPACITORS 1</t>
  </si>
  <si>
    <t>TRITON SUB</t>
  </si>
  <si>
    <t>ETIWANDA SWITCHRACK SUB</t>
  </si>
  <si>
    <t>ALHAMBRA SUB</t>
  </si>
  <si>
    <t>BANDINI SUB</t>
  </si>
  <si>
    <t>BICKNELL SUB</t>
  </si>
  <si>
    <t>WABASH (NEW) SUB</t>
  </si>
  <si>
    <t>EATON SUB</t>
  </si>
  <si>
    <t>RUSH SUB</t>
  </si>
  <si>
    <t>MONROVIA SUB</t>
  </si>
  <si>
    <t>ROSEMEAD SUB</t>
  </si>
  <si>
    <t>DUARTE SUB</t>
  </si>
  <si>
    <t>ARROYO SUB</t>
  </si>
  <si>
    <t>AMADOR SUB</t>
  </si>
  <si>
    <t>FAIR OAKS SUB</t>
  </si>
  <si>
    <t>JPL SUB</t>
  </si>
  <si>
    <t>MAYFLOWER SUB</t>
  </si>
  <si>
    <t>TEMPLE SUB</t>
  </si>
  <si>
    <t>KIRKWALL SUBSTATION</t>
  </si>
  <si>
    <t>CITRUS SUB</t>
  </si>
  <si>
    <t>CORTEZ SUB</t>
  </si>
  <si>
    <t>RAILROAD SUB</t>
  </si>
  <si>
    <t>LENNOX SUB</t>
  </si>
  <si>
    <t>WINDSOR HILLS SUB</t>
  </si>
  <si>
    <t>YUKON SUB</t>
  </si>
  <si>
    <t>STRATHMORE SUB</t>
  </si>
  <si>
    <t>VISALIA SUB</t>
  </si>
  <si>
    <t>LINE CREEK SUB</t>
  </si>
  <si>
    <t>CUMMINGS SUB</t>
  </si>
  <si>
    <t>MONOLITH SUB</t>
  </si>
  <si>
    <t>ACTON SUB</t>
  </si>
  <si>
    <t>RIVERWAY SUB</t>
  </si>
  <si>
    <t>DEL SUR SUB</t>
  </si>
  <si>
    <t>FILLMORE SUB</t>
  </si>
  <si>
    <t>GOLDTOWN SUB</t>
  </si>
  <si>
    <t>LANCASTER SUB</t>
  </si>
  <si>
    <t>LITTLE ROCK SUB</t>
  </si>
  <si>
    <t>SHUTTLE SUB</t>
  </si>
  <si>
    <t>REDMAN WUB</t>
  </si>
  <si>
    <t>ROSAMOND SUB</t>
  </si>
  <si>
    <t>PIUTE SUB</t>
  </si>
  <si>
    <t>ELIZABETH LAKE SUB</t>
  </si>
  <si>
    <t>OASIS SUB</t>
  </si>
  <si>
    <t>CAL CEMENT SUB</t>
  </si>
  <si>
    <t>NEENACH SUB</t>
  </si>
  <si>
    <t>NEWBURY SUB</t>
  </si>
  <si>
    <t>PALMDALE SUB</t>
  </si>
  <si>
    <t>QUARTZ HILL SUB</t>
  </si>
  <si>
    <t>HELIJET SUB</t>
  </si>
  <si>
    <t>RANDALL SUB</t>
  </si>
  <si>
    <t>ORANGE PRODUCTS SUB</t>
  </si>
  <si>
    <t>INLAND CONTAINER SUB</t>
  </si>
  <si>
    <t>GANESHA SUB</t>
  </si>
  <si>
    <t>SAN ANTONIO SUB</t>
  </si>
  <si>
    <t>TIPPECANOE SUB</t>
  </si>
  <si>
    <t>COLTON CEMENT SUB</t>
  </si>
  <si>
    <t>AMERON SUB</t>
  </si>
  <si>
    <t>WIMBLEDON SUB</t>
  </si>
  <si>
    <t>VIDEO SUB</t>
  </si>
  <si>
    <t>ATHENS SUBSTATION</t>
  </si>
  <si>
    <t>NAPLES SUBSTATION</t>
  </si>
  <si>
    <t>WATSON SUBSTATION</t>
  </si>
  <si>
    <t>ERIC SUBSTATION</t>
  </si>
  <si>
    <t>SOUTH GATE SUBSTATION</t>
  </si>
  <si>
    <t>BOVINE SUBSTATION</t>
  </si>
  <si>
    <t>MOVIE SUBSTATION</t>
  </si>
  <si>
    <t>BAYSIDE SUBSTATION</t>
  </si>
  <si>
    <t>CARMENITA SUBSTATION</t>
  </si>
  <si>
    <t>PARKWOOD SUBSTATION</t>
  </si>
  <si>
    <t>WAVE SUBSTATION</t>
  </si>
  <si>
    <t>LA HABRA SUBSTATION</t>
  </si>
  <si>
    <t>OCEANVIEW SUBSTATION</t>
  </si>
  <si>
    <t>ALTON SUBSTATION</t>
  </si>
  <si>
    <t>SULLIVAN SUBSTATION</t>
  </si>
  <si>
    <t>SHAWNEE SUBSTATION</t>
  </si>
  <si>
    <t>TUSTIN SUBSTATION</t>
  </si>
  <si>
    <t>TELEGRAPH SUB</t>
  </si>
  <si>
    <t>NIGUEL SUBSTATION</t>
  </si>
  <si>
    <t>LAS LOMAS SUB</t>
  </si>
  <si>
    <t>ROADWAY(CEP)</t>
  </si>
  <si>
    <t>PAUBA(CEP) SUB</t>
  </si>
  <si>
    <t>THORNHILL(CEP) SUB</t>
  </si>
  <si>
    <t>STADLER(CEP) SUB</t>
  </si>
  <si>
    <t>EL CASCO SUBSTATION</t>
  </si>
  <si>
    <t>PAN AERO (CEP) SUB</t>
  </si>
  <si>
    <t>PHELAN(CEP) SUB</t>
  </si>
  <si>
    <t>BANWIND SUBSTATION</t>
  </si>
  <si>
    <t>MIRAGE(CEP) SUB</t>
  </si>
  <si>
    <t>APPLE VALLEY(CEP) SUB</t>
  </si>
  <si>
    <t>BUNKER(CEP) SUB</t>
  </si>
  <si>
    <t>FARREL(CEP) SUB</t>
  </si>
  <si>
    <t>CONCHO(CEP) SUB</t>
  </si>
  <si>
    <t>AULD(CEP) SUB</t>
  </si>
  <si>
    <t>MAXWELL(CEP) SUB</t>
  </si>
  <si>
    <t>SAVAGE(CEP) SUB</t>
  </si>
  <si>
    <t>PEPPER(CEP) SUB</t>
  </si>
  <si>
    <t>YUCCA(CEP) SUB</t>
  </si>
  <si>
    <t>BLACK MOUNTAIN(CEP) SUB</t>
  </si>
  <si>
    <t>ALESSANDRO(CEP) SUB</t>
  </si>
  <si>
    <t>BAKER(CEP) SUB</t>
  </si>
  <si>
    <t>BANNING(CEP) SUB</t>
  </si>
  <si>
    <t>COTTONWOOD(CEP) SUB</t>
  </si>
  <si>
    <t>EDWARDS(CEP) SUB</t>
  </si>
  <si>
    <t>HI DESERT(CEP) SUB</t>
  </si>
  <si>
    <t>MOUNTAIN PASS(CEP) SUB</t>
  </si>
  <si>
    <t>RANDSBURG(CEP) SUB</t>
  </si>
  <si>
    <t>ROCKET TEST(CEP) SUB</t>
  </si>
  <si>
    <t>SEARLES(CEP) SUB</t>
  </si>
  <si>
    <t>ZANJA(CEP) SUB</t>
  </si>
  <si>
    <t>SANTA ROSA(CEP) SUB</t>
  </si>
  <si>
    <t>TORTILLA(CEP) SUB</t>
  </si>
  <si>
    <t>NELSON(CEP) SUB</t>
  </si>
  <si>
    <t>HOMART(CEP) SUB</t>
  </si>
  <si>
    <t>HOLGATE(CEP) SUB</t>
  </si>
  <si>
    <t>CALECTRIC SUB (CEP)</t>
  </si>
  <si>
    <t>GARNET SUB</t>
  </si>
  <si>
    <t>IID TIE SUB</t>
  </si>
  <si>
    <t>TIEFORT SUB</t>
  </si>
  <si>
    <t>USBR BLYTHE SUB</t>
  </si>
  <si>
    <t>VICTOR SUB</t>
  </si>
  <si>
    <t>PUREWATER SUB</t>
  </si>
  <si>
    <t>SEAWIND T/S</t>
  </si>
  <si>
    <t>CHEVMAIN</t>
  </si>
  <si>
    <t>TIFFANYWIND SUB</t>
  </si>
  <si>
    <t>NUSED GALE</t>
  </si>
  <si>
    <t>CARODEAN</t>
  </si>
  <si>
    <t>IVYGLEN SUB</t>
  </si>
  <si>
    <t>HIGHGROVE SWITCHRCK</t>
  </si>
  <si>
    <t>SUN CITY(NEW)</t>
  </si>
  <si>
    <t>AQUEDUCT SUB</t>
  </si>
  <si>
    <t>BADLANDS SUB</t>
  </si>
  <si>
    <t>MENTONE SUB</t>
  </si>
  <si>
    <t>CAJALCO SUB</t>
  </si>
  <si>
    <t>HESPERIA SUB</t>
  </si>
  <si>
    <t>SKYLARK SUB</t>
  </si>
  <si>
    <t>MAYBERRY SUB</t>
  </si>
  <si>
    <t>PERMANENTE SUB</t>
  </si>
  <si>
    <t>ELCENTRO TELEMTERING</t>
  </si>
  <si>
    <t>NILAND TELEMETERING</t>
  </si>
  <si>
    <t>SHANDIN SUB</t>
  </si>
  <si>
    <t>ARROWHEAD SUB</t>
  </si>
  <si>
    <t>STETSON SUB</t>
  </si>
  <si>
    <t>MARSCHINO SUB</t>
  </si>
  <si>
    <t>DUNN SIDING SUB</t>
  </si>
  <si>
    <t>EISENHOWER SUB</t>
  </si>
  <si>
    <t>TAMARISK SUB</t>
  </si>
  <si>
    <t>BARSTOW SUB</t>
  </si>
  <si>
    <t>BLYTHE SUB</t>
  </si>
  <si>
    <t>BRYMAN SUB</t>
  </si>
  <si>
    <t>MILITARY SUB</t>
  </si>
  <si>
    <t>PALM SPRINGS SUB</t>
  </si>
  <si>
    <t>DOWNS SUB</t>
  </si>
  <si>
    <t>GLEN IVY SUB</t>
  </si>
  <si>
    <t>HELENDALE SUB</t>
  </si>
  <si>
    <t>HINKLEY SUB</t>
  </si>
  <si>
    <t>IDYLLWILD SUB</t>
  </si>
  <si>
    <t>MINNEOLA SUB</t>
  </si>
  <si>
    <t>MORENO SUB</t>
  </si>
  <si>
    <t>MURRIETA 2 SUB</t>
  </si>
  <si>
    <t>MURRIETA SUB</t>
  </si>
  <si>
    <t>SOUTHCAP SUB.</t>
  </si>
  <si>
    <t>MUSCOY SUB</t>
  </si>
  <si>
    <t>BELDING SUB</t>
  </si>
  <si>
    <t>ORDWAY SUB</t>
  </si>
  <si>
    <t>PALM CANYON SUB</t>
  </si>
  <si>
    <t>LUCERNE SUB</t>
  </si>
  <si>
    <t>RANCHO SUB</t>
  </si>
  <si>
    <t>RIALTO SUB</t>
  </si>
  <si>
    <t>RIDGECREST SUB</t>
  </si>
  <si>
    <t>SAN JACINTO SUB</t>
  </si>
  <si>
    <t>SUN CITY SUB</t>
  </si>
  <si>
    <t>TEMESCAL SUB</t>
  </si>
  <si>
    <t>WILDE SUB</t>
  </si>
  <si>
    <t>TENAJA SUBSTATION</t>
  </si>
  <si>
    <t>GALE SUB</t>
  </si>
  <si>
    <t>FORGE SUB</t>
  </si>
  <si>
    <t>BUCKWIND</t>
  </si>
  <si>
    <t>CAPWIHND</t>
  </si>
  <si>
    <t>RENWIND</t>
  </si>
  <si>
    <t>SANWIND</t>
  </si>
  <si>
    <t>TRANSWIND</t>
  </si>
  <si>
    <t>VENWIND</t>
  </si>
  <si>
    <t>ALTWIND</t>
  </si>
  <si>
    <t>TERAWIND</t>
  </si>
  <si>
    <t>INDIGO SUBSTATION</t>
  </si>
  <si>
    <t>CALGEN</t>
  </si>
  <si>
    <t>MCGEN</t>
  </si>
  <si>
    <t>SEGS II</t>
  </si>
  <si>
    <t>SEGS III</t>
  </si>
  <si>
    <t>SEGS IV</t>
  </si>
  <si>
    <t>SEGS V</t>
  </si>
  <si>
    <t>SEGS VI</t>
  </si>
  <si>
    <t>SEGS VII</t>
  </si>
  <si>
    <t>SEGS VIII</t>
  </si>
  <si>
    <t>SEGS IX</t>
  </si>
  <si>
    <t>SOPORT</t>
  </si>
  <si>
    <t>NEWCOMB</t>
  </si>
  <si>
    <t>ELSINORE</t>
  </si>
  <si>
    <t>SOUTH BASE SUB</t>
  </si>
  <si>
    <t>INDIAN WELLS SUB</t>
  </si>
  <si>
    <t>PECHANGA SUB</t>
  </si>
  <si>
    <t>MORAGA</t>
  </si>
  <si>
    <t>TANKER SUBSTATION</t>
  </si>
  <si>
    <t>PLUESS SUBSTATION</t>
  </si>
  <si>
    <t>AFG SUBSTATION</t>
  </si>
  <si>
    <t>RECTIFIER SUB</t>
  </si>
  <si>
    <t>MOUNTWIND SUBSTATION</t>
  </si>
  <si>
    <t>COSO SUB</t>
  </si>
  <si>
    <t>MOVAL SUBSTATION</t>
  </si>
  <si>
    <t>RITTER SUB</t>
  </si>
  <si>
    <t>PHARMACY SUBSTATION</t>
  </si>
  <si>
    <t>PLASTER SUBSTATION</t>
  </si>
  <si>
    <t>ONEIL SUBSTATION</t>
  </si>
  <si>
    <t>MIDWAY-PAC INTERTIE</t>
  </si>
  <si>
    <t>PARDEE-PAC INTERTIE</t>
  </si>
  <si>
    <t>SYLMAR-PAC INTERTIE</t>
  </si>
  <si>
    <t>CONSTR FIELD FORCES</t>
  </si>
  <si>
    <t>Div Offices &amp; Misc</t>
  </si>
  <si>
    <t>RP&amp;AS,LND&amp;ESMNT REQUIS</t>
  </si>
  <si>
    <t>TELCOMM-ALHAMBRA</t>
  </si>
  <si>
    <t>PLANT ACCTG-MISC. LEDGER</t>
  </si>
  <si>
    <t>PALOVERDE-SWITCHYARD</t>
  </si>
  <si>
    <t>SHAVER LAKE (FP 67)</t>
  </si>
  <si>
    <t>MET T/S REGION</t>
  </si>
  <si>
    <t>COASTAL T/S REGION</t>
  </si>
  <si>
    <t>EASTERN T/S REGION</t>
  </si>
  <si>
    <t>NRTHN T/S REGION</t>
  </si>
  <si>
    <t>S/E DIV., 66KV LINES</t>
  </si>
  <si>
    <t>SUBSTN DIV</t>
  </si>
  <si>
    <t>NO. T/S REG OFC/VALENCIA</t>
  </si>
  <si>
    <t>METRO REGION</t>
  </si>
  <si>
    <t>CATALINA SERVICE CENTER</t>
  </si>
  <si>
    <t>B&amp;A-T/S 3RD FLOOR-GO3</t>
  </si>
  <si>
    <t>TRANS/SUB SUPPORT SERV</t>
  </si>
  <si>
    <t>FUELS</t>
  </si>
  <si>
    <t>CONTROL SYS SEC-ALHAMBRA</t>
  </si>
  <si>
    <t>HUNTINGTON LK(FP2175)</t>
  </si>
  <si>
    <t>LUNDY</t>
  </si>
  <si>
    <t>BRIDGEPORT (OLD)</t>
  </si>
  <si>
    <t>JUNE LAKE</t>
  </si>
  <si>
    <t>DEEP SPRINGS</t>
  </si>
  <si>
    <t>WHITE MOUNTAIN RADIO</t>
  </si>
  <si>
    <t>MORGAN</t>
  </si>
  <si>
    <t>TIMBERWINE</t>
  </si>
  <si>
    <t>BRIDGEPORT</t>
  </si>
  <si>
    <t>SKILAND</t>
  </si>
  <si>
    <t>MINARET</t>
  </si>
  <si>
    <t>CATALINA ISLAND-DIESEL</t>
  </si>
  <si>
    <t>KRAMER SUB</t>
  </si>
  <si>
    <t>VALLEY-500 KV</t>
  </si>
  <si>
    <t>ALLEN SUB</t>
  </si>
  <si>
    <t>SANTEE DAIRY</t>
  </si>
  <si>
    <t>AMALIA SUB</t>
  </si>
  <si>
    <t>ANITA SUB</t>
  </si>
  <si>
    <t>ARCADIA SUB</t>
  </si>
  <si>
    <t>PROCTOR SUB</t>
  </si>
  <si>
    <t>RENO  SUB</t>
  </si>
  <si>
    <t>LIQUID SUB</t>
  </si>
  <si>
    <t>BELVEDERE SUB</t>
  </si>
  <si>
    <t>BREW SUB</t>
  </si>
  <si>
    <t>FEDERALGEN SUB</t>
  </si>
  <si>
    <t>GARFIELD SUB</t>
  </si>
  <si>
    <t>GARVEY SUB</t>
  </si>
  <si>
    <t>CRYCO SUB</t>
  </si>
  <si>
    <t>GRANADA SUB</t>
  </si>
  <si>
    <t>OUTFALL SUBSTATION</t>
  </si>
  <si>
    <t>SIMPSON PAPER SUBSTATION</t>
  </si>
  <si>
    <t>REFUSE SUB</t>
  </si>
  <si>
    <t>LA CANADA SUB</t>
  </si>
  <si>
    <t>HILLGEN SUB</t>
  </si>
  <si>
    <t>SIGGEN SUB</t>
  </si>
  <si>
    <t>MICHILLINDA SUB</t>
  </si>
  <si>
    <t>MONTEBELLO SUB</t>
  </si>
  <si>
    <t>NEWMARK SUB</t>
  </si>
  <si>
    <t>CYBER SUB</t>
  </si>
  <si>
    <t>5137</t>
  </si>
  <si>
    <t>RAMONA SUB</t>
  </si>
  <si>
    <t>GENAMIC SUB</t>
  </si>
  <si>
    <t>SAN GABRIEL SUB</t>
  </si>
  <si>
    <t>SAN MARINO SUB</t>
  </si>
  <si>
    <t>SIERRA MADRE SUB</t>
  </si>
  <si>
    <t>SANGAR SUB</t>
  </si>
  <si>
    <t>TERRACE SUB</t>
  </si>
  <si>
    <t>PUREAIR SUB</t>
  </si>
  <si>
    <t>AEROJET SUB</t>
  </si>
  <si>
    <t>SO. PACIFIC SUB -PIPELINE</t>
  </si>
  <si>
    <t>HOYTE SUB</t>
  </si>
  <si>
    <t>JOSE SUB</t>
  </si>
  <si>
    <t>IVAR SUB</t>
  </si>
  <si>
    <t>PACKAGE SUB</t>
  </si>
  <si>
    <t>MT WILSON SUB</t>
  </si>
  <si>
    <t>MOBILE 1-9, 14-20 SUB</t>
  </si>
  <si>
    <t>NIETOS SUB</t>
  </si>
  <si>
    <t>REPETTO SUB</t>
  </si>
  <si>
    <t>HARDING SUB</t>
  </si>
  <si>
    <t>RAYMOND SUB</t>
  </si>
  <si>
    <t>BRADBURY SUB</t>
  </si>
  <si>
    <t>SHULTZ SUB</t>
  </si>
  <si>
    <t>SHARON SUB</t>
  </si>
  <si>
    <t>VAIL SUB</t>
  </si>
  <si>
    <t>KIMBALL SUBSTATION</t>
  </si>
  <si>
    <t>5176</t>
  </si>
  <si>
    <t>RAVENDALE SUB</t>
  </si>
  <si>
    <t>AIRPAC SUB</t>
  </si>
  <si>
    <t>AZUSA CITY SUB</t>
  </si>
  <si>
    <t>BADILLO SUB</t>
  </si>
  <si>
    <t>BASSETT SUB</t>
  </si>
  <si>
    <t>COVINA SUB</t>
  </si>
  <si>
    <t>DALTON SUB</t>
  </si>
  <si>
    <t>MCA SUB</t>
  </si>
  <si>
    <t>INDUSTRY SUB</t>
  </si>
  <si>
    <t>LARK ELLEN SUB</t>
  </si>
  <si>
    <t>MERCED SUB</t>
  </si>
  <si>
    <t>SANIGEN SUB</t>
  </si>
  <si>
    <t>PUENTE SUB</t>
  </si>
  <si>
    <t>BEVERLY HILLS SUB</t>
  </si>
  <si>
    <t>POLARIS SUB</t>
  </si>
  <si>
    <t>CULVER CITY SUB</t>
  </si>
  <si>
    <t>DOUGLAS-EL SEGUNDO SUB</t>
  </si>
  <si>
    <t>EL PORTO SUB</t>
  </si>
  <si>
    <t>SEPULVEDA SUB</t>
  </si>
  <si>
    <t>FAIRFAX SUB</t>
  </si>
  <si>
    <t>DOHENY SUB</t>
  </si>
  <si>
    <t>HOWARD SUB</t>
  </si>
  <si>
    <t>INGLEWOOD SUB</t>
  </si>
  <si>
    <t>MOOG SUBSTATION</t>
  </si>
  <si>
    <t>COSMIC SUB</t>
  </si>
  <si>
    <t>MADRID SUB</t>
  </si>
  <si>
    <t>MANHATTAN SUB</t>
  </si>
  <si>
    <t>MARINE SUB</t>
  </si>
  <si>
    <t>MONETA SUB</t>
  </si>
  <si>
    <t>MORNINGSIDE SUB</t>
  </si>
  <si>
    <t>HUGHTRON SUB</t>
  </si>
  <si>
    <t>OCEAN PARK SUB</t>
  </si>
  <si>
    <t>OLYMPIC SUB</t>
  </si>
  <si>
    <t>PALOS VERDES SUB</t>
  </si>
  <si>
    <t>PEARL SUB</t>
  </si>
  <si>
    <t>PERRY SUB</t>
  </si>
  <si>
    <t>BRIGHTON SUB</t>
  </si>
  <si>
    <t>REDONDO SUB</t>
  </si>
  <si>
    <t>ROSECRANS SUB</t>
  </si>
  <si>
    <t>MOBILOIL SUB</t>
  </si>
  <si>
    <t>SAN VINCENTE SUB</t>
  </si>
  <si>
    <t>SANTA MONICA SUB</t>
  </si>
  <si>
    <t>VICTORIA SUB</t>
  </si>
  <si>
    <t>WALTERIA SUB</t>
  </si>
  <si>
    <t>VALDEZ SUB</t>
  </si>
  <si>
    <t>LAWNDALE SUB</t>
  </si>
  <si>
    <t>CRATER SUB</t>
  </si>
  <si>
    <t>RINDGE SUB</t>
  </si>
  <si>
    <t>COLORADO SUB</t>
  </si>
  <si>
    <t>TOPANGA SUB</t>
  </si>
  <si>
    <t>FLETON SUB</t>
  </si>
  <si>
    <t>BEDFORD SUB</t>
  </si>
  <si>
    <t>DITMAR SUB</t>
  </si>
  <si>
    <t>HUGHESAIR SUB</t>
  </si>
  <si>
    <t>ZUMA SUB</t>
  </si>
  <si>
    <t>SAWTELLE SUB</t>
  </si>
  <si>
    <t>RALPHS SUB</t>
  </si>
  <si>
    <t>ROLLING HILLS SUB</t>
  </si>
  <si>
    <t>TRISONIC SUB</t>
  </si>
  <si>
    <t>HAVEDA SUB</t>
  </si>
  <si>
    <t>LUNADA SUB</t>
  </si>
  <si>
    <t>AMCO SUB</t>
  </si>
  <si>
    <t>BRIDGE SUB</t>
  </si>
  <si>
    <t>SHELLINE</t>
  </si>
  <si>
    <t>STIRRUP SUB</t>
  </si>
  <si>
    <t>COLOSSUS SUB</t>
  </si>
  <si>
    <t>LOSULFUR SUB</t>
  </si>
  <si>
    <t>ARCO SUBSTATION</t>
  </si>
  <si>
    <t>THERMAL SUB</t>
  </si>
  <si>
    <t>CREST SUB</t>
  </si>
  <si>
    <t>REFINERY SUB</t>
  </si>
  <si>
    <t>BLUFF COVE SUB</t>
  </si>
  <si>
    <t>SPACE SUB</t>
  </si>
  <si>
    <t>TOPAZ SUB</t>
  </si>
  <si>
    <t>TORRANCE SUB</t>
  </si>
  <si>
    <t>CORNER SUB</t>
  </si>
  <si>
    <t>TAHITI SUB</t>
  </si>
  <si>
    <t>LATIGO SUB</t>
  </si>
  <si>
    <t>STANHILL SUB</t>
  </si>
  <si>
    <t>GALAXY SUB</t>
  </si>
  <si>
    <t>MARYMOUNT SUB</t>
  </si>
  <si>
    <t>AIRCHEM SUB</t>
  </si>
  <si>
    <t>TAPIA SUB</t>
  </si>
  <si>
    <t>WESTHILL SUB</t>
  </si>
  <si>
    <t>VARWIND SUB</t>
  </si>
  <si>
    <t>GATX SUB</t>
  </si>
  <si>
    <t>CARBOGEN SUB</t>
  </si>
  <si>
    <t>PALOGEN SUB</t>
  </si>
  <si>
    <t>CHEVGEN SUB</t>
  </si>
  <si>
    <t>XEROX SUBSTATION</t>
  </si>
  <si>
    <t>RALPHS SUB (COMPTON)</t>
  </si>
  <si>
    <t>TOYOTA SUB</t>
  </si>
  <si>
    <t>SONY SUBSTATION</t>
  </si>
  <si>
    <t>SHRED SUBSTATION</t>
  </si>
  <si>
    <t>TIDELANDS SUBSTATION</t>
  </si>
  <si>
    <t>HANJIN SUBSTATION</t>
  </si>
  <si>
    <t>WASTEWATER SUBSTATION</t>
  </si>
  <si>
    <t>AIRPRO SUBSTATION</t>
  </si>
  <si>
    <t>DEL MAR SUBSTATION</t>
  </si>
  <si>
    <t>MAGMAGEN SUBSTATION</t>
  </si>
  <si>
    <t>CHEVCENTRAL SUB</t>
  </si>
  <si>
    <t>APL SUBSTATION</t>
  </si>
  <si>
    <t>KIWI SUBSTATION</t>
  </si>
  <si>
    <t>PITMAN SUB</t>
  </si>
  <si>
    <t>BIG CREEK 2</t>
  </si>
  <si>
    <t>BLISS SUB</t>
  </si>
  <si>
    <t>BROWNING SUB</t>
  </si>
  <si>
    <t>DELANO SUB</t>
  </si>
  <si>
    <t>EARLIMART SUB</t>
  </si>
  <si>
    <t>EXETER SUB</t>
  </si>
  <si>
    <t>GLENNVILLE SUB</t>
  </si>
  <si>
    <t>GOSHEN SUB</t>
  </si>
  <si>
    <t>HANFORD SUB</t>
  </si>
  <si>
    <t>HAVILAH SUB</t>
  </si>
  <si>
    <t>LIBERTY SUB</t>
  </si>
  <si>
    <t>ELCANS SUB</t>
  </si>
  <si>
    <t>LAUREL SUB</t>
  </si>
  <si>
    <t>LEMON COVE SUB</t>
  </si>
  <si>
    <t>LINDSAY SUB</t>
  </si>
  <si>
    <t>LORAINE SUB</t>
  </si>
  <si>
    <t>MARIPOSA SUB</t>
  </si>
  <si>
    <t>OCTOL SUB</t>
  </si>
  <si>
    <t>PIXLEY SUB</t>
  </si>
  <si>
    <t>POPLAR SUB</t>
  </si>
  <si>
    <t>PORTERVILLE SUB</t>
  </si>
  <si>
    <t>ULTRAGEN SUB</t>
  </si>
  <si>
    <t>TERRA BELLA SUB</t>
  </si>
  <si>
    <t>TIPTON SUB</t>
  </si>
  <si>
    <t>TULARE SUB</t>
  </si>
  <si>
    <t>VENICE HILL SUB</t>
  </si>
  <si>
    <t>VENIDA SUB</t>
  </si>
  <si>
    <t>WALKERBASIN SUB</t>
  </si>
  <si>
    <t>WOODVILLE SUB</t>
  </si>
  <si>
    <t>KAWGEN SUB</t>
  </si>
  <si>
    <t>LOUIS RICH</t>
  </si>
  <si>
    <t>COLUMBINE SUB</t>
  </si>
  <si>
    <t>OAK GROVE SUB</t>
  </si>
  <si>
    <t>MOONEY SUB</t>
  </si>
  <si>
    <t>GREENHORN SUB</t>
  </si>
  <si>
    <t>DIVISADERO SUB</t>
  </si>
  <si>
    <t>GRANGEVILLE SUB</t>
  </si>
  <si>
    <t>QUINN SUB</t>
  </si>
  <si>
    <t>WOODLAKE SUB</t>
  </si>
  <si>
    <t>CAPTIVE SUB</t>
  </si>
  <si>
    <t>CHATHAM SUB</t>
  </si>
  <si>
    <t>ISABELLA SUB</t>
  </si>
  <si>
    <t>WHEATLAND SUB</t>
  </si>
  <si>
    <t>THREE RIVERS SUB</t>
  </si>
  <si>
    <t>BOXWOOD SUB</t>
  </si>
  <si>
    <t>WELDON SUB</t>
  </si>
  <si>
    <t>KERNVILLE SUB</t>
  </si>
  <si>
    <t>BREEZE SUB</t>
  </si>
  <si>
    <t>PANDOL SUB</t>
  </si>
  <si>
    <t>LANPRI SUB</t>
  </si>
  <si>
    <t>VIRGIN SUB</t>
  </si>
  <si>
    <t>DESAL SUB</t>
  </si>
  <si>
    <t>ARCO SUB</t>
  </si>
  <si>
    <t>ELLWOOD SUB</t>
  </si>
  <si>
    <t>DAIRY SUB</t>
  </si>
  <si>
    <t>LEHMAN SUB</t>
  </si>
  <si>
    <t>CAPITAN SUB</t>
  </si>
  <si>
    <t>PROTEIN SUBSTATION</t>
  </si>
  <si>
    <t>N/E T/S DIV-VARIOUS SUB</t>
  </si>
  <si>
    <t>MISSILE SUB(POINT MOGU)</t>
  </si>
  <si>
    <t>ZOND WIND SUB</t>
  </si>
  <si>
    <t>CALWIND SUB</t>
  </si>
  <si>
    <t>CANWIND SUB</t>
  </si>
  <si>
    <t>ENWIND SUB</t>
  </si>
  <si>
    <t>MORWIND SUB</t>
  </si>
  <si>
    <t>FLOWIND SUB</t>
  </si>
  <si>
    <t>ARBWIND SUB</t>
  </si>
  <si>
    <t>SILVER PEAK SUB</t>
  </si>
  <si>
    <t>DUTCHWIND SUB</t>
  </si>
  <si>
    <t>OAKWIND SUB</t>
  </si>
  <si>
    <t>SOUTHWIND SUB</t>
  </si>
  <si>
    <t>MIDWIND SUB</t>
  </si>
  <si>
    <t>ZEEWIND SUB</t>
  </si>
  <si>
    <t>WRIGHTWOOD SUB</t>
  </si>
  <si>
    <t>TORTOISE SUB</t>
  </si>
  <si>
    <t>RITEAID SUBSTATION</t>
  </si>
  <si>
    <t>CORRECTION SUBSTATION</t>
  </si>
  <si>
    <t>TORREY SUB</t>
  </si>
  <si>
    <t>CARPINTERIA SUB</t>
  </si>
  <si>
    <t>CASITAS SUB</t>
  </si>
  <si>
    <t>COLONIA SUB</t>
  </si>
  <si>
    <t>CHANNEL ISLANDS SUB</t>
  </si>
  <si>
    <t>ORTEGA SUB</t>
  </si>
  <si>
    <t>OXGEN SUB</t>
  </si>
  <si>
    <t>GORMAN SUB</t>
  </si>
  <si>
    <t>COLEGIO SUBSTATION</t>
  </si>
  <si>
    <t>PROCGEN SUB</t>
  </si>
  <si>
    <t>CAMARILLO SUB</t>
  </si>
  <si>
    <t>MALIBU SUB</t>
  </si>
  <si>
    <t>MODOC SUB</t>
  </si>
  <si>
    <t>UNIOIL SUB</t>
  </si>
  <si>
    <t>NORTHWIND SUB</t>
  </si>
  <si>
    <t>MONTECITO SUB</t>
  </si>
  <si>
    <t>OAK PARK SUB</t>
  </si>
  <si>
    <t>OJAI SUB</t>
  </si>
  <si>
    <t>OXNARD SUB</t>
  </si>
  <si>
    <t>PIERPONT SUB</t>
  </si>
  <si>
    <t>PIRU SUB</t>
  </si>
  <si>
    <t>SANTA BARBARA SUB</t>
  </si>
  <si>
    <t>SANTA SUSANA SUB</t>
  </si>
  <si>
    <t>SATICOY SUB</t>
  </si>
  <si>
    <t>CHARMIN SUB</t>
  </si>
  <si>
    <t>SOMIS SUB</t>
  </si>
  <si>
    <t>VENTURA SUB</t>
  </si>
  <si>
    <t>ANAVERDE SUB</t>
  </si>
  <si>
    <t>NORTH OAKS</t>
  </si>
  <si>
    <t>WILLAMETTE SUB</t>
  </si>
  <si>
    <t>CAMAR SUB</t>
  </si>
  <si>
    <t>CORUM SUB</t>
  </si>
  <si>
    <t>PORTER SUB</t>
  </si>
  <si>
    <t>SAN FERNANDO SUB</t>
  </si>
  <si>
    <t>MAC NEIL SUBSTATION</t>
  </si>
  <si>
    <t>LEVY SUB</t>
  </si>
  <si>
    <t>SHELLSOM SUB</t>
  </si>
  <si>
    <t>CHATSWORTH SUB</t>
  </si>
  <si>
    <t>SOLEMINT SUB</t>
  </si>
  <si>
    <t>GREAT LAKES SUB</t>
  </si>
  <si>
    <t>GRISWOLD SUB</t>
  </si>
  <si>
    <t>ESTERO SUB</t>
  </si>
  <si>
    <t>PLAYA SUB</t>
  </si>
  <si>
    <t>WILSONA SUB</t>
  </si>
  <si>
    <t>LOCKHEED SUB</t>
  </si>
  <si>
    <t>THOUSAND OAKS SUB</t>
  </si>
  <si>
    <t>VEGAS SUB</t>
  </si>
  <si>
    <t>GAVIOTA SUB</t>
  </si>
  <si>
    <t>ROCKETDYNE SUB</t>
  </si>
  <si>
    <t>APPGEN SUB</t>
  </si>
  <si>
    <t>TENGEN SUB</t>
  </si>
  <si>
    <t>NEWHALL SUB</t>
  </si>
  <si>
    <t>SAN MIGUEL SUB</t>
  </si>
  <si>
    <t>BURRO FLATS SUB</t>
  </si>
  <si>
    <t>WAKEFIELD SUB</t>
  </si>
  <si>
    <t>ROYAL SUB</t>
  </si>
  <si>
    <t>EXXON CO. USA SUB</t>
  </si>
  <si>
    <t>PITCHGEN SUB</t>
  </si>
  <si>
    <t>UNIVERSAL CITY SUB</t>
  </si>
  <si>
    <t>SAN MARCOS SUB</t>
  </si>
  <si>
    <t>GONZALES SUB</t>
  </si>
  <si>
    <t>THRUST SUB</t>
  </si>
  <si>
    <t>WESTPAC SUB</t>
  </si>
  <si>
    <t>HASKELL SUB</t>
  </si>
  <si>
    <t>CAMGEN SUB</t>
  </si>
  <si>
    <t>ISLA VISTA SUB</t>
  </si>
  <si>
    <t>POTRERO SUB</t>
  </si>
  <si>
    <t>EASTERN DIV SUB</t>
  </si>
  <si>
    <t>ARRO SUB</t>
  </si>
  <si>
    <t>TROPHY SUB</t>
  </si>
  <si>
    <t>TIMOTEO SUB</t>
  </si>
  <si>
    <t>BEAUMONT SUB</t>
  </si>
  <si>
    <t>CAPSULE SUB</t>
  </si>
  <si>
    <t>CARDIFF SUB</t>
  </si>
  <si>
    <t>PLASTIC SUB</t>
  </si>
  <si>
    <t>COLTON SUB</t>
  </si>
  <si>
    <t>LIVE OAK SUB</t>
  </si>
  <si>
    <t>AGUA MANSA SUB</t>
  </si>
  <si>
    <t>PEYTON SUB</t>
  </si>
  <si>
    <t>DECLEZ SUB</t>
  </si>
  <si>
    <t>FLANCO SUB</t>
  </si>
  <si>
    <t>FIREHOUSE SUB</t>
  </si>
  <si>
    <t>HIGHLAND SUB</t>
  </si>
  <si>
    <t>BLOOMINGTON SUB</t>
  </si>
  <si>
    <t>HUSTON SUB</t>
  </si>
  <si>
    <t>JUNCTION SUB</t>
  </si>
  <si>
    <t>5623</t>
  </si>
  <si>
    <t>NORCO SUB</t>
  </si>
  <si>
    <t>ONTARIO SUB</t>
  </si>
  <si>
    <t>PEDLEY SUB</t>
  </si>
  <si>
    <t>POMONA SUB</t>
  </si>
  <si>
    <t>TENNESSEE SUB</t>
  </si>
  <si>
    <t>REDLANDS SUB</t>
  </si>
  <si>
    <t>GRAPELAND PEAKER SUB</t>
  </si>
  <si>
    <t>STODDARD SUB</t>
  </si>
  <si>
    <t>SAN DIMAS SUB</t>
  </si>
  <si>
    <t>KAISER STEEL SUB</t>
  </si>
  <si>
    <t>UPLAND SUB</t>
  </si>
  <si>
    <t>YUCAIPA SUB</t>
  </si>
  <si>
    <t>KEM SUB</t>
  </si>
  <si>
    <t>FRANCIS SUB</t>
  </si>
  <si>
    <t>BURNT MILL SUB</t>
  </si>
  <si>
    <t>MT VERNON SUB</t>
  </si>
  <si>
    <t>EUCLID SUB</t>
  </si>
  <si>
    <t>LAYFAIR SUB</t>
  </si>
  <si>
    <t>VALENCIA SUB</t>
  </si>
  <si>
    <t>NAROD SUB</t>
  </si>
  <si>
    <t>LINDE AIR SUB</t>
  </si>
  <si>
    <t>SMILEY SUB</t>
  </si>
  <si>
    <t>REDUCTION SUB</t>
  </si>
  <si>
    <t>NOGALES SUB</t>
  </si>
  <si>
    <t>BAIN SUB</t>
  </si>
  <si>
    <t>WHEEL SUB</t>
  </si>
  <si>
    <t>PIPE SUB</t>
  </si>
  <si>
    <t>ARCHIBALD SUB</t>
  </si>
  <si>
    <t>RUNNING SPRINGS SUB</t>
  </si>
  <si>
    <t>ARBORS SUB</t>
  </si>
  <si>
    <t>MILLIKEN SUB</t>
  </si>
  <si>
    <t>HAVASU SUB</t>
  </si>
  <si>
    <t>ARCHLINE SUB</t>
  </si>
  <si>
    <t>CRESTMORE SUB</t>
  </si>
  <si>
    <t>DEL ROSA SUB</t>
  </si>
  <si>
    <t>ALDER SUB</t>
  </si>
  <si>
    <t>WHIPPLE SUB</t>
  </si>
  <si>
    <t>CUCAMONGA SUB</t>
  </si>
  <si>
    <t>LANDING SUB</t>
  </si>
  <si>
    <t>CHASE SUB</t>
  </si>
  <si>
    <t>DIAMOND BAR SUB</t>
  </si>
  <si>
    <t>GARDEN STATE SUB</t>
  </si>
  <si>
    <t>UNIMED SUB</t>
  </si>
  <si>
    <t>DELGEN SUB</t>
  </si>
  <si>
    <t>CIMGEN SUB</t>
  </si>
  <si>
    <t>SOQUEL SUB</t>
  </si>
  <si>
    <t>ROCKAIR SUB</t>
  </si>
  <si>
    <t>SIMPSON SUB</t>
  </si>
  <si>
    <t>DATABANK SUB</t>
  </si>
  <si>
    <t>CLAREMONT SUB</t>
  </si>
  <si>
    <t>FIBRE SUB</t>
  </si>
  <si>
    <t>POLYPRO SUB</t>
  </si>
  <si>
    <t>KINDER SUB.</t>
  </si>
  <si>
    <t>ALON SUB</t>
  </si>
  <si>
    <t>NAVY MOLE SUB</t>
  </si>
  <si>
    <t>SHELLWAT SUB</t>
  </si>
  <si>
    <t>BELMONT SUB</t>
  </si>
  <si>
    <t>BIXBY SUB</t>
  </si>
  <si>
    <t>BOWL SUB</t>
  </si>
  <si>
    <t>INJECTION SUB</t>
  </si>
  <si>
    <t>BREWSTER SUB</t>
  </si>
  <si>
    <t>CARSON SUB</t>
  </si>
  <si>
    <t>CAMERON SUB</t>
  </si>
  <si>
    <t>CUDAHY SUB</t>
  </si>
  <si>
    <t>BOOST SUB</t>
  </si>
  <si>
    <t>FRUITLAND SUB</t>
  </si>
  <si>
    <t>ASTRO SUB</t>
  </si>
  <si>
    <t>FREEMONT SUB</t>
  </si>
  <si>
    <t>DIKE SUBSTATION</t>
  </si>
  <si>
    <t>PICO SUBSTATION</t>
  </si>
  <si>
    <t>CORNUTA SUBSTATION</t>
  </si>
  <si>
    <t>GRAHAM SUBSTATION</t>
  </si>
  <si>
    <t>HATHAWAY SUBSTATION</t>
  </si>
  <si>
    <t>HUNTINGTON PARK SUB</t>
  </si>
  <si>
    <t>PACLINE SUBSTATION</t>
  </si>
  <si>
    <t>LYNWOOD SUBSTATION</t>
  </si>
  <si>
    <t>MAYWOOD SUBSTATION</t>
  </si>
  <si>
    <t>LAKEWOOD SUBSTATION</t>
  </si>
  <si>
    <t>LINDEN SUBSTATION</t>
  </si>
  <si>
    <t>LOCUST SUBSTATION</t>
  </si>
  <si>
    <t>LOS CERRITOS SUB</t>
  </si>
  <si>
    <t>RANDOLPH SUBSTATION</t>
  </si>
  <si>
    <t>THUMS "A" SUBSTATION</t>
  </si>
  <si>
    <t>THUMS "B" SUBSTATION</t>
  </si>
  <si>
    <t>OLDFIELD SUBSTATION</t>
  </si>
  <si>
    <t>LARDER SUBSTATION</t>
  </si>
  <si>
    <t>SANITREAT SUBSTATION</t>
  </si>
  <si>
    <t>FERNWOOD SUBSTATION</t>
  </si>
  <si>
    <t>CALDEN SUBSTATION</t>
  </si>
  <si>
    <t>NOLA SUBSTATION</t>
  </si>
  <si>
    <t>SIGNAL HILL</t>
  </si>
  <si>
    <t>SOMERSET SUBSTATION</t>
  </si>
  <si>
    <t>STATE STREET SUBSTATION</t>
  </si>
  <si>
    <t>BULLIS SUBSTATION</t>
  </si>
  <si>
    <t>WEBCO SUBSTATION</t>
  </si>
  <si>
    <t>THUMS "C" SUBSTATION</t>
  </si>
  <si>
    <t>THUMS "D" SUBSTATION</t>
  </si>
  <si>
    <t>COLLEGE SUBSTATION</t>
  </si>
  <si>
    <t>REVITAL SUBSTATION</t>
  </si>
  <si>
    <t>DAISY SUBSTATION</t>
  </si>
  <si>
    <t>COMPTON SUBSTATION</t>
  </si>
  <si>
    <t>BROADWAY</t>
  </si>
  <si>
    <t>CLARK SUBSTATION</t>
  </si>
  <si>
    <t>GAGE SUBSTATION</t>
  </si>
  <si>
    <t>LUCAS SUBSTATION</t>
  </si>
  <si>
    <t>IMPERIAL SUB</t>
  </si>
  <si>
    <t>FUEL SUBSTATION</t>
  </si>
  <si>
    <t>LONGDON SUBSTATION</t>
  </si>
  <si>
    <t>DOMHILL SUBSTATION</t>
  </si>
  <si>
    <t>JERSEY SUBSTATION</t>
  </si>
  <si>
    <t>WOODRUFF SUBSTATION</t>
  </si>
  <si>
    <t>DAVIDSON CITY</t>
  </si>
  <si>
    <t>NAOMI SUBSTATION</t>
  </si>
  <si>
    <t>NEPTUNE SUBSTATION</t>
  </si>
  <si>
    <t>DOUGOIL SUB</t>
  </si>
  <si>
    <t>HEDDA SUBSTATION</t>
  </si>
  <si>
    <t>SUNNYSIDE SUBSTATION</t>
  </si>
  <si>
    <t>ARTESIA SUBSTATION</t>
  </si>
  <si>
    <t>SEABRIGHT SUBSTATION</t>
  </si>
  <si>
    <t>GREENING SUBSTATION</t>
  </si>
  <si>
    <t>WESTEX SUBSTATION</t>
  </si>
  <si>
    <t>ATRICH SUBSTATION</t>
  </si>
  <si>
    <t>CERTIFIED SUBSTATION</t>
  </si>
  <si>
    <t>STADIUM SUBSTATION</t>
  </si>
  <si>
    <t>CHERRY SUBSTATION</t>
  </si>
  <si>
    <t>PAPERMATE SUB</t>
  </si>
  <si>
    <t>SOUTHEAST DIVISION</t>
  </si>
  <si>
    <t>VERA SUBSTATION</t>
  </si>
  <si>
    <t>MODENA SUBSTATION</t>
  </si>
  <si>
    <t>SMITH TOOL SUBSTATION</t>
  </si>
  <si>
    <t>ATWOOD SUBSTATION</t>
  </si>
  <si>
    <t>APOLLO SUBSTATION</t>
  </si>
  <si>
    <t>BOLSA SUBSTATION</t>
  </si>
  <si>
    <t>BRYAN SUBSTATION</t>
  </si>
  <si>
    <t>SLATER SUBSTATION</t>
  </si>
  <si>
    <t>BRISTOL SUBSTATION</t>
  </si>
  <si>
    <t>CHIQUITA SUBSTATION</t>
  </si>
  <si>
    <t>MURPHY SUB</t>
  </si>
  <si>
    <t>CAROLINA SUBSTATION</t>
  </si>
  <si>
    <t>PAPER SUBSTATION</t>
  </si>
  <si>
    <t>COSTA MESA SUBSTATION</t>
  </si>
  <si>
    <t>CROWN SUBSTATION</t>
  </si>
  <si>
    <t>ELY SUBSTATION</t>
  </si>
  <si>
    <t>DOWNEY SUB</t>
  </si>
  <si>
    <t>FAIRVIEW SUBSTATION</t>
  </si>
  <si>
    <t>FULLERTON SUBSTATION</t>
  </si>
  <si>
    <t>GALLATIN SUB</t>
  </si>
  <si>
    <t>WEICO SUBSTATION</t>
  </si>
  <si>
    <t>HAMILTON SUBSTATION</t>
  </si>
  <si>
    <t>CAMDEN SUBSTATION</t>
  </si>
  <si>
    <t>IRVINE SUBSTATION</t>
  </si>
  <si>
    <t>SOUTH PAC SUBSTATION</t>
  </si>
  <si>
    <t>GILBERT SUBSTATION</t>
  </si>
  <si>
    <t>LA MIRADA SUBSTATION</t>
  </si>
  <si>
    <t>LA VETA SUBSTATION</t>
  </si>
  <si>
    <t>MORRO SUBSTATION</t>
  </si>
  <si>
    <t>CYPRESS SUBSTATION</t>
  </si>
  <si>
    <t>NARROWS SUB</t>
  </si>
  <si>
    <t>SUNNYHILLS SUBSTATION</t>
  </si>
  <si>
    <t>LEANDRO SUBSTATION</t>
  </si>
  <si>
    <t>ORANGE SUBSTATION</t>
  </si>
  <si>
    <t>WILSHIRE SUB</t>
  </si>
  <si>
    <t>MOULTON SUBSTATION</t>
  </si>
  <si>
    <t>MERCURY SUB</t>
  </si>
  <si>
    <t>RIVERA SUB</t>
  </si>
  <si>
    <t>SANTA ANA SUBSTATION</t>
  </si>
  <si>
    <t>SANTA FE SPRINGS SUB</t>
  </si>
  <si>
    <t>GISLER SUBSTATION</t>
  </si>
  <si>
    <t>STEWART SUB</t>
  </si>
  <si>
    <t>TALBERT SUBSTATION</t>
  </si>
  <si>
    <t>BROOKHURST SUBSTATION</t>
  </si>
  <si>
    <t>WASHINGTON SUBSTATION</t>
  </si>
  <si>
    <t>SPONGE SUB</t>
  </si>
  <si>
    <t>CEDARWOOD SUBSTATION</t>
  </si>
  <si>
    <t>CHESTNUT SUBSTATION</t>
  </si>
  <si>
    <t>BARTOLO SUB</t>
  </si>
  <si>
    <t>EDGEWATER SUBSTATION</t>
  </si>
  <si>
    <t>ESTRELLA SUBSTATION</t>
  </si>
  <si>
    <t>MARION SUBSTATION</t>
  </si>
  <si>
    <t>ARCH BEACH SUBSTATION</t>
  </si>
  <si>
    <t>LAMPSON SUBSTATION</t>
  </si>
  <si>
    <t>NORSEAL SUBSTATION</t>
  </si>
  <si>
    <t>LAFAYETTE SUBSTATION</t>
  </si>
  <si>
    <t>LA PALMA SUBSTATION</t>
  </si>
  <si>
    <t>MAC ARTHUR SUBSTATION</t>
  </si>
  <si>
    <t>EDINGER SUBSTATION</t>
  </si>
  <si>
    <t>CABRILLO SUBSTATION</t>
  </si>
  <si>
    <t>YORBA LINDA SUBSTATION</t>
  </si>
  <si>
    <t>BASTA SUBSTATION</t>
  </si>
  <si>
    <t>BURRIS PIT</t>
  </si>
  <si>
    <t>POWERINE SUB</t>
  </si>
  <si>
    <t>PIONEER SUB</t>
  </si>
  <si>
    <t>BORREGO SUBSTATION</t>
  </si>
  <si>
    <t>WESTGATE SUB</t>
  </si>
  <si>
    <t>PLACENTIA SUBSTATION</t>
  </si>
  <si>
    <t>CANYON SUBSTATION</t>
  </si>
  <si>
    <t>FRIENDLY HILLS SUB</t>
  </si>
  <si>
    <t>PASSONS SUB</t>
  </si>
  <si>
    <t>AMMONIA SUBSTATION</t>
  </si>
  <si>
    <t>PAULARINO SUBSTATION</t>
  </si>
  <si>
    <t>SOCO SUBSTATION</t>
  </si>
  <si>
    <t>FLORADAY SUB</t>
  </si>
  <si>
    <t>TRASK SUBSTATION</t>
  </si>
  <si>
    <t>HOPEFUL SUB</t>
  </si>
  <si>
    <t>SKINWATER SUB</t>
  </si>
  <si>
    <t>5903</t>
  </si>
  <si>
    <t>SN ONOFRE SWTHRK-100%SCE</t>
  </si>
  <si>
    <t>SN BRDNO SWTCHRCK</t>
  </si>
  <si>
    <t>NUSED RAILROAD CNYN(NEW)</t>
  </si>
  <si>
    <t>AMARGO SUB</t>
  </si>
  <si>
    <t>AMBOY SUB</t>
  </si>
  <si>
    <t>FARRELL SUB</t>
  </si>
  <si>
    <t>APPLE VALLEY SUB</t>
  </si>
  <si>
    <t>ARABY SUB</t>
  </si>
  <si>
    <t>CABAZON SUB</t>
  </si>
  <si>
    <t>CADY SUB</t>
  </si>
  <si>
    <t>CANTIL SUB</t>
  </si>
  <si>
    <t>LITTLE LAKE SUB</t>
  </si>
  <si>
    <t>CATHEDRAL CITY SUB</t>
  </si>
  <si>
    <t>CHASE 2 SUB</t>
  </si>
  <si>
    <t>CONVERSE FLATS SUB</t>
  </si>
  <si>
    <t>CAL CITY SUB</t>
  </si>
  <si>
    <t>DAGGETT SUB</t>
  </si>
  <si>
    <t>DESERT OUTPOST SUB</t>
  </si>
  <si>
    <t>DUNES SUB</t>
  </si>
  <si>
    <t>EAST BARSTOW SUB</t>
  </si>
  <si>
    <t>VENT SUB</t>
  </si>
  <si>
    <t>EDGEMONT SUB</t>
  </si>
  <si>
    <t>FOREST HOME SUB</t>
  </si>
  <si>
    <t>GEORGE AIR FORCE BASE SUB</t>
  </si>
  <si>
    <t>GLEN AVON SUB</t>
  </si>
  <si>
    <t>GOLDSTONE SUB</t>
  </si>
  <si>
    <t>NUGGET SUB</t>
  </si>
  <si>
    <t>EL SOBRANTE SUB</t>
  </si>
  <si>
    <t>HARPER LAKE SUB</t>
  </si>
  <si>
    <t>HARVARD SUB</t>
  </si>
  <si>
    <t>DEFRAIN SUB</t>
  </si>
  <si>
    <t>HEMET SUB</t>
  </si>
  <si>
    <t>INYOKERN TOWN SUB</t>
  </si>
  <si>
    <t>COFFEE SUB</t>
  </si>
  <si>
    <t>JOSHUA TREE SUB</t>
  </si>
  <si>
    <t>KEMPSTER SUB</t>
  </si>
  <si>
    <t>LAKEVIEW SUB</t>
  </si>
  <si>
    <t>8179</t>
  </si>
  <si>
    <t>SOUTHDOWN SUBSTATION</t>
  </si>
  <si>
    <t>NORTH INTAKE SUB</t>
  </si>
  <si>
    <t>NORTH MUROC SUB</t>
  </si>
  <si>
    <t>HOLIDAY SUB</t>
  </si>
  <si>
    <t>NUEVO SUB</t>
  </si>
  <si>
    <t>OLIVE LAKE SUB</t>
  </si>
  <si>
    <t>ORO GRANDE SUB</t>
  </si>
  <si>
    <t>PALM VILLAGE SUB</t>
  </si>
  <si>
    <t>PEERLESS SUB</t>
  </si>
  <si>
    <t>GAVILAN SUB</t>
  </si>
  <si>
    <t>RAILROAD CANYON (OLD) SUB</t>
  </si>
  <si>
    <t>RIPLEY SUB</t>
  </si>
  <si>
    <t>CANYON LAKE SUBSTATION</t>
  </si>
  <si>
    <t>RUBIDOUX SUB</t>
  </si>
  <si>
    <t>SECOND AVENUE SUB</t>
  </si>
  <si>
    <t>SILVER SPUR SUB</t>
  </si>
  <si>
    <t>SIXTEENTH STREET SUB</t>
  </si>
  <si>
    <t>SUNNY DUNES SUB</t>
  </si>
  <si>
    <t>THUNDERBIRD SUB</t>
  </si>
  <si>
    <t>TRONA SUB</t>
  </si>
  <si>
    <t>TWENTYNINE PALMS SUB</t>
  </si>
  <si>
    <t>VERDANT SUB</t>
  </si>
  <si>
    <t>VICTORVILLE SUB</t>
  </si>
  <si>
    <t>WEST BARSTOW SUB</t>
  </si>
  <si>
    <t>PEREZ SUB</t>
  </si>
  <si>
    <t>WEST RIVERSIDE SUB</t>
  </si>
  <si>
    <t>WHITEWATER SUB</t>
  </si>
  <si>
    <t>YERMO SUB</t>
  </si>
  <si>
    <t>CLEARGEN SUB</t>
  </si>
  <si>
    <t>115kV/12kV</t>
  </si>
  <si>
    <t>IRON MOUNTAIN SUB</t>
  </si>
  <si>
    <t>JEFFERSON SUB</t>
  </si>
  <si>
    <t>CORONA SUB</t>
  </si>
  <si>
    <t>GOLD HILL SUB</t>
  </si>
  <si>
    <t>NELSON SUB</t>
  </si>
  <si>
    <t>METALCAN SUB</t>
  </si>
  <si>
    <t>TAYSHELL SUB</t>
  </si>
  <si>
    <t>GETTY SUB</t>
  </si>
  <si>
    <t>FRAZIER PARK SUB</t>
  </si>
  <si>
    <t>RINGMILL SUB</t>
  </si>
  <si>
    <t>HAAGEN DAZS SUBSTATION</t>
  </si>
  <si>
    <t>SERRFGEN SUBSTATION</t>
  </si>
  <si>
    <t>ICEGEN SUBSTATION</t>
  </si>
  <si>
    <t>THREE M SUB</t>
  </si>
  <si>
    <t>NORTHROP SUB</t>
  </si>
  <si>
    <t>CARBONIC SUBSTATION</t>
  </si>
  <si>
    <t>VAPOR SUBSTATION</t>
  </si>
  <si>
    <t>RECOVERY SUBSTATION</t>
  </si>
  <si>
    <t>BREA SUBSTATION</t>
  </si>
  <si>
    <t>LIMESTONE</t>
  </si>
  <si>
    <t>CHIP SUB</t>
  </si>
  <si>
    <t>NORWELD SUBSTATION</t>
  </si>
  <si>
    <t>TEAM SUBSTATION</t>
  </si>
  <si>
    <t>COYGEN SUBSTATION</t>
  </si>
  <si>
    <t>ORCOGEN SUBSTATION</t>
  </si>
  <si>
    <t>SHELL WESTERN(BREA) SUB</t>
  </si>
  <si>
    <t>JOHNAIR SUBSTATION</t>
  </si>
  <si>
    <t>UNIVERSITY SUBSTATION</t>
  </si>
  <si>
    <t>COMPRESS SUB</t>
  </si>
  <si>
    <t>WESBASIN SUB</t>
  </si>
  <si>
    <t>REYNOLDS ALUM SUB</t>
  </si>
  <si>
    <t>TITAN SUBSTATION</t>
  </si>
  <si>
    <t>FINANCE SUB-METRO RGN</t>
  </si>
  <si>
    <t>DUCTILE SUBSTATION</t>
  </si>
  <si>
    <t>ORCOSAN SUB</t>
  </si>
  <si>
    <t>8829</t>
  </si>
  <si>
    <t>PROPERTY SVCS-GO1</t>
  </si>
  <si>
    <t>INFO TECH-GO2</t>
  </si>
  <si>
    <t>VENTURA CORP WH</t>
  </si>
  <si>
    <t>9135</t>
  </si>
  <si>
    <t>NORTH COAST OFFICE BUILDING (VALENCIA)</t>
  </si>
  <si>
    <t>9204</t>
  </si>
  <si>
    <t>PROP SVCS-SIERRA REGION</t>
  </si>
  <si>
    <t>ALHAMBRA COMM SITE</t>
  </si>
  <si>
    <t>9300</t>
  </si>
  <si>
    <t>METERING/METROLOGY/ADMIN</t>
  </si>
  <si>
    <t>WESTMINSTER FENWICK BLDG</t>
  </si>
  <si>
    <t>SAN JOAQUIN VALLEY GARAGE</t>
  </si>
  <si>
    <t>9651</t>
  </si>
  <si>
    <t>PALM SPRGS GARAGE</t>
  </si>
  <si>
    <t>EAST END HYDRO SHP FACLTY</t>
  </si>
  <si>
    <t>NORTHERN DIVISION</t>
  </si>
  <si>
    <t>DIVISION OFFICES &amp; MISCELLANEOUS</t>
  </si>
  <si>
    <t>NORTHERN DIV SUB</t>
  </si>
  <si>
    <t>INYO COUNTY</t>
  </si>
  <si>
    <t>7014</t>
  </si>
  <si>
    <t>SAN BERNARDINO COUNTY</t>
  </si>
  <si>
    <t>7036</t>
  </si>
  <si>
    <t>TULARE COUNTY</t>
  </si>
  <si>
    <t>7054</t>
  </si>
  <si>
    <t>IRVINE OPER CENTER</t>
  </si>
  <si>
    <t>9078</t>
  </si>
  <si>
    <t>RP&amp;AS-NRTHSHRE REC AREA</t>
  </si>
  <si>
    <t>9235</t>
  </si>
  <si>
    <t>ALHAMBRA COMBO FACILITY</t>
  </si>
  <si>
    <t>9297</t>
  </si>
  <si>
    <t>BIG CRK NO.1 GARAGE</t>
  </si>
  <si>
    <t>9621</t>
  </si>
  <si>
    <t>AGTAC FACILITY</t>
  </si>
  <si>
    <t>9786</t>
  </si>
  <si>
    <t>ISO</t>
  </si>
  <si>
    <t>Non-ISO</t>
  </si>
  <si>
    <t>ISO/Non-ISO/Mix/Trans Line</t>
  </si>
  <si>
    <t>ISO/Non-ISO/Mix</t>
  </si>
  <si>
    <t>ISO Total</t>
  </si>
  <si>
    <t>Non-ISO Total</t>
  </si>
  <si>
    <t>Mix Total</t>
  </si>
  <si>
    <t>Trans Line Total</t>
  </si>
  <si>
    <t>ISO/Non-ISO/Mix/Trans Line Summary</t>
  </si>
  <si>
    <t>ISO/Non-ISO/Mix Summary</t>
  </si>
  <si>
    <t>Working File 2012-01-31.xlsx Year End Balances - C1183:E1183</t>
  </si>
  <si>
    <t>Working File 2012-01-31.xlsx Year End Balances - F1183:H1183</t>
  </si>
  <si>
    <t>#88 5566 Quartz Hill</t>
  </si>
  <si>
    <t>#88 5566</t>
  </si>
  <si>
    <t>5079 Wind Hub</t>
  </si>
  <si>
    <t>#92 5079</t>
  </si>
  <si>
    <t>#92 5079 Wind Hub</t>
  </si>
  <si>
    <t>ISO RELATED</t>
  </si>
  <si>
    <t>Allocation Total</t>
  </si>
  <si>
    <t>5365 Acton</t>
  </si>
  <si>
    <t>#97 8504 Ritter Ranch</t>
  </si>
  <si>
    <t>#6 5365 Acton</t>
  </si>
  <si>
    <t>115kV</t>
  </si>
  <si>
    <t>500kV</t>
  </si>
  <si>
    <t>220kV</t>
  </si>
  <si>
    <t>750kV</t>
  </si>
  <si>
    <t>33kV &amp; Below</t>
  </si>
  <si>
    <t>66kV</t>
  </si>
  <si>
    <t>55kV</t>
  </si>
  <si>
    <t>161kV</t>
  </si>
  <si>
    <t>Beginning in the 2009 CPUC GRC and the 2009 FERC rate case, the Devers-Mirage system split was assumed to be completed and all 115kV facilities transferred from ISO to non-ISO.  This assumption was consistent with the plant forecast that was utilized in the cases.  However, due to project delays the physical split of the system has not yet occurred.  It is currently forecast to be completed by July of 2012.  The faculties assumed transferred control for purposes of the Transmission Plant Study include:  220/115kV transformation at Devers and Mirage Substations, the 115kV buses at Devers and Mirage Substation, Farrell, Garnet, Eisenhower, Thornhill, Tamarisk, Santa Rosa, Indian Wells, Concho 1115kV substations, and all 115kV lines interconnecting these substations that were under ISO Operational Control.</t>
  </si>
  <si>
    <t xml:space="preserve">The 2011 Transmission Plant Study includes the ability to adjust for the Antelope-Bailey System split as part of the EKWRA project.  The EKWRA project was forecast for 2013, therefore its was assumed in the development of the Transmission Plant Study for the 2012 CPUC GRC to be completed.  The current forecast for the EKWRA project is June 2014.   As a result of the EKWRA project the existing Antelope-Bailey will be split into three radial 66kV systems -- one radiating from Bailey, one radiating from Antelope, and a third radiating from a new 500/220/66kV Windhub substation.  Post EKWRA, the Bailey-Neenach and Neenach-Antelope 66kV lines will still remain operated in parallel with the CAISO controlled 230kV lines connecting Bailey and Antelope Substations.   The following substations and interconnecting 66kV lines will be impacted by the EKWRA project: </t>
  </si>
  <si>
    <t>Substations affected EKWRA include:</t>
  </si>
  <si>
    <t>Shift from Mixed to Non-ISO</t>
  </si>
  <si>
    <t>2313 Kern River 1</t>
  </si>
  <si>
    <t>Shift from ISO to Mixed</t>
  </si>
  <si>
    <t>4.  Classification of Distribution Plant</t>
  </si>
  <si>
    <t>In the 2011 Transmission Plant Study, a more thorough review of ISO distribution plant was instituted.  At all substations, unless specific distribution voltage faculties could be identified as ISO controlled, no allocation of distribution plant was made.  An exception to this general rule is those substation locations where ISO facilities are clearly identifiable by review of the single line diagrams and ISO register, however only distribution plant is recorded at the location.  It these cases, distribution plant will be assigned or allocated consistent with the methodology for determining substation investment.</t>
  </si>
  <si>
    <t>#6 5365</t>
  </si>
  <si>
    <t>#97 8504</t>
  </si>
  <si>
    <t>Pursuant to the Commission's ruling in the Whitewater case (ER02-2189), FERC's current methodology classifies all circuit breakers that connect both ISO controlled operating buses as FERC jurisdiction (either in double breaker or breaker and half scheme).  SCE has not implemented this methodology for those circuit breakers classified in the original 1998 split of the transmission system into ISO and non-ISO.  This study reflects the current single-line diagram classification and the ISO register.</t>
  </si>
  <si>
    <t>Total Transmission &amp; Distribution</t>
  </si>
  <si>
    <t>Transformers</t>
  </si>
  <si>
    <t>Land (Substation and Line)</t>
  </si>
  <si>
    <t>EKWRA 
Affected</t>
  </si>
  <si>
    <t>EKWRA 
Change</t>
  </si>
  <si>
    <t>Change</t>
  </si>
  <si>
    <t>%</t>
  </si>
  <si>
    <t>Comparison of 2010 &amp; 2011 EOY Results</t>
  </si>
  <si>
    <t>FERC Accounts</t>
  </si>
  <si>
    <t>TRANSMISSION</t>
  </si>
  <si>
    <t>DISTRIBUTION</t>
  </si>
  <si>
    <t>TOTAL TRANSMISSION &amp; DISTRIBUTION</t>
  </si>
  <si>
    <t>2010 *</t>
  </si>
  <si>
    <t>*  2010 as corrected</t>
  </si>
  <si>
    <t>The following assumptions have been made in completing 2011 Study</t>
  </si>
  <si>
    <t>TOTAL ACCT.
CIRCUIT MILES</t>
  </si>
  <si>
    <t>TRANSMISSION SUBSTATION FACILITIES (350 - 353)</t>
  </si>
  <si>
    <t>CIRCUIT
MILES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</si>
</sst>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_)"/>
    <numFmt numFmtId="166" formatCode="0.0%"/>
    <numFmt numFmtId="167" formatCode="_(* #,##0.0000_);_(* \(#,##0.0000\);_(* &quot;-&quot;??_);_(@_)"/>
    <numFmt numFmtId="168" formatCode="_(* #,##0.00_);_(* \(#,##0.00\);_(* &quot;-&quot;_);_(@_)"/>
    <numFmt numFmtId="169" formatCode="_(&quot;$&quot;* #,##0.00_);_(&quot;$&quot;* \(#,##0.00\);_(&quot;$&quot;* &quot;-&quot;_);_(@_)"/>
    <numFmt numFmtId="170" formatCode="#,##0.0000_);\(#,##0.0000\)"/>
    <numFmt numFmtId="171" formatCode="#,##0.0000000_);[Red]\(#,##0.0000000\)"/>
    <numFmt numFmtId="172" formatCode="_(&quot;$&quot;* #,##0_);_(&quot;$&quot;* \(#,##0\);_(&quot;$&quot;* &quot;-&quot;??_);_(@_)"/>
    <numFmt numFmtId="173" formatCode="_(* #,##0.000_);_(* \(#,##0.000\);_(* &quot;-&quot;_);_(@_)"/>
    <numFmt numFmtId="174" formatCode="0_);[Red]\(0\)"/>
  </numFmts>
  <fonts count="66" x14ac:knownFonts="1">
    <font>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0"/>
      <name val="Arial"/>
      <family val="2"/>
    </font>
    <font>
      <b/>
      <sz val="10"/>
      <name val="Arial"/>
      <family val="2"/>
    </font>
    <font>
      <sz val="8"/>
      <name val="Arial"/>
      <family val="2"/>
    </font>
    <font>
      <sz val="10"/>
      <name val="Calibri"/>
      <family val="2"/>
    </font>
    <font>
      <sz val="12"/>
      <color indexed="8"/>
      <name val="Calibri"/>
      <family val="2"/>
    </font>
    <font>
      <sz val="12"/>
      <name val="Calibri"/>
      <family val="2"/>
    </font>
    <font>
      <b/>
      <sz val="14"/>
      <color indexed="10"/>
      <name val="Calibri"/>
      <family val="2"/>
    </font>
    <font>
      <b/>
      <sz val="12"/>
      <name val="Calibri"/>
      <family val="2"/>
    </font>
    <font>
      <b/>
      <sz val="10"/>
      <name val="Calibri"/>
      <family val="2"/>
    </font>
    <font>
      <sz val="11"/>
      <color indexed="8"/>
      <name val="Calibri"/>
      <family val="2"/>
    </font>
    <font>
      <sz val="10"/>
      <color indexed="8"/>
      <name val="Calibri"/>
      <family val="2"/>
    </font>
    <font>
      <sz val="9"/>
      <name val="Calibri"/>
      <family val="2"/>
    </font>
    <font>
      <u/>
      <sz val="10"/>
      <name val="Calibri"/>
      <family val="2"/>
    </font>
    <font>
      <sz val="10"/>
      <color indexed="10"/>
      <name val="Calibri"/>
      <family val="2"/>
    </font>
    <font>
      <b/>
      <sz val="10"/>
      <color indexed="8"/>
      <name val="Calibri"/>
      <family val="2"/>
    </font>
    <font>
      <sz val="8"/>
      <color indexed="8"/>
      <name val="Calibri"/>
      <family val="2"/>
    </font>
    <font>
      <b/>
      <sz val="14"/>
      <color indexed="8"/>
      <name val="Calibri"/>
      <family val="2"/>
    </font>
    <font>
      <b/>
      <sz val="14"/>
      <name val="Calibri"/>
      <family val="2"/>
    </font>
    <font>
      <i/>
      <sz val="10"/>
      <name val="Calibri"/>
      <family val="2"/>
    </font>
    <font>
      <sz val="8"/>
      <name val="Times New Roman"/>
      <family val="1"/>
    </font>
    <font>
      <b/>
      <u/>
      <sz val="12"/>
      <name val="Times New Roman"/>
      <family val="1"/>
    </font>
    <font>
      <b/>
      <u/>
      <sz val="8"/>
      <name val="Times New Roman"/>
      <family val="1"/>
    </font>
    <font>
      <sz val="8"/>
      <name val="Arial"/>
      <family val="2"/>
    </font>
    <font>
      <sz val="8"/>
      <color indexed="8"/>
      <name val="Times New Roman"/>
      <family val="1"/>
    </font>
    <font>
      <b/>
      <sz val="8"/>
      <name val="Times New Roman"/>
      <family val="1"/>
    </font>
    <font>
      <sz val="8"/>
      <color indexed="10"/>
      <name val="Times New Roman"/>
      <family val="1"/>
    </font>
    <font>
      <b/>
      <sz val="8"/>
      <color indexed="10"/>
      <name val="Times New Roman"/>
      <family val="1"/>
    </font>
    <font>
      <sz val="12"/>
      <name val="Times New Roman"/>
      <family val="1"/>
    </font>
    <font>
      <sz val="7"/>
      <name val="Times New Roman"/>
      <family val="1"/>
    </font>
    <font>
      <b/>
      <sz val="12"/>
      <name val="Times New Roman"/>
      <family val="1"/>
    </font>
    <font>
      <b/>
      <u/>
      <sz val="12"/>
      <color indexed="12"/>
      <name val="Times New Roman"/>
      <family val="1"/>
    </font>
    <font>
      <b/>
      <u/>
      <sz val="14"/>
      <name val="Times New Roman"/>
      <family val="1"/>
    </font>
    <font>
      <b/>
      <sz val="16"/>
      <name val="Arial"/>
      <family val="2"/>
    </font>
    <font>
      <i/>
      <sz val="8"/>
      <name val="Times New Roman"/>
      <family val="1"/>
    </font>
    <font>
      <strike/>
      <sz val="11"/>
      <color indexed="8"/>
      <name val="Calibri"/>
      <family val="2"/>
    </font>
    <font>
      <b/>
      <sz val="12"/>
      <color indexed="8"/>
      <name val="Calibri"/>
      <family val="2"/>
    </font>
    <font>
      <sz val="11"/>
      <color theme="1"/>
      <name val="Calibri"/>
      <family val="2"/>
      <scheme val="minor"/>
    </font>
    <font>
      <sz val="11"/>
      <color theme="0"/>
      <name val="Calibri"/>
      <family val="2"/>
    </font>
    <font>
      <sz val="10"/>
      <color theme="0"/>
      <name val="Arial"/>
      <family val="2"/>
    </font>
    <font>
      <sz val="10"/>
      <color theme="0"/>
      <name val="Calibri"/>
      <family val="2"/>
    </font>
    <font>
      <b/>
      <sz val="14"/>
      <color theme="0"/>
      <name val="Calibri"/>
      <family val="2"/>
    </font>
    <font>
      <i/>
      <sz val="10"/>
      <color theme="0"/>
      <name val="Calibri"/>
      <family val="2"/>
    </font>
    <font>
      <b/>
      <sz val="11"/>
      <color theme="1"/>
      <name val="Calibri"/>
      <family val="2"/>
      <scheme val="minor"/>
    </font>
    <font>
      <b/>
      <sz val="11"/>
      <name val="Calibri"/>
      <family val="2"/>
    </font>
    <font>
      <sz val="11"/>
      <name val="Calibri"/>
      <family val="2"/>
    </font>
    <font>
      <b/>
      <sz val="14"/>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8"/>
      </left>
      <right style="medium">
        <color indexed="8"/>
      </right>
      <top/>
      <bottom style="medium">
        <color indexed="8"/>
      </bottom>
      <diagonal/>
    </border>
    <border>
      <left style="medium">
        <color indexed="8"/>
      </left>
      <right/>
      <top/>
      <bottom/>
      <diagonal/>
    </border>
    <border>
      <left style="medium">
        <color indexed="64"/>
      </left>
      <right style="hair">
        <color indexed="22"/>
      </right>
      <top style="medium">
        <color indexed="8"/>
      </top>
      <bottom/>
      <diagonal/>
    </border>
    <border>
      <left style="hair">
        <color indexed="22"/>
      </left>
      <right style="hair">
        <color indexed="22"/>
      </right>
      <top style="medium">
        <color indexed="8"/>
      </top>
      <bottom/>
      <diagonal/>
    </border>
    <border>
      <left style="hair">
        <color indexed="22"/>
      </left>
      <right style="medium">
        <color indexed="64"/>
      </right>
      <top style="medium">
        <color indexed="8"/>
      </top>
      <bottom/>
      <diagonal/>
    </border>
    <border>
      <left style="medium">
        <color indexed="64"/>
      </left>
      <right style="hair">
        <color indexed="22"/>
      </right>
      <top/>
      <bottom style="medium">
        <color indexed="64"/>
      </bottom>
      <diagonal/>
    </border>
    <border>
      <left style="hair">
        <color indexed="22"/>
      </left>
      <right style="hair">
        <color indexed="22"/>
      </right>
      <top/>
      <bottom style="medium">
        <color indexed="64"/>
      </bottom>
      <diagonal/>
    </border>
    <border>
      <left style="hair">
        <color indexed="22"/>
      </left>
      <right style="medium">
        <color indexed="64"/>
      </right>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hair">
        <color indexed="22"/>
      </left>
      <right/>
      <top style="medium">
        <color indexed="8"/>
      </top>
      <bottom/>
      <diagonal/>
    </border>
    <border>
      <left style="hair">
        <color indexed="22"/>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8"/>
      </bottom>
      <diagonal/>
    </border>
    <border>
      <left/>
      <right/>
      <top style="thin">
        <color indexed="64"/>
      </top>
      <bottom/>
      <diagonal/>
    </border>
    <border>
      <left/>
      <right/>
      <top style="thin">
        <color indexed="64"/>
      </top>
      <bottom style="thin">
        <color indexed="64"/>
      </bottom>
      <diagonal/>
    </border>
    <border>
      <left/>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64"/>
      </left>
      <right style="medium">
        <color indexed="8"/>
      </right>
      <top style="medium">
        <color indexed="64"/>
      </top>
      <bottom/>
      <diagonal/>
    </border>
    <border>
      <left style="medium">
        <color indexed="8"/>
      </left>
      <right/>
      <top style="medium">
        <color indexed="64"/>
      </top>
      <bottom/>
      <diagonal/>
    </border>
    <border>
      <left style="medium">
        <color indexed="8"/>
      </left>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8"/>
      </bottom>
      <diagonal/>
    </border>
    <border>
      <left/>
      <right style="medium">
        <color indexed="8"/>
      </right>
      <top/>
      <bottom/>
      <diagonal/>
    </border>
    <border>
      <left style="medium">
        <color indexed="8"/>
      </left>
      <right style="medium">
        <color indexed="8"/>
      </right>
      <top style="medium">
        <color indexed="64"/>
      </top>
      <bottom/>
      <diagonal/>
    </border>
    <border>
      <left style="medium">
        <color indexed="64"/>
      </left>
      <right/>
      <top/>
      <bottom/>
      <diagonal/>
    </border>
    <border>
      <left/>
      <right style="medium">
        <color indexed="8"/>
      </right>
      <top style="medium">
        <color indexed="64"/>
      </top>
      <bottom/>
      <diagonal/>
    </border>
    <border>
      <left/>
      <right style="medium">
        <color indexed="8"/>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style="hair">
        <color indexed="22"/>
      </right>
      <top style="thin">
        <color indexed="64"/>
      </top>
      <bottom style="medium">
        <color indexed="64"/>
      </bottom>
      <diagonal/>
    </border>
    <border>
      <left style="hair">
        <color indexed="22"/>
      </left>
      <right/>
      <top style="thin">
        <color indexed="64"/>
      </top>
      <bottom style="medium">
        <color indexed="64"/>
      </bottom>
      <diagonal/>
    </border>
    <border>
      <left style="hair">
        <color indexed="22"/>
      </left>
      <right style="hair">
        <color indexed="22"/>
      </right>
      <top style="thin">
        <color indexed="64"/>
      </top>
      <bottom style="medium">
        <color indexed="64"/>
      </bottom>
      <diagonal/>
    </border>
  </borders>
  <cellStyleXfs count="218">
    <xf numFmtId="0" fontId="0" fillId="0" borderId="0"/>
    <xf numFmtId="0" fontId="1"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1"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1"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1"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1"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1"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1"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1"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1"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1"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1"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1"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4" fillId="20" borderId="1" applyNumberFormat="0" applyAlignment="0" applyProtection="0"/>
    <xf numFmtId="0" fontId="4" fillId="20" borderId="1" applyNumberFormat="0" applyAlignment="0" applyProtection="0"/>
    <xf numFmtId="0" fontId="4" fillId="20" borderId="1" applyNumberFormat="0" applyAlignment="0" applyProtection="0"/>
    <xf numFmtId="0" fontId="5" fillId="21" borderId="2" applyNumberFormat="0" applyAlignment="0" applyProtection="0"/>
    <xf numFmtId="0" fontId="5" fillId="21" borderId="2" applyNumberFormat="0" applyAlignment="0" applyProtection="0"/>
    <xf numFmtId="0" fontId="5" fillId="21" borderId="2" applyNumberFormat="0" applyAlignment="0" applyProtection="0"/>
    <xf numFmtId="0" fontId="5" fillId="21" borderId="2" applyNumberFormat="0" applyAlignment="0" applyProtection="0"/>
    <xf numFmtId="43" fontId="1" fillId="0" borderId="0" applyFont="0" applyFill="0" applyBorder="0" applyAlignment="0" applyProtection="0"/>
    <xf numFmtId="43" fontId="20" fillId="0" borderId="0" applyFont="0" applyFill="0" applyBorder="0" applyAlignment="0" applyProtection="0"/>
    <xf numFmtId="43" fontId="14" fillId="0" borderId="0" applyFont="0" applyFill="0" applyBorder="0" applyAlignment="0" applyProtection="0"/>
    <xf numFmtId="43" fontId="42" fillId="0" borderId="0" applyFont="0" applyFill="0" applyBorder="0" applyAlignment="0" applyProtection="0"/>
    <xf numFmtId="43" fontId="2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56"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4" fontId="1"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20" fillId="0" borderId="0"/>
    <xf numFmtId="0" fontId="14" fillId="0" borderId="0"/>
    <xf numFmtId="0" fontId="14" fillId="0" borderId="0"/>
    <xf numFmtId="0" fontId="14" fillId="0" borderId="0"/>
    <xf numFmtId="0" fontId="42" fillId="0" borderId="0"/>
    <xf numFmtId="0" fontId="22" fillId="0" borderId="0"/>
    <xf numFmtId="0" fontId="29" fillId="0" borderId="0"/>
    <xf numFmtId="0" fontId="56" fillId="0" borderId="0"/>
    <xf numFmtId="0" fontId="29" fillId="0" borderId="0"/>
    <xf numFmtId="0" fontId="29" fillId="0" borderId="0"/>
    <xf numFmtId="0" fontId="20" fillId="0" borderId="0"/>
    <xf numFmtId="0" fontId="20" fillId="0" borderId="0"/>
    <xf numFmtId="0" fontId="14" fillId="0" borderId="0"/>
    <xf numFmtId="0" fontId="14" fillId="0" borderId="0"/>
    <xf numFmtId="0" fontId="14" fillId="0" borderId="0"/>
    <xf numFmtId="0" fontId="39" fillId="0" borderId="0"/>
    <xf numFmtId="0" fontId="14" fillId="0" borderId="0"/>
    <xf numFmtId="0" fontId="1"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15" fillId="20" borderId="8" applyNumberFormat="0" applyAlignment="0" applyProtection="0"/>
    <xf numFmtId="0" fontId="15" fillId="20" borderId="8" applyNumberFormat="0" applyAlignment="0" applyProtection="0"/>
    <xf numFmtId="0" fontId="15" fillId="20" borderId="8" applyNumberFormat="0" applyAlignment="0" applyProtection="0"/>
    <xf numFmtId="0" fontId="15" fillId="20" borderId="8" applyNumberFormat="0" applyAlignment="0" applyProtection="0"/>
    <xf numFmtId="9" fontId="1" fillId="0" borderId="0" applyFont="0" applyFill="0" applyBorder="0" applyAlignment="0" applyProtection="0"/>
    <xf numFmtId="9" fontId="14" fillId="0" borderId="0" applyFont="0" applyFill="0" applyBorder="0" applyAlignment="0" applyProtection="0"/>
    <xf numFmtId="9" fontId="20" fillId="0" borderId="0" applyFont="0" applyFill="0" applyBorder="0" applyAlignment="0" applyProtection="0"/>
    <xf numFmtId="9" fontId="14"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9"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727">
    <xf numFmtId="0" fontId="0" fillId="0" borderId="0" xfId="0"/>
    <xf numFmtId="0" fontId="23" fillId="0" borderId="0" xfId="183" applyFont="1"/>
    <xf numFmtId="0" fontId="23" fillId="0" borderId="0" xfId="183" applyFont="1" applyAlignment="1">
      <alignment vertical="center"/>
    </xf>
    <xf numFmtId="164" fontId="23" fillId="0" borderId="0" xfId="121" applyNumberFormat="1" applyFont="1"/>
    <xf numFmtId="41" fontId="23" fillId="0" borderId="0" xfId="121" applyNumberFormat="1" applyFont="1"/>
    <xf numFmtId="41" fontId="23" fillId="0" borderId="10" xfId="121" applyNumberFormat="1" applyFont="1" applyBorder="1"/>
    <xf numFmtId="166" fontId="23" fillId="0" borderId="10" xfId="198" applyNumberFormat="1" applyFont="1" applyBorder="1" applyAlignment="1">
      <alignment horizontal="left" indent="3"/>
    </xf>
    <xf numFmtId="41" fontId="23" fillId="0" borderId="0" xfId="121" applyNumberFormat="1" applyFont="1" applyBorder="1"/>
    <xf numFmtId="166" fontId="23" fillId="0" borderId="0" xfId="198" applyNumberFormat="1" applyFont="1" applyBorder="1" applyAlignment="1">
      <alignment horizontal="left" indent="3"/>
    </xf>
    <xf numFmtId="41" fontId="23" fillId="0" borderId="0" xfId="183" applyNumberFormat="1" applyFont="1"/>
    <xf numFmtId="164" fontId="23" fillId="0" borderId="0" xfId="121" applyNumberFormat="1" applyFont="1" applyBorder="1"/>
    <xf numFmtId="10" fontId="23" fillId="0" borderId="0" xfId="198" applyNumberFormat="1" applyFont="1" applyBorder="1" applyAlignment="1">
      <alignment horizontal="left" indent="3"/>
    </xf>
    <xf numFmtId="0" fontId="23" fillId="0" borderId="0" xfId="0" applyFont="1"/>
    <xf numFmtId="0" fontId="29" fillId="0" borderId="0" xfId="0" applyFont="1"/>
    <xf numFmtId="0" fontId="23" fillId="0" borderId="0" xfId="0" applyFont="1" applyAlignment="1">
      <alignment horizontal="left" indent="1"/>
    </xf>
    <xf numFmtId="0" fontId="23" fillId="0" borderId="0" xfId="0" applyFont="1" applyFill="1" applyAlignment="1">
      <alignment horizontal="left" indent="2"/>
    </xf>
    <xf numFmtId="0" fontId="23" fillId="0" borderId="0" xfId="0" applyFont="1" applyFill="1" applyAlignment="1">
      <alignment horizontal="left" indent="1"/>
    </xf>
    <xf numFmtId="0" fontId="23" fillId="0" borderId="0" xfId="0" applyFont="1" applyFill="1" applyAlignment="1">
      <alignment horizontal="center"/>
    </xf>
    <xf numFmtId="0" fontId="30" fillId="0" borderId="0" xfId="183" applyNumberFormat="1" applyFont="1" applyFill="1" applyAlignment="1" applyProtection="1">
      <alignment horizontal="center"/>
    </xf>
    <xf numFmtId="0" fontId="29" fillId="0" borderId="0" xfId="0" applyFont="1" applyBorder="1"/>
    <xf numFmtId="0" fontId="23" fillId="0" borderId="0" xfId="172" applyFont="1" applyFill="1" applyAlignment="1">
      <alignment horizontal="left" indent="1"/>
    </xf>
    <xf numFmtId="41" fontId="23" fillId="0" borderId="0" xfId="122" applyNumberFormat="1" applyFont="1" applyFill="1"/>
    <xf numFmtId="41" fontId="23" fillId="0" borderId="0" xfId="172" applyNumberFormat="1" applyFont="1" applyFill="1"/>
    <xf numFmtId="0" fontId="23" fillId="0" borderId="0" xfId="172" applyFont="1" applyFill="1" applyAlignment="1">
      <alignment horizontal="left" indent="2"/>
    </xf>
    <xf numFmtId="0" fontId="23" fillId="0" borderId="0" xfId="172" applyFont="1" applyFill="1"/>
    <xf numFmtId="0" fontId="23" fillId="0" borderId="0" xfId="182" applyFont="1" applyFill="1"/>
    <xf numFmtId="0" fontId="23" fillId="0" borderId="0" xfId="182" applyFont="1" applyFill="1" applyAlignment="1">
      <alignment vertical="center"/>
    </xf>
    <xf numFmtId="0" fontId="34" fillId="0" borderId="0" xfId="182" applyFont="1" applyFill="1" applyBorder="1" applyAlignment="1" applyProtection="1">
      <alignment horizontal="center" vertical="center"/>
    </xf>
    <xf numFmtId="37" fontId="34" fillId="0" borderId="0" xfId="182" applyNumberFormat="1" applyFont="1" applyFill="1" applyBorder="1" applyAlignment="1" applyProtection="1">
      <alignment horizontal="center" vertical="center" wrapText="1"/>
    </xf>
    <xf numFmtId="164" fontId="35" fillId="0" borderId="0" xfId="121" applyNumberFormat="1" applyFont="1" applyFill="1" applyBorder="1" applyAlignment="1" applyProtection="1">
      <alignment horizontal="center" vertical="center" wrapText="1"/>
    </xf>
    <xf numFmtId="43" fontId="30" fillId="0" borderId="0" xfId="121" applyNumberFormat="1" applyFont="1" applyFill="1" applyBorder="1" applyAlignment="1" applyProtection="1">
      <alignment horizontal="centerContinuous" vertical="center" wrapText="1"/>
    </xf>
    <xf numFmtId="0" fontId="30" fillId="0" borderId="0" xfId="182" applyFont="1" applyFill="1" applyProtection="1"/>
    <xf numFmtId="0" fontId="30" fillId="0" borderId="0" xfId="182" applyNumberFormat="1" applyFont="1" applyFill="1" applyAlignment="1" applyProtection="1">
      <alignment horizontal="center"/>
    </xf>
    <xf numFmtId="41" fontId="23" fillId="0" borderId="0" xfId="182" applyNumberFormat="1" applyFont="1" applyFill="1"/>
    <xf numFmtId="43" fontId="23" fillId="0" borderId="0" xfId="121" applyFont="1" applyFill="1"/>
    <xf numFmtId="0" fontId="23" fillId="0" borderId="0" xfId="182" applyFont="1" applyFill="1" applyAlignment="1">
      <alignment horizontal="center"/>
    </xf>
    <xf numFmtId="49" fontId="30" fillId="0" borderId="0" xfId="182" applyNumberFormat="1" applyFont="1" applyFill="1" applyAlignment="1" applyProtection="1">
      <alignment horizontal="center"/>
    </xf>
    <xf numFmtId="1" fontId="30" fillId="0" borderId="0" xfId="182" applyNumberFormat="1" applyFont="1" applyFill="1" applyAlignment="1" applyProtection="1">
      <alignment horizontal="center"/>
    </xf>
    <xf numFmtId="0" fontId="23" fillId="0" borderId="0" xfId="182" applyFont="1" applyFill="1" applyAlignment="1">
      <alignment vertical="top"/>
    </xf>
    <xf numFmtId="0" fontId="23" fillId="0" borderId="0" xfId="183" applyFont="1" applyFill="1" applyAlignment="1">
      <alignment horizontal="center"/>
    </xf>
    <xf numFmtId="0" fontId="30" fillId="0" borderId="0" xfId="183" applyFont="1" applyFill="1" applyProtection="1"/>
    <xf numFmtId="0" fontId="23" fillId="0" borderId="0" xfId="183" applyFont="1" applyFill="1"/>
    <xf numFmtId="41" fontId="23" fillId="0" borderId="0" xfId="183" applyNumberFormat="1" applyFont="1" applyFill="1" applyAlignment="1">
      <alignment horizontal="right"/>
    </xf>
    <xf numFmtId="164" fontId="23" fillId="0" borderId="0" xfId="121" applyNumberFormat="1" applyFont="1" applyFill="1"/>
    <xf numFmtId="0" fontId="1" fillId="0" borderId="0" xfId="0" applyFont="1" applyFill="1"/>
    <xf numFmtId="0" fontId="1" fillId="0" borderId="0" xfId="0" quotePrefix="1" applyFont="1" applyFill="1"/>
    <xf numFmtId="0" fontId="1" fillId="0" borderId="0" xfId="0" applyFont="1" applyFill="1" applyAlignment="1">
      <alignment horizontal="center"/>
    </xf>
    <xf numFmtId="41" fontId="1" fillId="0" borderId="0" xfId="0" applyNumberFormat="1" applyFont="1" applyFill="1"/>
    <xf numFmtId="42" fontId="23" fillId="0" borderId="0" xfId="183" applyNumberFormat="1" applyFont="1"/>
    <xf numFmtId="42" fontId="23" fillId="0" borderId="0" xfId="122" applyNumberFormat="1" applyFont="1" applyFill="1"/>
    <xf numFmtId="0" fontId="38" fillId="0" borderId="0" xfId="172" applyFont="1" applyFill="1" applyAlignment="1">
      <alignment vertical="center"/>
    </xf>
    <xf numFmtId="10" fontId="38" fillId="0" borderId="10" xfId="200" applyNumberFormat="1" applyFont="1" applyFill="1" applyBorder="1" applyAlignment="1">
      <alignment vertical="center"/>
    </xf>
    <xf numFmtId="0" fontId="28" fillId="0" borderId="0" xfId="172" applyFont="1" applyFill="1" applyAlignment="1">
      <alignment horizontal="right" wrapText="1" indent="1"/>
    </xf>
    <xf numFmtId="164" fontId="34" fillId="0" borderId="24" xfId="121" applyNumberFormat="1" applyFont="1" applyFill="1" applyBorder="1" applyAlignment="1" applyProtection="1">
      <alignment horizontal="center" vertical="center"/>
    </xf>
    <xf numFmtId="0" fontId="28" fillId="0" borderId="0" xfId="183" applyFont="1" applyBorder="1"/>
    <xf numFmtId="0" fontId="23" fillId="0" borderId="0" xfId="183" applyFont="1" applyBorder="1" applyAlignment="1">
      <alignment horizontal="left" indent="2"/>
    </xf>
    <xf numFmtId="0" fontId="28" fillId="0" borderId="0" xfId="183" applyFont="1" applyBorder="1" applyAlignment="1">
      <alignment horizontal="left" wrapText="1"/>
    </xf>
    <xf numFmtId="0" fontId="23" fillId="0" borderId="0" xfId="183" applyFont="1" applyBorder="1" applyAlignment="1">
      <alignment horizontal="left"/>
    </xf>
    <xf numFmtId="0" fontId="28" fillId="0" borderId="0" xfId="183" applyFont="1" applyBorder="1" applyAlignment="1">
      <alignment horizontal="left"/>
    </xf>
    <xf numFmtId="41" fontId="23" fillId="0" borderId="0" xfId="183" applyNumberFormat="1" applyFont="1" applyBorder="1"/>
    <xf numFmtId="0" fontId="23" fillId="0" borderId="0" xfId="183" applyFont="1" applyBorder="1"/>
    <xf numFmtId="0" fontId="23" fillId="0" borderId="0" xfId="183" applyFont="1" applyBorder="1" applyAlignment="1">
      <alignment horizontal="left" wrapText="1"/>
    </xf>
    <xf numFmtId="0" fontId="23" fillId="0" borderId="0" xfId="183" applyFont="1" applyBorder="1" applyAlignment="1">
      <alignment horizontal="right" wrapText="1"/>
    </xf>
    <xf numFmtId="0" fontId="26" fillId="0" borderId="0" xfId="172" applyFont="1" applyFill="1" applyAlignment="1">
      <alignment wrapText="1"/>
    </xf>
    <xf numFmtId="0" fontId="23" fillId="0" borderId="0" xfId="172" applyFont="1" applyFill="1" applyAlignment="1">
      <alignment vertical="center"/>
    </xf>
    <xf numFmtId="0" fontId="23" fillId="0" borderId="0" xfId="172" applyFont="1" applyFill="1" applyAlignment="1">
      <alignment horizontal="center" vertical="center"/>
    </xf>
    <xf numFmtId="0" fontId="28" fillId="0" borderId="0" xfId="172" applyFont="1" applyFill="1"/>
    <xf numFmtId="0" fontId="32" fillId="0" borderId="0" xfId="172" applyFont="1" applyFill="1" applyAlignment="1">
      <alignment horizontal="center"/>
    </xf>
    <xf numFmtId="0" fontId="28" fillId="0" borderId="0" xfId="172" applyFont="1" applyFill="1" applyAlignment="1">
      <alignment horizontal="right"/>
    </xf>
    <xf numFmtId="0" fontId="28" fillId="0" borderId="0" xfId="0" applyFont="1" applyAlignment="1">
      <alignment horizontal="left" indent="1"/>
    </xf>
    <xf numFmtId="0" fontId="28" fillId="0" borderId="0" xfId="0" applyFont="1" applyFill="1" applyAlignment="1">
      <alignment horizontal="left" indent="1"/>
    </xf>
    <xf numFmtId="0" fontId="30" fillId="0" borderId="0" xfId="0" applyFont="1"/>
    <xf numFmtId="0" fontId="30" fillId="0" borderId="0" xfId="0" applyFont="1" applyAlignment="1">
      <alignment horizontal="center"/>
    </xf>
    <xf numFmtId="41" fontId="30" fillId="0" borderId="0" xfId="0" applyNumberFormat="1" applyFont="1" applyAlignment="1">
      <alignment horizontal="center"/>
    </xf>
    <xf numFmtId="41" fontId="30" fillId="0" borderId="0" xfId="0" applyNumberFormat="1" applyFont="1"/>
    <xf numFmtId="0" fontId="28" fillId="0" borderId="28" xfId="183" applyFont="1" applyBorder="1" applyAlignment="1">
      <alignment horizontal="left" vertical="center" wrapText="1"/>
    </xf>
    <xf numFmtId="166" fontId="28" fillId="0" borderId="28" xfId="198" applyNumberFormat="1" applyFont="1" applyBorder="1" applyAlignment="1">
      <alignment horizontal="center" vertical="center"/>
    </xf>
    <xf numFmtId="0" fontId="28" fillId="0" borderId="28" xfId="183" applyFont="1" applyBorder="1" applyAlignment="1">
      <alignment vertical="center" wrapText="1"/>
    </xf>
    <xf numFmtId="0" fontId="28" fillId="0" borderId="29" xfId="183" applyFont="1" applyBorder="1" applyAlignment="1">
      <alignment vertical="center" wrapText="1"/>
    </xf>
    <xf numFmtId="166" fontId="28" fillId="0" borderId="29" xfId="198" applyNumberFormat="1" applyFont="1" applyBorder="1" applyAlignment="1">
      <alignment horizontal="center" vertical="center"/>
    </xf>
    <xf numFmtId="0" fontId="23" fillId="0" borderId="30" xfId="183" applyFont="1" applyBorder="1" applyAlignment="1">
      <alignment horizontal="center" vertical="center"/>
    </xf>
    <xf numFmtId="164" fontId="28" fillId="0" borderId="30" xfId="121" applyNumberFormat="1" applyFont="1" applyBorder="1" applyAlignment="1">
      <alignment horizontal="center" vertical="center" wrapText="1"/>
    </xf>
    <xf numFmtId="0" fontId="28" fillId="0" borderId="30" xfId="183" applyFont="1" applyBorder="1" applyAlignment="1">
      <alignment horizontal="center" vertical="center" wrapText="1"/>
    </xf>
    <xf numFmtId="0" fontId="28" fillId="0" borderId="30" xfId="172" applyFont="1" applyFill="1" applyBorder="1" applyAlignment="1">
      <alignment horizontal="left" vertical="center"/>
    </xf>
    <xf numFmtId="0" fontId="28" fillId="0" borderId="30" xfId="172" applyFont="1" applyFill="1" applyBorder="1" applyAlignment="1">
      <alignment horizontal="center" vertical="center" wrapText="1"/>
    </xf>
    <xf numFmtId="0" fontId="28" fillId="0" borderId="30" xfId="172" applyFont="1" applyFill="1" applyBorder="1" applyAlignment="1">
      <alignment horizontal="center" vertical="center"/>
    </xf>
    <xf numFmtId="0" fontId="28" fillId="0" borderId="30" xfId="172" applyFont="1" applyFill="1" applyBorder="1" applyAlignment="1">
      <alignment horizontal="center"/>
    </xf>
    <xf numFmtId="41" fontId="23" fillId="0" borderId="0" xfId="121" applyNumberFormat="1" applyFont="1" applyFill="1" applyBorder="1"/>
    <xf numFmtId="0" fontId="23" fillId="0" borderId="0" xfId="182" applyFont="1" applyFill="1" applyAlignment="1">
      <alignment horizontal="center" vertical="center"/>
    </xf>
    <xf numFmtId="0" fontId="23" fillId="0" borderId="0" xfId="172" applyFont="1" applyFill="1" applyAlignment="1">
      <alignment horizontal="left" wrapText="1" indent="1"/>
    </xf>
    <xf numFmtId="0" fontId="1" fillId="0" borderId="0" xfId="0" applyNumberFormat="1" applyFont="1" applyFill="1" applyAlignment="1">
      <alignment horizontal="center"/>
    </xf>
    <xf numFmtId="0" fontId="20" fillId="0" borderId="0" xfId="172"/>
    <xf numFmtId="0" fontId="20" fillId="0" borderId="0" xfId="172" applyAlignment="1">
      <alignment horizontal="center"/>
    </xf>
    <xf numFmtId="0" fontId="14" fillId="0" borderId="0" xfId="172" applyFont="1" applyAlignment="1">
      <alignment horizontal="center"/>
    </xf>
    <xf numFmtId="164" fontId="20" fillId="0" borderId="0" xfId="172" applyNumberFormat="1" applyAlignment="1">
      <alignment horizontal="center"/>
    </xf>
    <xf numFmtId="0" fontId="0" fillId="0" borderId="0" xfId="0" applyFill="1"/>
    <xf numFmtId="0" fontId="0" fillId="0" borderId="0" xfId="0" applyNumberFormat="1" applyFill="1" applyAlignment="1">
      <alignment horizontal="center"/>
    </xf>
    <xf numFmtId="49" fontId="30" fillId="0" borderId="0" xfId="182" applyNumberFormat="1" applyFont="1" applyFill="1" applyBorder="1" applyAlignment="1" applyProtection="1">
      <alignment horizontal="center"/>
    </xf>
    <xf numFmtId="0" fontId="30" fillId="0" borderId="0" xfId="182" applyNumberFormat="1" applyFont="1" applyFill="1" applyBorder="1" applyAlignment="1" applyProtection="1">
      <alignment horizontal="center"/>
    </xf>
    <xf numFmtId="169" fontId="23" fillId="0" borderId="0" xfId="183" applyNumberFormat="1" applyFont="1"/>
    <xf numFmtId="41" fontId="29" fillId="0" borderId="0" xfId="0" applyNumberFormat="1" applyFont="1"/>
    <xf numFmtId="41" fontId="29" fillId="0" borderId="0" xfId="0" applyNumberFormat="1" applyFont="1" applyFill="1"/>
    <xf numFmtId="164" fontId="0" fillId="0" borderId="0" xfId="122" applyNumberFormat="1" applyFont="1" applyAlignment="1">
      <alignment horizontal="center"/>
    </xf>
    <xf numFmtId="38" fontId="20" fillId="0" borderId="0" xfId="172" applyNumberFormat="1" applyAlignment="1">
      <alignment horizontal="center"/>
    </xf>
    <xf numFmtId="0" fontId="21" fillId="0" borderId="0" xfId="172" applyFont="1" applyAlignment="1">
      <alignment horizontal="center"/>
    </xf>
    <xf numFmtId="40" fontId="0" fillId="0" borderId="0" xfId="122" applyNumberFormat="1" applyFont="1" applyAlignment="1">
      <alignment horizontal="center"/>
    </xf>
    <xf numFmtId="40" fontId="20" fillId="0" borderId="0" xfId="172" applyNumberFormat="1" applyAlignment="1">
      <alignment horizontal="center"/>
    </xf>
    <xf numFmtId="40" fontId="20" fillId="0" borderId="0" xfId="172" applyNumberFormat="1"/>
    <xf numFmtId="0" fontId="23" fillId="0" borderId="0" xfId="183" applyFont="1" applyAlignment="1">
      <alignment horizontal="right"/>
    </xf>
    <xf numFmtId="0" fontId="19" fillId="0" borderId="0" xfId="183" applyFont="1" applyAlignment="1">
      <alignment horizontal="center" vertical="center"/>
    </xf>
    <xf numFmtId="171" fontId="20" fillId="0" borderId="0" xfId="172" applyNumberFormat="1"/>
    <xf numFmtId="9" fontId="44" fillId="0" borderId="0" xfId="198" applyFont="1" applyFill="1" applyBorder="1"/>
    <xf numFmtId="0" fontId="30" fillId="0" borderId="0" xfId="182" applyFont="1" applyFill="1" applyAlignment="1" applyProtection="1">
      <alignment horizontal="center"/>
    </xf>
    <xf numFmtId="41" fontId="30" fillId="0" borderId="0" xfId="121" applyNumberFormat="1" applyFont="1" applyFill="1"/>
    <xf numFmtId="0" fontId="23" fillId="0" borderId="0" xfId="183" applyFont="1" applyBorder="1" applyAlignment="1">
      <alignment vertical="center"/>
    </xf>
    <xf numFmtId="41" fontId="19" fillId="0" borderId="0" xfId="183" applyNumberFormat="1" applyFont="1" applyBorder="1"/>
    <xf numFmtId="0" fontId="38" fillId="0" borderId="0" xfId="183" applyFont="1" applyAlignment="1">
      <alignment horizontal="center"/>
    </xf>
    <xf numFmtId="41" fontId="23" fillId="0" borderId="10" xfId="121" applyNumberFormat="1" applyFont="1" applyFill="1" applyBorder="1"/>
    <xf numFmtId="41" fontId="28" fillId="0" borderId="28" xfId="121" applyNumberFormat="1" applyFont="1" applyBorder="1" applyAlignment="1">
      <alignment vertical="center"/>
    </xf>
    <xf numFmtId="41" fontId="28" fillId="0" borderId="29" xfId="121" applyNumberFormat="1" applyFont="1" applyBorder="1" applyAlignment="1">
      <alignment vertical="center"/>
    </xf>
    <xf numFmtId="41" fontId="23" fillId="0" borderId="10" xfId="122" applyNumberFormat="1" applyFont="1" applyFill="1" applyBorder="1"/>
    <xf numFmtId="41" fontId="28" fillId="0" borderId="0" xfId="122" applyNumberFormat="1" applyFont="1" applyFill="1"/>
    <xf numFmtId="41" fontId="28" fillId="0" borderId="0" xfId="172" applyNumberFormat="1" applyFont="1" applyFill="1"/>
    <xf numFmtId="41" fontId="28" fillId="0" borderId="21" xfId="122" applyNumberFormat="1" applyFont="1" applyFill="1" applyBorder="1"/>
    <xf numFmtId="0" fontId="28" fillId="0" borderId="31" xfId="172" applyFont="1" applyFill="1" applyBorder="1" applyAlignment="1">
      <alignment horizontal="center" vertical="center" wrapText="1"/>
    </xf>
    <xf numFmtId="164" fontId="23" fillId="0" borderId="0" xfId="183" applyNumberFormat="1" applyFont="1" applyFill="1" applyAlignment="1">
      <alignment horizontal="right"/>
    </xf>
    <xf numFmtId="168" fontId="23" fillId="0" borderId="0" xfId="183" applyNumberFormat="1" applyFont="1" applyFill="1" applyAlignment="1">
      <alignment horizontal="right"/>
    </xf>
    <xf numFmtId="173" fontId="23" fillId="0" borderId="0" xfId="183" applyNumberFormat="1" applyFont="1" applyFill="1" applyAlignment="1">
      <alignment horizontal="right"/>
    </xf>
    <xf numFmtId="168" fontId="23" fillId="0" borderId="0" xfId="182" applyNumberFormat="1" applyFont="1" applyFill="1"/>
    <xf numFmtId="41" fontId="23" fillId="0" borderId="0" xfId="126" applyNumberFormat="1" applyFont="1" applyFill="1" applyAlignment="1" applyProtection="1">
      <alignment horizontal="left"/>
    </xf>
    <xf numFmtId="41" fontId="23" fillId="0" borderId="0" xfId="184" applyNumberFormat="1" applyFont="1" applyFill="1"/>
    <xf numFmtId="0" fontId="41" fillId="0" borderId="0" xfId="187" applyFont="1" applyFill="1" applyAlignment="1" applyProtection="1">
      <alignment horizontal="centerContinuous"/>
    </xf>
    <xf numFmtId="0" fontId="39" fillId="0" borderId="0" xfId="187" applyFont="1" applyFill="1" applyProtection="1"/>
    <xf numFmtId="39" fontId="39" fillId="0" borderId="0" xfId="187" applyNumberFormat="1" applyFont="1" applyFill="1" applyProtection="1"/>
    <xf numFmtId="4" fontId="39" fillId="0" borderId="0" xfId="187" applyNumberFormat="1" applyFont="1" applyFill="1" applyBorder="1" applyProtection="1"/>
    <xf numFmtId="0" fontId="39" fillId="0" borderId="0" xfId="187" applyFont="1" applyFill="1" applyAlignment="1" applyProtection="1">
      <alignment horizontal="centerContinuous"/>
    </xf>
    <xf numFmtId="0" fontId="39" fillId="0" borderId="37" xfId="187" applyFont="1" applyFill="1" applyBorder="1" applyAlignment="1" applyProtection="1"/>
    <xf numFmtId="0" fontId="39" fillId="0" borderId="37" xfId="187" applyFont="1" applyFill="1" applyBorder="1" applyAlignment="1" applyProtection="1">
      <alignment horizontal="left"/>
    </xf>
    <xf numFmtId="37" fontId="39" fillId="0" borderId="0" xfId="187" applyNumberFormat="1" applyFont="1" applyFill="1" applyBorder="1" applyAlignment="1" applyProtection="1">
      <alignment horizontal="center"/>
    </xf>
    <xf numFmtId="0" fontId="39" fillId="0" borderId="0" xfId="187" applyFont="1" applyFill="1" applyAlignment="1" applyProtection="1">
      <alignment horizontal="left"/>
    </xf>
    <xf numFmtId="0" fontId="39" fillId="0" borderId="0" xfId="187" applyFont="1" applyFill="1" applyAlignment="1" applyProtection="1">
      <alignment horizontal="center"/>
    </xf>
    <xf numFmtId="0" fontId="44" fillId="0" borderId="0" xfId="187" applyFont="1" applyFill="1" applyAlignment="1" applyProtection="1">
      <alignment horizontal="right"/>
    </xf>
    <xf numFmtId="4" fontId="39" fillId="0" borderId="0" xfId="125" applyNumberFormat="1" applyFont="1" applyFill="1" applyProtection="1"/>
    <xf numFmtId="0" fontId="39" fillId="0" borderId="0" xfId="187" applyFill="1"/>
    <xf numFmtId="4" fontId="39" fillId="0" borderId="38" xfId="125" applyNumberFormat="1" applyFont="1" applyFill="1" applyBorder="1" applyProtection="1"/>
    <xf numFmtId="3" fontId="39" fillId="0" borderId="38" xfId="125" applyNumberFormat="1" applyFont="1" applyFill="1" applyBorder="1" applyProtection="1"/>
    <xf numFmtId="3" fontId="39" fillId="0" borderId="0" xfId="125" applyNumberFormat="1" applyFont="1" applyFill="1" applyProtection="1"/>
    <xf numFmtId="0" fontId="39" fillId="0" borderId="0" xfId="187" quotePrefix="1" applyFont="1" applyFill="1" applyAlignment="1" applyProtection="1">
      <alignment horizontal="left"/>
    </xf>
    <xf numFmtId="4" fontId="39" fillId="0" borderId="0" xfId="187" applyNumberFormat="1" applyFont="1" applyFill="1" applyBorder="1" applyAlignment="1" applyProtection="1">
      <alignment horizontal="left"/>
    </xf>
    <xf numFmtId="0" fontId="45" fillId="0" borderId="0" xfId="187" applyFont="1" applyFill="1" applyAlignment="1" applyProtection="1">
      <alignment horizontal="left"/>
    </xf>
    <xf numFmtId="3" fontId="39" fillId="0" borderId="0" xfId="125" applyNumberFormat="1" applyFont="1" applyFill="1" applyBorder="1" applyAlignment="1" applyProtection="1"/>
    <xf numFmtId="0" fontId="39" fillId="0" borderId="0" xfId="187" applyFont="1" applyFill="1"/>
    <xf numFmtId="0" fontId="39" fillId="0" borderId="0" xfId="187" applyFont="1" applyFill="1" applyAlignment="1">
      <alignment horizontal="left"/>
    </xf>
    <xf numFmtId="0" fontId="44" fillId="0" borderId="0" xfId="187" applyFont="1" applyFill="1" applyAlignment="1" applyProtection="1">
      <alignment horizontal="left"/>
    </xf>
    <xf numFmtId="4" fontId="44" fillId="0" borderId="21" xfId="125" applyNumberFormat="1" applyFont="1" applyFill="1" applyBorder="1" applyAlignment="1" applyProtection="1"/>
    <xf numFmtId="3" fontId="39" fillId="0" borderId="0" xfId="125" applyNumberFormat="1" applyFont="1" applyFill="1" applyAlignment="1" applyProtection="1"/>
    <xf numFmtId="0" fontId="43" fillId="0" borderId="0" xfId="187" applyFont="1" applyFill="1" applyAlignment="1" applyProtection="1">
      <alignment horizontal="left"/>
    </xf>
    <xf numFmtId="4" fontId="39" fillId="0" borderId="0" xfId="125" applyNumberFormat="1" applyFont="1" applyFill="1" applyAlignment="1" applyProtection="1"/>
    <xf numFmtId="0" fontId="44" fillId="0" borderId="0" xfId="187" applyFont="1" applyFill="1" applyAlignment="1" applyProtection="1">
      <alignment horizontal="center"/>
    </xf>
    <xf numFmtId="4" fontId="39" fillId="0" borderId="38" xfId="125" applyNumberFormat="1" applyFont="1" applyFill="1" applyBorder="1" applyAlignment="1" applyProtection="1"/>
    <xf numFmtId="3" fontId="44" fillId="0" borderId="21" xfId="125" applyNumberFormat="1" applyFont="1" applyFill="1" applyBorder="1" applyAlignment="1" applyProtection="1"/>
    <xf numFmtId="0" fontId="39" fillId="0" borderId="0" xfId="187" applyFont="1" applyFill="1" applyAlignment="1" applyProtection="1">
      <alignment horizontal="right"/>
    </xf>
    <xf numFmtId="0" fontId="41" fillId="0" borderId="0" xfId="187" applyFont="1" applyFill="1" applyAlignment="1" applyProtection="1">
      <alignment horizontal="right"/>
    </xf>
    <xf numFmtId="0" fontId="39" fillId="0" borderId="0" xfId="187" applyFont="1" applyFill="1" applyAlignment="1" applyProtection="1"/>
    <xf numFmtId="4" fontId="39" fillId="0" borderId="0" xfId="187" applyNumberFormat="1" applyFont="1" applyFill="1" applyAlignment="1">
      <alignment horizontal="left"/>
    </xf>
    <xf numFmtId="39" fontId="44" fillId="0" borderId="0" xfId="125" applyNumberFormat="1" applyFont="1" applyFill="1" applyBorder="1" applyAlignment="1" applyProtection="1"/>
    <xf numFmtId="4" fontId="44" fillId="0" borderId="0" xfId="125" applyNumberFormat="1" applyFont="1" applyFill="1" applyBorder="1" applyAlignment="1" applyProtection="1"/>
    <xf numFmtId="3" fontId="44" fillId="0" borderId="0" xfId="125" applyNumberFormat="1" applyFont="1" applyFill="1" applyBorder="1" applyAlignment="1" applyProtection="1"/>
    <xf numFmtId="4" fontId="44" fillId="0" borderId="21" xfId="125" applyNumberFormat="1" applyFont="1" applyFill="1" applyBorder="1"/>
    <xf numFmtId="3" fontId="44" fillId="0" borderId="21" xfId="125" applyNumberFormat="1" applyFont="1" applyFill="1" applyBorder="1"/>
    <xf numFmtId="0" fontId="44" fillId="0" borderId="0" xfId="187" applyFont="1" applyFill="1"/>
    <xf numFmtId="0" fontId="44" fillId="0" borderId="0" xfId="187" applyFont="1" applyFill="1" applyAlignment="1">
      <alignment horizontal="right"/>
    </xf>
    <xf numFmtId="3" fontId="39" fillId="0" borderId="0" xfId="187" applyNumberFormat="1" applyFill="1" applyBorder="1"/>
    <xf numFmtId="0" fontId="40" fillId="0" borderId="0" xfId="187" applyFont="1" applyFill="1" applyAlignment="1" applyProtection="1">
      <alignment horizontal="centerContinuous"/>
    </xf>
    <xf numFmtId="0" fontId="47" fillId="0" borderId="0" xfId="187" applyFont="1" applyFill="1" applyAlignment="1" applyProtection="1">
      <alignment horizontal="centerContinuous"/>
    </xf>
    <xf numFmtId="0" fontId="47" fillId="0" borderId="0" xfId="187" applyFont="1" applyFill="1" applyBorder="1" applyAlignment="1" applyProtection="1">
      <alignment horizontal="centerContinuous"/>
    </xf>
    <xf numFmtId="172" fontId="39" fillId="0" borderId="0" xfId="131" applyNumberFormat="1" applyFont="1" applyFill="1" applyBorder="1" applyAlignment="1" applyProtection="1">
      <alignment horizontal="centerContinuous"/>
    </xf>
    <xf numFmtId="172" fontId="49" fillId="0" borderId="0" xfId="131" applyNumberFormat="1" applyFont="1" applyFill="1" applyBorder="1" applyAlignment="1" applyProtection="1">
      <alignment horizontal="centerContinuous"/>
    </xf>
    <xf numFmtId="172" fontId="47" fillId="0" borderId="0" xfId="131" applyNumberFormat="1" applyFont="1" applyFill="1" applyBorder="1" applyAlignment="1" applyProtection="1">
      <alignment horizontal="centerContinuous"/>
    </xf>
    <xf numFmtId="172" fontId="47" fillId="0" borderId="0" xfId="131" applyNumberFormat="1" applyFont="1" applyFill="1" applyAlignment="1" applyProtection="1">
      <alignment horizontal="centerContinuous"/>
    </xf>
    <xf numFmtId="44" fontId="39" fillId="0" borderId="0" xfId="131" applyFont="1" applyFill="1" applyBorder="1"/>
    <xf numFmtId="10" fontId="39" fillId="0" borderId="0" xfId="198" applyNumberFormat="1" applyFont="1" applyFill="1" applyBorder="1"/>
    <xf numFmtId="9" fontId="39" fillId="0" borderId="0" xfId="198" applyFont="1" applyFill="1" applyBorder="1"/>
    <xf numFmtId="0" fontId="50" fillId="0" borderId="0" xfId="187" applyFont="1" applyFill="1" applyAlignment="1" applyProtection="1">
      <alignment horizontal="centerContinuous"/>
    </xf>
    <xf numFmtId="172" fontId="39" fillId="0" borderId="0" xfId="131" applyNumberFormat="1" applyFont="1" applyFill="1" applyProtection="1"/>
    <xf numFmtId="172" fontId="39" fillId="0" borderId="0" xfId="131" applyNumberFormat="1" applyFont="1" applyFill="1" applyAlignment="1" applyProtection="1">
      <alignment horizontal="centerContinuous"/>
    </xf>
    <xf numFmtId="0" fontId="39" fillId="0" borderId="0" xfId="187" applyFont="1" applyFill="1" applyBorder="1" applyProtection="1"/>
    <xf numFmtId="0" fontId="39" fillId="0" borderId="0" xfId="187" applyFont="1" applyFill="1" applyBorder="1" applyAlignment="1" applyProtection="1">
      <alignment horizontal="center"/>
    </xf>
    <xf numFmtId="0" fontId="39" fillId="0" borderId="0" xfId="187" applyFont="1" applyFill="1" applyBorder="1" applyAlignment="1" applyProtection="1">
      <alignment horizontal="center" vertical="center"/>
    </xf>
    <xf numFmtId="0" fontId="39" fillId="0" borderId="0" xfId="131" applyNumberFormat="1" applyFont="1" applyFill="1" applyBorder="1" applyAlignment="1">
      <alignment horizontal="center"/>
    </xf>
    <xf numFmtId="0" fontId="39" fillId="0" borderId="37" xfId="187" applyFont="1" applyFill="1" applyBorder="1" applyAlignment="1" applyProtection="1">
      <alignment horizontal="centerContinuous"/>
    </xf>
    <xf numFmtId="172" fontId="39" fillId="0" borderId="37" xfId="131" applyNumberFormat="1" applyFont="1" applyFill="1" applyBorder="1" applyAlignment="1" applyProtection="1">
      <alignment horizontal="centerContinuous"/>
    </xf>
    <xf numFmtId="0" fontId="39" fillId="0" borderId="37" xfId="187" applyFont="1" applyFill="1" applyBorder="1" applyAlignment="1" applyProtection="1">
      <alignment horizontal="center"/>
    </xf>
    <xf numFmtId="172" fontId="39" fillId="0" borderId="37" xfId="131" applyNumberFormat="1" applyFont="1" applyFill="1" applyBorder="1" applyAlignment="1" applyProtection="1">
      <alignment horizontal="center"/>
    </xf>
    <xf numFmtId="170" fontId="39" fillId="0" borderId="0" xfId="187" applyNumberFormat="1" applyFont="1" applyFill="1" applyBorder="1" applyProtection="1"/>
    <xf numFmtId="0" fontId="39" fillId="0" borderId="0" xfId="187" applyFont="1" applyFill="1" applyBorder="1"/>
    <xf numFmtId="44" fontId="39" fillId="0" borderId="0" xfId="187" applyNumberFormat="1" applyFont="1" applyFill="1" applyBorder="1"/>
    <xf numFmtId="0" fontId="39" fillId="0" borderId="39" xfId="187" applyFont="1" applyFill="1" applyBorder="1" applyAlignment="1" applyProtection="1">
      <alignment horizontal="left"/>
    </xf>
    <xf numFmtId="44" fontId="39" fillId="0" borderId="0" xfId="131" applyFont="1" applyFill="1" applyProtection="1"/>
    <xf numFmtId="44" fontId="39" fillId="0" borderId="0" xfId="131" applyFont="1" applyFill="1" applyBorder="1" applyProtection="1"/>
    <xf numFmtId="0" fontId="39" fillId="0" borderId="39" xfId="187" applyFont="1" applyFill="1" applyBorder="1" applyProtection="1"/>
    <xf numFmtId="0" fontId="39" fillId="0" borderId="39" xfId="187" applyFont="1" applyFill="1" applyBorder="1" applyAlignment="1" applyProtection="1"/>
    <xf numFmtId="6" fontId="39" fillId="0" borderId="0" xfId="187" applyNumberFormat="1" applyFont="1" applyFill="1" applyBorder="1" applyProtection="1"/>
    <xf numFmtId="44" fontId="39" fillId="0" borderId="37" xfId="131" applyFont="1" applyFill="1" applyBorder="1" applyProtection="1"/>
    <xf numFmtId="0" fontId="39" fillId="0" borderId="0" xfId="198" applyNumberFormat="1" applyFont="1" applyFill="1" applyBorder="1"/>
    <xf numFmtId="0" fontId="47" fillId="0" borderId="0" xfId="187" applyFont="1" applyFill="1" applyProtection="1"/>
    <xf numFmtId="37" fontId="47" fillId="0" borderId="0" xfId="187" applyNumberFormat="1" applyFont="1" applyFill="1" applyBorder="1" applyAlignment="1" applyProtection="1">
      <alignment horizontal="center"/>
    </xf>
    <xf numFmtId="170" fontId="39" fillId="0" borderId="0" xfId="187" applyNumberFormat="1" applyFont="1" applyFill="1" applyBorder="1"/>
    <xf numFmtId="172" fontId="39" fillId="0" borderId="0" xfId="131" applyNumberFormat="1" applyFont="1" applyFill="1"/>
    <xf numFmtId="0" fontId="51" fillId="0" borderId="0" xfId="187" applyFont="1" applyFill="1" applyProtection="1"/>
    <xf numFmtId="44" fontId="44" fillId="0" borderId="0" xfId="131" applyFont="1" applyFill="1" applyBorder="1"/>
    <xf numFmtId="10" fontId="39" fillId="0" borderId="0" xfId="198" applyNumberFormat="1" applyFont="1" applyFill="1"/>
    <xf numFmtId="0" fontId="39" fillId="0" borderId="0" xfId="188" applyFont="1" applyFill="1"/>
    <xf numFmtId="0" fontId="0" fillId="0" borderId="0" xfId="0" applyFill="1" applyAlignment="1">
      <alignment horizontal="left"/>
    </xf>
    <xf numFmtId="0" fontId="48" fillId="0" borderId="0" xfId="187" applyFont="1" applyFill="1" applyProtection="1"/>
    <xf numFmtId="0" fontId="48" fillId="0" borderId="0" xfId="187" applyFont="1" applyFill="1" applyAlignment="1" applyProtection="1">
      <alignment horizontal="left"/>
    </xf>
    <xf numFmtId="0" fontId="39" fillId="0" borderId="0" xfId="0" applyFont="1" applyFill="1" applyProtection="1">
      <protection locked="0"/>
    </xf>
    <xf numFmtId="8" fontId="39" fillId="0" borderId="0" xfId="0" applyNumberFormat="1" applyFont="1" applyFill="1" applyProtection="1">
      <protection locked="0"/>
    </xf>
    <xf numFmtId="0" fontId="44" fillId="0" borderId="0" xfId="0" applyFont="1" applyFill="1" applyProtection="1">
      <protection locked="0"/>
    </xf>
    <xf numFmtId="0" fontId="44" fillId="0" borderId="0" xfId="187" applyFont="1" applyFill="1" applyProtection="1"/>
    <xf numFmtId="8" fontId="39" fillId="0" borderId="0" xfId="187" applyNumberFormat="1" applyFont="1" applyFill="1" applyBorder="1" applyProtection="1"/>
    <xf numFmtId="0" fontId="14" fillId="0" borderId="0" xfId="172" applyFont="1"/>
    <xf numFmtId="0" fontId="23" fillId="0" borderId="0" xfId="173" applyFont="1" applyFill="1" applyAlignment="1">
      <alignment horizontal="left" indent="1"/>
    </xf>
    <xf numFmtId="0" fontId="23" fillId="0" borderId="0" xfId="183" applyFont="1" applyAlignment="1">
      <alignment horizontal="left" indent="1"/>
    </xf>
    <xf numFmtId="0" fontId="27" fillId="0" borderId="0" xfId="183" applyFont="1" applyFill="1" applyBorder="1" applyAlignment="1">
      <alignment horizontal="left" vertical="center"/>
    </xf>
    <xf numFmtId="0" fontId="23" fillId="0" borderId="0" xfId="183" applyFont="1" applyAlignment="1">
      <alignment horizontal="left"/>
    </xf>
    <xf numFmtId="0" fontId="23" fillId="0" borderId="0" xfId="183" quotePrefix="1" applyFont="1" applyAlignment="1">
      <alignment horizontal="left"/>
    </xf>
    <xf numFmtId="0" fontId="23" fillId="0" borderId="0" xfId="183" applyFont="1" applyAlignment="1">
      <alignment horizontal="left" indent="2"/>
    </xf>
    <xf numFmtId="0" fontId="23" fillId="0" borderId="0" xfId="183" applyFont="1" applyAlignment="1">
      <alignment horizontal="left" vertical="center"/>
    </xf>
    <xf numFmtId="41" fontId="56" fillId="0" borderId="0" xfId="179" applyNumberFormat="1"/>
    <xf numFmtId="168" fontId="1" fillId="0" borderId="0" xfId="0" applyNumberFormat="1" applyFont="1" applyFill="1"/>
    <xf numFmtId="41" fontId="23" fillId="0" borderId="0" xfId="0" applyNumberFormat="1" applyFont="1" applyFill="1" applyAlignment="1">
      <alignment horizontal="left" indent="2"/>
    </xf>
    <xf numFmtId="0" fontId="20" fillId="0" borderId="0" xfId="172" applyFill="1"/>
    <xf numFmtId="0" fontId="14" fillId="0" borderId="41" xfId="172" applyFont="1" applyFill="1" applyBorder="1" applyAlignment="1">
      <alignment horizontal="center"/>
    </xf>
    <xf numFmtId="0" fontId="20" fillId="0" borderId="0" xfId="172" applyFill="1" applyAlignment="1">
      <alignment horizontal="center"/>
    </xf>
    <xf numFmtId="43" fontId="23" fillId="0" borderId="0" xfId="182" applyNumberFormat="1" applyFont="1" applyFill="1"/>
    <xf numFmtId="0" fontId="28" fillId="0" borderId="29" xfId="172" applyFont="1" applyFill="1" applyBorder="1" applyAlignment="1">
      <alignment horizontal="center" vertical="center" wrapText="1"/>
    </xf>
    <xf numFmtId="0" fontId="28" fillId="0" borderId="41" xfId="172" applyFont="1" applyFill="1" applyBorder="1" applyAlignment="1">
      <alignment horizontal="center" vertical="center" wrapText="1"/>
    </xf>
    <xf numFmtId="41" fontId="23" fillId="0" borderId="0" xfId="122" applyNumberFormat="1" applyFont="1" applyFill="1" applyAlignment="1" applyProtection="1">
      <alignment horizontal="right" indent="2"/>
    </xf>
    <xf numFmtId="41" fontId="23" fillId="0" borderId="0" xfId="122" applyNumberFormat="1" applyFont="1" applyFill="1" applyAlignment="1" applyProtection="1"/>
    <xf numFmtId="43" fontId="23" fillId="0" borderId="0" xfId="172" applyNumberFormat="1" applyFont="1" applyFill="1"/>
    <xf numFmtId="41" fontId="28" fillId="0" borderId="0" xfId="172" applyNumberFormat="1" applyFont="1" applyFill="1" applyBorder="1"/>
    <xf numFmtId="41" fontId="23" fillId="0" borderId="0" xfId="172" applyNumberFormat="1" applyFont="1" applyFill="1" applyBorder="1"/>
    <xf numFmtId="41" fontId="28" fillId="0" borderId="21" xfId="122" applyNumberFormat="1" applyFont="1" applyFill="1" applyBorder="1" applyAlignment="1">
      <alignment horizontal="right"/>
    </xf>
    <xf numFmtId="41" fontId="33" fillId="0" borderId="0" xfId="172" applyNumberFormat="1" applyFont="1" applyFill="1"/>
    <xf numFmtId="41" fontId="23" fillId="0" borderId="10" xfId="172" applyNumberFormat="1" applyFont="1" applyFill="1" applyBorder="1"/>
    <xf numFmtId="0" fontId="23" fillId="0" borderId="0" xfId="172" applyFont="1" applyFill="1" applyAlignment="1">
      <alignment horizontal="right"/>
    </xf>
    <xf numFmtId="10" fontId="23" fillId="0" borderId="0" xfId="200" applyNumberFormat="1" applyFont="1" applyFill="1"/>
    <xf numFmtId="42" fontId="23" fillId="0" borderId="0" xfId="172" applyNumberFormat="1" applyFont="1" applyFill="1"/>
    <xf numFmtId="0" fontId="30" fillId="0" borderId="0" xfId="183" applyFont="1" applyFill="1" applyBorder="1" applyProtection="1"/>
    <xf numFmtId="0" fontId="23" fillId="0" borderId="0" xfId="183" applyFont="1" applyFill="1" applyBorder="1"/>
    <xf numFmtId="0" fontId="23" fillId="0" borderId="0" xfId="183" applyFont="1" applyFill="1" applyBorder="1" applyAlignment="1">
      <alignment horizontal="center" vertical="center"/>
    </xf>
    <xf numFmtId="0" fontId="30" fillId="0" borderId="0" xfId="183" applyNumberFormat="1" applyFont="1" applyFill="1" applyBorder="1" applyAlignment="1" applyProtection="1">
      <alignment horizontal="center"/>
    </xf>
    <xf numFmtId="41" fontId="23" fillId="0" borderId="0" xfId="183" applyNumberFormat="1" applyFont="1" applyFill="1" applyBorder="1" applyAlignment="1">
      <alignment horizontal="right"/>
    </xf>
    <xf numFmtId="41" fontId="23" fillId="0" borderId="0" xfId="126" applyNumberFormat="1" applyFont="1" applyFill="1" applyBorder="1" applyAlignment="1" applyProtection="1">
      <alignment horizontal="left"/>
    </xf>
    <xf numFmtId="40" fontId="23" fillId="0" borderId="0" xfId="182" applyNumberFormat="1" applyFont="1" applyFill="1" applyBorder="1"/>
    <xf numFmtId="41" fontId="23" fillId="0" borderId="0" xfId="183" applyNumberFormat="1" applyFont="1" applyFill="1" applyBorder="1"/>
    <xf numFmtId="41" fontId="23" fillId="0" borderId="0" xfId="183" applyNumberFormat="1" applyFont="1" applyFill="1" applyBorder="1" applyAlignment="1">
      <alignment horizontal="center"/>
    </xf>
    <xf numFmtId="0" fontId="23" fillId="0" borderId="0" xfId="183" applyFont="1" applyFill="1" applyBorder="1" applyAlignment="1">
      <alignment horizontal="center"/>
    </xf>
    <xf numFmtId="41" fontId="30" fillId="0" borderId="0" xfId="184" applyNumberFormat="1" applyFont="1" applyFill="1" applyBorder="1" applyAlignment="1" applyProtection="1">
      <alignment horizontal="center"/>
    </xf>
    <xf numFmtId="41" fontId="23" fillId="0" borderId="0" xfId="121" applyNumberFormat="1" applyFont="1" applyFill="1" applyBorder="1" applyAlignment="1" applyProtection="1">
      <alignment horizontal="left"/>
    </xf>
    <xf numFmtId="41" fontId="23" fillId="0" borderId="0" xfId="121" applyNumberFormat="1" applyFont="1" applyFill="1" applyBorder="1" applyProtection="1"/>
    <xf numFmtId="0" fontId="30" fillId="0" borderId="0" xfId="185" applyFont="1" applyFill="1" applyBorder="1" applyProtection="1"/>
    <xf numFmtId="0" fontId="23" fillId="0" borderId="0" xfId="183" applyFont="1" applyFill="1" applyBorder="1" applyAlignment="1">
      <alignment vertical="top"/>
    </xf>
    <xf numFmtId="0" fontId="30" fillId="0" borderId="0" xfId="183" applyFont="1" applyFill="1" applyBorder="1" applyAlignment="1" applyProtection="1">
      <alignment vertical="top" wrapText="1"/>
    </xf>
    <xf numFmtId="41" fontId="23" fillId="0" borderId="0" xfId="121" applyNumberFormat="1" applyFont="1" applyFill="1" applyBorder="1" applyAlignment="1">
      <alignment horizontal="right"/>
    </xf>
    <xf numFmtId="41" fontId="23" fillId="0" borderId="0" xfId="121" applyNumberFormat="1" applyFont="1" applyFill="1" applyBorder="1" applyAlignment="1">
      <alignment vertical="top"/>
    </xf>
    <xf numFmtId="0" fontId="23" fillId="0" borderId="0" xfId="183" applyNumberFormat="1" applyFont="1" applyFill="1" applyBorder="1" applyAlignment="1" applyProtection="1">
      <alignment horizontal="center"/>
    </xf>
    <xf numFmtId="41" fontId="23" fillId="0" borderId="0" xfId="126" applyNumberFormat="1" applyFont="1" applyFill="1" applyBorder="1" applyProtection="1"/>
    <xf numFmtId="0" fontId="28" fillId="0" borderId="0" xfId="183" applyFont="1" applyFill="1" applyBorder="1"/>
    <xf numFmtId="0" fontId="28" fillId="0" borderId="0" xfId="183" applyFont="1" applyFill="1" applyBorder="1" applyAlignment="1">
      <alignment horizontal="center"/>
    </xf>
    <xf numFmtId="164" fontId="23" fillId="0" borderId="0" xfId="121" applyNumberFormat="1" applyFont="1" applyFill="1" applyBorder="1"/>
    <xf numFmtId="41" fontId="30" fillId="0" borderId="0" xfId="183" applyNumberFormat="1" applyFont="1" applyFill="1" applyBorder="1" applyAlignment="1">
      <alignment horizontal="center"/>
    </xf>
    <xf numFmtId="41" fontId="23" fillId="0" borderId="0" xfId="121" applyNumberFormat="1" applyFont="1" applyFill="1" applyBorder="1" applyAlignment="1">
      <alignment horizontal="right" vertical="top"/>
    </xf>
    <xf numFmtId="41" fontId="23" fillId="0" borderId="0" xfId="126" applyNumberFormat="1" applyFont="1" applyFill="1"/>
    <xf numFmtId="164" fontId="23" fillId="0" borderId="0" xfId="126" applyNumberFormat="1" applyFont="1" applyFill="1"/>
    <xf numFmtId="0" fontId="34" fillId="0" borderId="43" xfId="183" applyFont="1" applyFill="1" applyBorder="1" applyAlignment="1" applyProtection="1">
      <alignment vertical="center"/>
    </xf>
    <xf numFmtId="165" fontId="34" fillId="0" borderId="43" xfId="183" applyNumberFormat="1" applyFont="1" applyFill="1" applyBorder="1" applyAlignment="1" applyProtection="1">
      <alignment horizontal="center" vertical="center"/>
    </xf>
    <xf numFmtId="0" fontId="23" fillId="0" borderId="21" xfId="183" applyFont="1" applyFill="1" applyBorder="1"/>
    <xf numFmtId="41" fontId="23" fillId="0" borderId="0" xfId="122" applyNumberFormat="1" applyFont="1" applyFill="1" applyBorder="1"/>
    <xf numFmtId="0" fontId="34" fillId="0" borderId="0" xfId="183" applyFont="1" applyFill="1" applyBorder="1" applyAlignment="1" applyProtection="1">
      <alignment horizontal="right"/>
    </xf>
    <xf numFmtId="43" fontId="23" fillId="0" borderId="0" xfId="121" applyFont="1" applyAlignment="1">
      <alignment horizontal="left"/>
    </xf>
    <xf numFmtId="43" fontId="23" fillId="0" borderId="0" xfId="183" applyNumberFormat="1" applyFont="1"/>
    <xf numFmtId="40" fontId="0" fillId="0" borderId="0" xfId="123" applyNumberFormat="1" applyFont="1" applyAlignment="1">
      <alignment horizontal="center"/>
    </xf>
    <xf numFmtId="40" fontId="14" fillId="0" borderId="0" xfId="173" applyNumberFormat="1" applyAlignment="1">
      <alignment horizontal="center"/>
    </xf>
    <xf numFmtId="41" fontId="54" fillId="0" borderId="0" xfId="0" applyNumberFormat="1" applyFont="1" applyFill="1"/>
    <xf numFmtId="1" fontId="56" fillId="0" borderId="0" xfId="179" applyNumberFormat="1" applyAlignment="1">
      <alignment horizontal="center"/>
    </xf>
    <xf numFmtId="1" fontId="56" fillId="0" borderId="0" xfId="179" applyNumberFormat="1"/>
    <xf numFmtId="0" fontId="0" fillId="0" borderId="0" xfId="0" applyFont="1" applyFill="1"/>
    <xf numFmtId="0" fontId="57" fillId="0" borderId="0" xfId="0" applyFont="1" applyFill="1"/>
    <xf numFmtId="164" fontId="23" fillId="0" borderId="0" xfId="121" applyNumberFormat="1" applyFont="1" applyFill="1" applyAlignment="1">
      <alignment horizontal="center"/>
    </xf>
    <xf numFmtId="164" fontId="28" fillId="0" borderId="0" xfId="121" applyNumberFormat="1" applyFont="1" applyFill="1"/>
    <xf numFmtId="0" fontId="28" fillId="0" borderId="0" xfId="172" applyFont="1" applyFill="1" applyAlignment="1">
      <alignment horizontal="center"/>
    </xf>
    <xf numFmtId="0" fontId="34" fillId="0" borderId="33" xfId="183" applyFont="1" applyFill="1" applyBorder="1" applyAlignment="1" applyProtection="1">
      <alignment horizontal="right"/>
    </xf>
    <xf numFmtId="41" fontId="28" fillId="0" borderId="33" xfId="183" applyNumberFormat="1" applyFont="1" applyFill="1" applyBorder="1" applyAlignment="1">
      <alignment horizontal="right"/>
    </xf>
    <xf numFmtId="41" fontId="34" fillId="0" borderId="25" xfId="126" applyNumberFormat="1" applyFont="1" applyFill="1" applyBorder="1" applyProtection="1"/>
    <xf numFmtId="41" fontId="28" fillId="0" borderId="34" xfId="183" applyNumberFormat="1" applyFont="1" applyFill="1" applyBorder="1" applyAlignment="1">
      <alignment horizontal="right"/>
    </xf>
    <xf numFmtId="0" fontId="34" fillId="0" borderId="27" xfId="183" applyFont="1" applyFill="1" applyBorder="1" applyAlignment="1" applyProtection="1">
      <alignment horizontal="right"/>
    </xf>
    <xf numFmtId="41" fontId="28" fillId="0" borderId="27" xfId="183" applyNumberFormat="1" applyFont="1" applyFill="1" applyBorder="1" applyAlignment="1">
      <alignment horizontal="right"/>
    </xf>
    <xf numFmtId="41" fontId="34" fillId="0" borderId="54" xfId="126" applyNumberFormat="1" applyFont="1" applyFill="1" applyBorder="1" applyProtection="1"/>
    <xf numFmtId="41" fontId="28" fillId="0" borderId="36" xfId="183" applyNumberFormat="1" applyFont="1" applyFill="1" applyBorder="1" applyAlignment="1">
      <alignment horizontal="right"/>
    </xf>
    <xf numFmtId="43" fontId="30" fillId="0" borderId="19" xfId="121" applyNumberFormat="1" applyFont="1" applyFill="1" applyBorder="1" applyAlignment="1" applyProtection="1">
      <alignment horizontal="centerContinuous" vertical="center" wrapText="1"/>
    </xf>
    <xf numFmtId="43" fontId="30" fillId="0" borderId="19" xfId="126" applyNumberFormat="1" applyFont="1" applyFill="1" applyBorder="1" applyAlignment="1" applyProtection="1">
      <alignment horizontal="centerContinuous" vertical="center" wrapText="1"/>
    </xf>
    <xf numFmtId="43" fontId="30" fillId="0" borderId="19" xfId="126" applyNumberFormat="1" applyFont="1" applyFill="1" applyBorder="1" applyAlignment="1" applyProtection="1">
      <alignment horizontal="center" vertical="center" wrapText="1"/>
    </xf>
    <xf numFmtId="41" fontId="34" fillId="0" borderId="27" xfId="126" applyNumberFormat="1" applyFont="1" applyFill="1" applyBorder="1" applyProtection="1"/>
    <xf numFmtId="41" fontId="28" fillId="0" borderId="55" xfId="183" applyNumberFormat="1" applyFont="1" applyFill="1" applyBorder="1" applyAlignment="1">
      <alignment horizontal="right"/>
    </xf>
    <xf numFmtId="41" fontId="34" fillId="0" borderId="0" xfId="126" applyNumberFormat="1" applyFont="1" applyFill="1" applyBorder="1" applyProtection="1"/>
    <xf numFmtId="41" fontId="28" fillId="0" borderId="0" xfId="183" applyNumberFormat="1" applyFont="1" applyFill="1" applyBorder="1" applyAlignment="1">
      <alignment horizontal="right"/>
    </xf>
    <xf numFmtId="41" fontId="34" fillId="0" borderId="33" xfId="126" applyNumberFormat="1" applyFont="1" applyFill="1" applyBorder="1" applyProtection="1"/>
    <xf numFmtId="0" fontId="30" fillId="0" borderId="0" xfId="186" applyFont="1" applyFill="1" applyProtection="1"/>
    <xf numFmtId="0" fontId="14" fillId="0" borderId="0" xfId="173" applyNumberFormat="1" applyAlignment="1">
      <alignment horizontal="center"/>
    </xf>
    <xf numFmtId="40" fontId="17" fillId="0" borderId="0" xfId="0" applyNumberFormat="1" applyFont="1" applyAlignment="1">
      <alignment horizontal="center"/>
    </xf>
    <xf numFmtId="0" fontId="30" fillId="0" borderId="0" xfId="183" applyFont="1" applyFill="1" applyBorder="1" applyAlignment="1" applyProtection="1">
      <alignment vertical="center"/>
    </xf>
    <xf numFmtId="0" fontId="34" fillId="0" borderId="57" xfId="183" applyFont="1" applyFill="1" applyBorder="1" applyAlignment="1" applyProtection="1">
      <alignment horizontal="center" vertical="center"/>
    </xf>
    <xf numFmtId="0" fontId="34" fillId="0" borderId="0" xfId="183" applyFont="1" applyFill="1" applyBorder="1" applyAlignment="1" applyProtection="1">
      <alignment horizontal="center" vertical="center"/>
    </xf>
    <xf numFmtId="164" fontId="19" fillId="0" borderId="0" xfId="121" applyNumberFormat="1" applyFont="1" applyFill="1" applyBorder="1" applyAlignment="1" applyProtection="1">
      <alignment horizontal="center" vertical="center" wrapText="1"/>
    </xf>
    <xf numFmtId="164" fontId="30" fillId="0" borderId="24" xfId="126" applyNumberFormat="1" applyFont="1" applyFill="1" applyBorder="1" applyAlignment="1" applyProtection="1">
      <alignment horizontal="center" vertical="center"/>
    </xf>
    <xf numFmtId="164" fontId="30" fillId="0" borderId="0" xfId="121" applyNumberFormat="1" applyFont="1" applyFill="1" applyBorder="1" applyAlignment="1" applyProtection="1">
      <alignment horizontal="center" vertical="center"/>
    </xf>
    <xf numFmtId="0" fontId="23" fillId="0" borderId="0" xfId="183" applyFont="1" applyFill="1" applyBorder="1" applyAlignment="1">
      <alignment vertical="center"/>
    </xf>
    <xf numFmtId="0" fontId="1" fillId="0" borderId="0" xfId="0" applyNumberFormat="1" applyFont="1" applyFill="1"/>
    <xf numFmtId="0" fontId="54" fillId="0" borderId="0" xfId="0" applyNumberFormat="1" applyFont="1" applyFill="1"/>
    <xf numFmtId="168" fontId="23" fillId="0" borderId="0" xfId="126" applyNumberFormat="1" applyFont="1" applyFill="1" applyAlignment="1" applyProtection="1">
      <alignment horizontal="left"/>
    </xf>
    <xf numFmtId="0" fontId="58" fillId="0" borderId="0" xfId="172" applyFont="1"/>
    <xf numFmtId="0" fontId="58" fillId="0" borderId="0" xfId="172" applyFont="1" applyFill="1" applyAlignment="1">
      <alignment horizontal="center"/>
    </xf>
    <xf numFmtId="0" fontId="58" fillId="0" borderId="0" xfId="172" applyFont="1" applyAlignment="1">
      <alignment horizontal="center"/>
    </xf>
    <xf numFmtId="40" fontId="57" fillId="0" borderId="0" xfId="122" applyNumberFormat="1" applyFont="1" applyAlignment="1">
      <alignment horizontal="center"/>
    </xf>
    <xf numFmtId="0" fontId="58" fillId="0" borderId="0" xfId="173" applyNumberFormat="1" applyFont="1" applyAlignment="1">
      <alignment horizontal="center"/>
    </xf>
    <xf numFmtId="40" fontId="58" fillId="0" borderId="0" xfId="172" applyNumberFormat="1" applyFont="1" applyAlignment="1">
      <alignment horizontal="center"/>
    </xf>
    <xf numFmtId="40" fontId="58" fillId="0" borderId="0" xfId="172" applyNumberFormat="1" applyFont="1"/>
    <xf numFmtId="174" fontId="19" fillId="0" borderId="0" xfId="183" applyNumberFormat="1" applyFont="1" applyBorder="1"/>
    <xf numFmtId="174" fontId="23" fillId="0" borderId="0" xfId="183" applyNumberFormat="1" applyFont="1" applyBorder="1"/>
    <xf numFmtId="174" fontId="23" fillId="0" borderId="0" xfId="183" applyNumberFormat="1" applyFont="1"/>
    <xf numFmtId="174" fontId="23" fillId="0" borderId="0" xfId="183" applyNumberFormat="1" applyFont="1" applyAlignment="1">
      <alignment vertical="center"/>
    </xf>
    <xf numFmtId="3" fontId="39" fillId="0" borderId="0" xfId="187" applyNumberFormat="1" applyFont="1" applyFill="1" applyAlignment="1" applyProtection="1"/>
    <xf numFmtId="3" fontId="39" fillId="0" borderId="0" xfId="187" applyNumberFormat="1" applyFill="1" applyAlignment="1"/>
    <xf numFmtId="3" fontId="39" fillId="0" borderId="10" xfId="187" applyNumberFormat="1" applyFont="1" applyFill="1" applyBorder="1" applyAlignment="1" applyProtection="1">
      <alignment horizontal="centerContinuous"/>
    </xf>
    <xf numFmtId="3" fontId="39" fillId="0" borderId="37" xfId="187" applyNumberFormat="1" applyFont="1" applyFill="1" applyBorder="1" applyAlignment="1" applyProtection="1">
      <alignment horizontal="center"/>
    </xf>
    <xf numFmtId="3" fontId="39" fillId="0" borderId="10" xfId="125" applyNumberFormat="1" applyFont="1" applyFill="1" applyBorder="1" applyAlignment="1" applyProtection="1"/>
    <xf numFmtId="3" fontId="44" fillId="0" borderId="21" xfId="125" applyNumberFormat="1" applyFont="1" applyFill="1" applyBorder="1" applyProtection="1"/>
    <xf numFmtId="4" fontId="44" fillId="0" borderId="21" xfId="125" applyNumberFormat="1" applyFont="1" applyFill="1" applyBorder="1" applyProtection="1"/>
    <xf numFmtId="3" fontId="39" fillId="0" borderId="0" xfId="125" applyNumberFormat="1" applyFont="1" applyFill="1" applyAlignment="1"/>
    <xf numFmtId="3" fontId="39" fillId="0" borderId="0" xfId="125" applyNumberFormat="1" applyFont="1" applyFill="1" applyAlignment="1" applyProtection="1">
      <alignment horizontal="center"/>
    </xf>
    <xf numFmtId="3" fontId="39" fillId="0" borderId="10" xfId="187" applyNumberFormat="1" applyFill="1" applyBorder="1" applyAlignment="1"/>
    <xf numFmtId="3" fontId="39" fillId="0" borderId="0" xfId="125" applyNumberFormat="1" applyFont="1" applyFill="1"/>
    <xf numFmtId="0" fontId="46" fillId="0" borderId="0" xfId="187" applyFont="1" applyFill="1" applyAlignment="1" applyProtection="1">
      <alignment horizontal="left"/>
    </xf>
    <xf numFmtId="3" fontId="44" fillId="0" borderId="0" xfId="125" applyNumberFormat="1" applyFont="1" applyFill="1" applyAlignment="1" applyProtection="1"/>
    <xf numFmtId="3" fontId="39" fillId="0" borderId="38" xfId="125" applyNumberFormat="1" applyFont="1" applyFill="1" applyBorder="1" applyAlignment="1" applyProtection="1"/>
    <xf numFmtId="3" fontId="39" fillId="0" borderId="0" xfId="187" applyNumberFormat="1" applyFont="1" applyFill="1" applyAlignment="1">
      <alignment horizontal="left"/>
    </xf>
    <xf numFmtId="3" fontId="39" fillId="0" borderId="0" xfId="125" applyNumberFormat="1" applyFont="1" applyFill="1" applyBorder="1" applyAlignment="1"/>
    <xf numFmtId="0" fontId="44" fillId="0" borderId="0" xfId="187" applyFont="1" applyFill="1" applyAlignment="1">
      <alignment horizontal="center"/>
    </xf>
    <xf numFmtId="3" fontId="39" fillId="0" borderId="0" xfId="125" applyNumberFormat="1" applyFont="1" applyFill="1" applyBorder="1"/>
    <xf numFmtId="0" fontId="39" fillId="0" borderId="0" xfId="187" applyFont="1" applyFill="1" applyAlignment="1">
      <alignment horizontal="right"/>
    </xf>
    <xf numFmtId="0" fontId="48" fillId="0" borderId="0" xfId="187" applyFont="1" applyFill="1" applyAlignment="1">
      <alignment horizontal="right"/>
    </xf>
    <xf numFmtId="167" fontId="44" fillId="0" borderId="21" xfId="125" applyNumberFormat="1" applyFont="1" applyFill="1" applyBorder="1" applyAlignment="1" applyProtection="1"/>
    <xf numFmtId="39" fontId="44" fillId="0" borderId="21" xfId="125" quotePrefix="1" applyNumberFormat="1" applyFont="1" applyFill="1" applyBorder="1"/>
    <xf numFmtId="39" fontId="0" fillId="0" borderId="0" xfId="0" applyNumberFormat="1" applyFill="1"/>
    <xf numFmtId="164" fontId="0" fillId="0" borderId="0" xfId="0" applyNumberFormat="1" applyFill="1"/>
    <xf numFmtId="0" fontId="0" fillId="0" borderId="0" xfId="0" applyFill="1" applyAlignment="1">
      <alignment horizontal="center"/>
    </xf>
    <xf numFmtId="164" fontId="0" fillId="0" borderId="0" xfId="121" applyNumberFormat="1" applyFont="1" applyFill="1"/>
    <xf numFmtId="0" fontId="0" fillId="0" borderId="29" xfId="0" applyFill="1" applyBorder="1"/>
    <xf numFmtId="0" fontId="17" fillId="0" borderId="0" xfId="0" applyFont="1" applyFill="1" applyAlignment="1">
      <alignment horizontal="center"/>
    </xf>
    <xf numFmtId="41" fontId="59" fillId="0" borderId="0" xfId="122" applyNumberFormat="1" applyFont="1" applyFill="1"/>
    <xf numFmtId="0" fontId="59" fillId="0" borderId="0" xfId="172" applyFont="1" applyFill="1"/>
    <xf numFmtId="164" fontId="59" fillId="0" borderId="0" xfId="172" applyNumberFormat="1" applyFont="1" applyFill="1"/>
    <xf numFmtId="41" fontId="59" fillId="0" borderId="0" xfId="172" applyNumberFormat="1" applyFont="1" applyFill="1"/>
    <xf numFmtId="43" fontId="59" fillId="0" borderId="0" xfId="172" applyNumberFormat="1" applyFont="1" applyFill="1"/>
    <xf numFmtId="0" fontId="60" fillId="0" borderId="0" xfId="172" applyFont="1" applyFill="1" applyAlignment="1">
      <alignment wrapText="1"/>
    </xf>
    <xf numFmtId="42" fontId="59" fillId="0" borderId="0" xfId="122" applyNumberFormat="1" applyFont="1" applyFill="1"/>
    <xf numFmtId="42" fontId="59" fillId="0" borderId="0" xfId="200" applyNumberFormat="1" applyFont="1" applyFill="1"/>
    <xf numFmtId="42" fontId="59" fillId="0" borderId="0" xfId="172" applyNumberFormat="1" applyFont="1" applyFill="1"/>
    <xf numFmtId="0" fontId="61" fillId="0" borderId="0" xfId="172" applyFont="1" applyFill="1" applyBorder="1"/>
    <xf numFmtId="0" fontId="59" fillId="0" borderId="0" xfId="172" applyFont="1" applyFill="1" applyBorder="1"/>
    <xf numFmtId="168" fontId="59" fillId="0" borderId="0" xfId="172" applyNumberFormat="1" applyFont="1" applyFill="1" applyBorder="1"/>
    <xf numFmtId="168" fontId="59" fillId="0" borderId="0" xfId="172" applyNumberFormat="1" applyFont="1" applyFill="1"/>
    <xf numFmtId="0" fontId="17" fillId="0" borderId="0" xfId="0" applyFont="1" applyFill="1"/>
    <xf numFmtId="0" fontId="0" fillId="0" borderId="0" xfId="0" applyFont="1" applyFill="1" applyAlignment="1">
      <alignment vertical="top"/>
    </xf>
    <xf numFmtId="0" fontId="0" fillId="0" borderId="0" xfId="0" applyFont="1" applyFill="1" applyAlignment="1">
      <alignment vertical="top" wrapText="1"/>
    </xf>
    <xf numFmtId="0" fontId="0" fillId="0" borderId="0" xfId="0" applyFont="1" applyFill="1" applyAlignment="1">
      <alignment horizontal="left" vertical="top" wrapText="1"/>
    </xf>
    <xf numFmtId="0" fontId="24" fillId="0" borderId="0" xfId="0" applyFont="1" applyFill="1"/>
    <xf numFmtId="0" fontId="30" fillId="0" borderId="0" xfId="0" applyFont="1" applyFill="1"/>
    <xf numFmtId="37" fontId="23" fillId="0" borderId="0" xfId="126" applyNumberFormat="1" applyFont="1" applyFill="1" applyBorder="1" applyAlignment="1"/>
    <xf numFmtId="41" fontId="23" fillId="0" borderId="10" xfId="126" applyNumberFormat="1" applyFont="1" applyFill="1" applyBorder="1" applyAlignment="1"/>
    <xf numFmtId="41" fontId="23" fillId="0" borderId="0" xfId="126" applyNumberFormat="1" applyFont="1" applyFill="1" applyBorder="1" applyAlignment="1"/>
    <xf numFmtId="0" fontId="28" fillId="0" borderId="0" xfId="184" applyFont="1" applyFill="1" applyBorder="1" applyAlignment="1">
      <alignment horizontal="left"/>
    </xf>
    <xf numFmtId="41" fontId="23" fillId="0" borderId="0" xfId="184" applyNumberFormat="1" applyFont="1" applyFill="1" applyBorder="1"/>
    <xf numFmtId="0" fontId="23" fillId="0" borderId="0" xfId="184" applyFont="1" applyFill="1" applyBorder="1"/>
    <xf numFmtId="0" fontId="23" fillId="0" borderId="0" xfId="184" applyFont="1" applyFill="1" applyBorder="1" applyAlignment="1">
      <alignment horizontal="left" indent="2"/>
    </xf>
    <xf numFmtId="37" fontId="23" fillId="0" borderId="10" xfId="126" applyNumberFormat="1" applyFont="1" applyFill="1" applyBorder="1" applyAlignment="1"/>
    <xf numFmtId="41" fontId="0" fillId="0" borderId="0" xfId="0" applyNumberFormat="1" applyFill="1"/>
    <xf numFmtId="166" fontId="0" fillId="0" borderId="0" xfId="198" applyNumberFormat="1" applyFont="1" applyFill="1"/>
    <xf numFmtId="37" fontId="23" fillId="0" borderId="0" xfId="184" applyNumberFormat="1" applyFont="1" applyFill="1" applyBorder="1" applyAlignment="1">
      <alignment horizontal="left" indent="2"/>
    </xf>
    <xf numFmtId="41" fontId="23" fillId="0" borderId="0" xfId="126" applyNumberFormat="1" applyFont="1" applyFill="1" applyBorder="1"/>
    <xf numFmtId="0" fontId="28" fillId="0" borderId="0" xfId="184" applyFont="1" applyFill="1" applyBorder="1"/>
    <xf numFmtId="37" fontId="28" fillId="0" borderId="0" xfId="184" applyNumberFormat="1" applyFont="1" applyFill="1" applyBorder="1"/>
    <xf numFmtId="0" fontId="28" fillId="0" borderId="0" xfId="184" applyFont="1" applyFill="1" applyBorder="1" applyAlignment="1">
      <alignment horizontal="left" wrapText="1"/>
    </xf>
    <xf numFmtId="0" fontId="23" fillId="0" borderId="0" xfId="184" applyFont="1" applyFill="1" applyBorder="1" applyAlignment="1">
      <alignment horizontal="left"/>
    </xf>
    <xf numFmtId="37" fontId="23" fillId="0" borderId="0" xfId="184" applyNumberFormat="1" applyFont="1" applyFill="1" applyBorder="1" applyAlignment="1"/>
    <xf numFmtId="37" fontId="28" fillId="0" borderId="0" xfId="184" applyNumberFormat="1" applyFont="1" applyFill="1" applyBorder="1" applyAlignment="1"/>
    <xf numFmtId="0" fontId="28" fillId="0" borderId="0" xfId="184" applyFont="1" applyFill="1" applyBorder="1" applyAlignment="1"/>
    <xf numFmtId="37" fontId="23" fillId="0" borderId="0" xfId="184" applyNumberFormat="1" applyFont="1" applyFill="1" applyBorder="1" applyAlignment="1">
      <alignment wrapText="1"/>
    </xf>
    <xf numFmtId="0" fontId="23" fillId="0" borderId="0" xfId="184" applyFont="1" applyFill="1" applyBorder="1" applyAlignment="1">
      <alignment horizontal="right" wrapText="1"/>
    </xf>
    <xf numFmtId="0" fontId="23" fillId="0" borderId="0" xfId="184" applyFont="1" applyFill="1" applyBorder="1" applyAlignment="1">
      <alignment wrapText="1"/>
    </xf>
    <xf numFmtId="164" fontId="23" fillId="0" borderId="0" xfId="126" applyNumberFormat="1" applyFont="1" applyFill="1" applyBorder="1"/>
    <xf numFmtId="10" fontId="23" fillId="0" borderId="0" xfId="198" applyNumberFormat="1" applyFont="1" applyFill="1" applyBorder="1" applyAlignment="1">
      <alignment horizontal="left" indent="3"/>
    </xf>
    <xf numFmtId="0" fontId="23" fillId="0" borderId="0" xfId="184" applyFont="1" applyFill="1" applyBorder="1" applyAlignment="1">
      <alignment horizontal="left" wrapText="1"/>
    </xf>
    <xf numFmtId="164" fontId="28" fillId="0" borderId="20" xfId="126" applyNumberFormat="1" applyFont="1" applyFill="1" applyBorder="1" applyAlignment="1">
      <alignment horizontal="center" vertical="center" wrapText="1"/>
    </xf>
    <xf numFmtId="0" fontId="28" fillId="0" borderId="20" xfId="184" applyFont="1" applyFill="1" applyBorder="1" applyAlignment="1">
      <alignment horizontal="center" vertical="center" wrapText="1"/>
    </xf>
    <xf numFmtId="0" fontId="62" fillId="0" borderId="20" xfId="0" applyFont="1" applyFill="1" applyBorder="1" applyAlignment="1">
      <alignment horizontal="center" vertical="center"/>
    </xf>
    <xf numFmtId="0" fontId="28" fillId="0" borderId="0" xfId="184" applyFont="1" applyFill="1" applyBorder="1" applyAlignment="1">
      <alignment vertical="center" wrapText="1"/>
    </xf>
    <xf numFmtId="37" fontId="23" fillId="0" borderId="0" xfId="126" applyNumberFormat="1" applyFont="1" applyFill="1" applyBorder="1" applyAlignment="1">
      <alignment horizontal="right" vertical="center"/>
    </xf>
    <xf numFmtId="166" fontId="23" fillId="0" borderId="0" xfId="198" applyNumberFormat="1" applyFont="1" applyFill="1" applyBorder="1" applyAlignment="1">
      <alignment horizontal="right" vertical="center"/>
    </xf>
    <xf numFmtId="41" fontId="28" fillId="0" borderId="0" xfId="126" applyNumberFormat="1" applyFont="1" applyFill="1" applyBorder="1" applyAlignment="1">
      <alignment vertical="center"/>
    </xf>
    <xf numFmtId="166" fontId="28" fillId="0" borderId="0" xfId="198" applyNumberFormat="1" applyFont="1" applyFill="1" applyBorder="1" applyAlignment="1">
      <alignment vertical="center"/>
    </xf>
    <xf numFmtId="0" fontId="0" fillId="0" borderId="0" xfId="0" applyBorder="1"/>
    <xf numFmtId="0" fontId="28" fillId="0" borderId="20" xfId="184" applyFont="1" applyFill="1" applyBorder="1" applyAlignment="1">
      <alignment horizontal="left" vertical="center" wrapText="1"/>
    </xf>
    <xf numFmtId="41" fontId="23" fillId="0" borderId="20" xfId="126" applyNumberFormat="1" applyFont="1" applyFill="1" applyBorder="1" applyAlignment="1">
      <alignment vertical="center"/>
    </xf>
    <xf numFmtId="41" fontId="0" fillId="0" borderId="20" xfId="0" applyNumberFormat="1" applyFill="1" applyBorder="1"/>
    <xf numFmtId="0" fontId="28" fillId="0" borderId="20" xfId="184" applyFont="1" applyFill="1" applyBorder="1" applyAlignment="1">
      <alignment vertical="center" wrapText="1"/>
    </xf>
    <xf numFmtId="37" fontId="23" fillId="0" borderId="20" xfId="126" applyNumberFormat="1" applyFont="1" applyFill="1" applyBorder="1" applyAlignment="1">
      <alignment horizontal="right" vertical="center"/>
    </xf>
    <xf numFmtId="41" fontId="28" fillId="0" borderId="20" xfId="126" applyNumberFormat="1" applyFont="1" applyFill="1" applyBorder="1" applyAlignment="1">
      <alignment vertical="center"/>
    </xf>
    <xf numFmtId="37" fontId="23" fillId="0" borderId="20" xfId="126" applyNumberFormat="1" applyFont="1" applyFill="1" applyBorder="1" applyAlignment="1">
      <alignment vertical="center"/>
    </xf>
    <xf numFmtId="41" fontId="0" fillId="0" borderId="20" xfId="0" applyNumberFormat="1" applyFill="1" applyBorder="1" applyAlignment="1">
      <alignment vertical="center"/>
    </xf>
    <xf numFmtId="166" fontId="23" fillId="0" borderId="10" xfId="198" applyNumberFormat="1" applyFont="1" applyFill="1" applyBorder="1" applyAlignment="1">
      <alignment horizontal="right" indent="2"/>
    </xf>
    <xf numFmtId="0" fontId="28" fillId="0" borderId="0" xfId="184" applyFont="1" applyFill="1" applyBorder="1" applyAlignment="1">
      <alignment horizontal="right" indent="2"/>
    </xf>
    <xf numFmtId="166" fontId="23" fillId="0" borderId="0" xfId="198" applyNumberFormat="1" applyFont="1" applyFill="1" applyBorder="1" applyAlignment="1">
      <alignment horizontal="right" indent="2"/>
    </xf>
    <xf numFmtId="0" fontId="23" fillId="0" borderId="0" xfId="184" applyFont="1" applyFill="1" applyBorder="1" applyAlignment="1">
      <alignment horizontal="right" indent="2"/>
    </xf>
    <xf numFmtId="0" fontId="23" fillId="0" borderId="0" xfId="184" applyFont="1" applyFill="1" applyBorder="1" applyAlignment="1">
      <alignment horizontal="right" wrapText="1" indent="2"/>
    </xf>
    <xf numFmtId="166" fontId="23" fillId="0" borderId="20" xfId="198" applyNumberFormat="1" applyFont="1" applyFill="1" applyBorder="1" applyAlignment="1">
      <alignment horizontal="right" vertical="center" indent="2"/>
    </xf>
    <xf numFmtId="10" fontId="23" fillId="0" borderId="0" xfId="198" applyNumberFormat="1" applyFont="1" applyFill="1" applyBorder="1" applyAlignment="1">
      <alignment horizontal="right" indent="2"/>
    </xf>
    <xf numFmtId="166" fontId="0" fillId="0" borderId="0" xfId="198" applyNumberFormat="1" applyFont="1" applyFill="1" applyAlignment="1">
      <alignment horizontal="right" indent="2"/>
    </xf>
    <xf numFmtId="0" fontId="0" fillId="0" borderId="0" xfId="0" applyFill="1" applyAlignment="1">
      <alignment horizontal="right" indent="2"/>
    </xf>
    <xf numFmtId="166" fontId="0" fillId="0" borderId="20" xfId="198" applyNumberFormat="1" applyFont="1" applyFill="1" applyBorder="1" applyAlignment="1">
      <alignment horizontal="right" indent="2"/>
    </xf>
    <xf numFmtId="166" fontId="28" fillId="0" borderId="20" xfId="198" applyNumberFormat="1" applyFont="1" applyFill="1" applyBorder="1" applyAlignment="1">
      <alignment horizontal="right" vertical="center" indent="2"/>
    </xf>
    <xf numFmtId="166" fontId="0" fillId="0" borderId="20" xfId="198" applyNumberFormat="1" applyFont="1" applyFill="1" applyBorder="1" applyAlignment="1">
      <alignment horizontal="right" vertical="center" indent="2"/>
    </xf>
    <xf numFmtId="41" fontId="0" fillId="0" borderId="10" xfId="0" applyNumberFormat="1" applyFill="1" applyBorder="1"/>
    <xf numFmtId="166" fontId="0" fillId="0" borderId="10" xfId="198" applyNumberFormat="1" applyFont="1" applyFill="1" applyBorder="1" applyAlignment="1">
      <alignment horizontal="right" indent="2"/>
    </xf>
    <xf numFmtId="37" fontId="23" fillId="0" borderId="0" xfId="122" applyNumberFormat="1" applyFont="1" applyFill="1"/>
    <xf numFmtId="0" fontId="41" fillId="0" borderId="0" xfId="187" applyFont="1" applyFill="1" applyAlignment="1" applyProtection="1"/>
    <xf numFmtId="0" fontId="39" fillId="0" borderId="0" xfId="187" applyFont="1" applyFill="1" applyAlignment="1"/>
    <xf numFmtId="0" fontId="44" fillId="0" borderId="0" xfId="187" applyFont="1" applyFill="1" applyAlignment="1" applyProtection="1"/>
    <xf numFmtId="0" fontId="53" fillId="0" borderId="0" xfId="187" applyFont="1" applyFill="1" applyAlignment="1" applyProtection="1"/>
    <xf numFmtId="0" fontId="44" fillId="0" borderId="0" xfId="187" quotePrefix="1" applyFont="1" applyFill="1" applyAlignment="1" applyProtection="1"/>
    <xf numFmtId="0" fontId="44" fillId="0" borderId="0" xfId="187" applyFont="1" applyFill="1" applyAlignment="1"/>
    <xf numFmtId="0" fontId="23" fillId="0" borderId="0" xfId="172" applyFont="1" applyFill="1" applyBorder="1"/>
    <xf numFmtId="10" fontId="23" fillId="0" borderId="0" xfId="200" applyNumberFormat="1" applyFont="1" applyFill="1" applyBorder="1"/>
    <xf numFmtId="0" fontId="28" fillId="0" borderId="30" xfId="172" applyFont="1" applyFill="1" applyBorder="1" applyAlignment="1">
      <alignment vertical="center" wrapText="1"/>
    </xf>
    <xf numFmtId="0" fontId="28" fillId="0" borderId="67" xfId="0" applyFont="1" applyBorder="1" applyAlignment="1">
      <alignment horizontal="center" vertical="center"/>
    </xf>
    <xf numFmtId="0" fontId="28" fillId="0" borderId="68" xfId="0" applyFont="1" applyBorder="1" applyAlignment="1">
      <alignment horizontal="center" vertical="center"/>
    </xf>
    <xf numFmtId="0" fontId="28" fillId="0" borderId="67" xfId="0" applyFont="1" applyBorder="1" applyAlignment="1">
      <alignment horizontal="center" vertical="center" wrapText="1"/>
    </xf>
    <xf numFmtId="0" fontId="28" fillId="0" borderId="69" xfId="0" applyFont="1" applyBorder="1" applyAlignment="1">
      <alignment horizontal="center" vertical="center" wrapText="1"/>
    </xf>
    <xf numFmtId="0" fontId="28" fillId="0" borderId="68" xfId="0" applyFont="1" applyBorder="1" applyAlignment="1">
      <alignment horizontal="center" vertical="center" wrapText="1"/>
    </xf>
    <xf numFmtId="0" fontId="30" fillId="0" borderId="0" xfId="0" applyFont="1" applyBorder="1"/>
    <xf numFmtId="41" fontId="30" fillId="0" borderId="0" xfId="0" applyNumberFormat="1" applyFont="1" applyBorder="1"/>
    <xf numFmtId="0" fontId="23" fillId="0" borderId="10" xfId="0" applyFont="1" applyFill="1" applyBorder="1" applyAlignment="1">
      <alignment horizontal="left" indent="2"/>
    </xf>
    <xf numFmtId="0" fontId="23" fillId="0" borderId="10" xfId="0" applyFont="1" applyFill="1" applyBorder="1" applyAlignment="1">
      <alignment horizontal="center"/>
    </xf>
    <xf numFmtId="41" fontId="30" fillId="0" borderId="10" xfId="0" applyNumberFormat="1" applyFont="1" applyBorder="1"/>
    <xf numFmtId="41" fontId="30" fillId="0" borderId="10" xfId="0" applyNumberFormat="1" applyFont="1" applyBorder="1" applyAlignment="1">
      <alignment horizontal="center"/>
    </xf>
    <xf numFmtId="0" fontId="64" fillId="0" borderId="0" xfId="0" applyFont="1" applyFill="1"/>
    <xf numFmtId="4" fontId="39" fillId="0" borderId="0" xfId="125" applyNumberFormat="1" applyFont="1" applyFill="1" applyBorder="1" applyProtection="1"/>
    <xf numFmtId="4" fontId="39" fillId="0" borderId="10" xfId="125" applyNumberFormat="1" applyFont="1" applyFill="1" applyBorder="1" applyProtection="1"/>
    <xf numFmtId="39" fontId="39" fillId="0" borderId="0" xfId="187" applyNumberFormat="1" applyFont="1" applyFill="1"/>
    <xf numFmtId="4" fontId="39" fillId="0" borderId="0" xfId="187" applyNumberFormat="1" applyFont="1" applyFill="1" applyBorder="1"/>
    <xf numFmtId="39" fontId="39" fillId="0" borderId="0" xfId="125" applyNumberFormat="1" applyFont="1" applyFill="1" applyAlignment="1" applyProtection="1">
      <alignment horizontal="right"/>
    </xf>
    <xf numFmtId="39" fontId="39" fillId="0" borderId="10" xfId="125" applyNumberFormat="1" applyFont="1" applyFill="1" applyBorder="1" applyAlignment="1" applyProtection="1">
      <alignment horizontal="right"/>
    </xf>
    <xf numFmtId="4" fontId="44" fillId="0" borderId="0" xfId="125" applyNumberFormat="1" applyFont="1" applyFill="1" applyBorder="1" applyProtection="1"/>
    <xf numFmtId="4" fontId="39" fillId="0" borderId="0" xfId="125" applyNumberFormat="1" applyFont="1" applyFill="1"/>
    <xf numFmtId="4" fontId="39" fillId="0" borderId="0" xfId="187" applyNumberFormat="1" applyFont="1" applyFill="1" applyBorder="1" applyAlignment="1" applyProtection="1">
      <alignment horizontal="right"/>
    </xf>
    <xf numFmtId="4" fontId="39" fillId="0" borderId="0" xfId="125" applyNumberFormat="1" applyFont="1" applyFill="1" applyBorder="1" applyAlignment="1" applyProtection="1">
      <alignment horizontal="right"/>
    </xf>
    <xf numFmtId="0" fontId="39" fillId="0" borderId="0" xfId="187" applyFont="1" applyFill="1" applyAlignment="1">
      <alignment horizontal="centerContinuous"/>
    </xf>
    <xf numFmtId="0" fontId="44" fillId="0" borderId="0" xfId="187" quotePrefix="1" applyFont="1" applyFill="1" applyAlignment="1" applyProtection="1">
      <alignment horizontal="center"/>
    </xf>
    <xf numFmtId="0" fontId="40" fillId="0" borderId="0" xfId="187" applyFont="1" applyFill="1" applyAlignment="1" applyProtection="1"/>
    <xf numFmtId="0" fontId="64" fillId="0" borderId="0" xfId="0" applyFont="1" applyFill="1" applyAlignment="1"/>
    <xf numFmtId="0" fontId="39" fillId="0" borderId="0" xfId="187" applyFont="1" applyFill="1" applyAlignment="1">
      <alignment horizontal="center"/>
    </xf>
    <xf numFmtId="39" fontId="39" fillId="0" borderId="0" xfId="125" applyNumberFormat="1" applyFont="1" applyFill="1" applyBorder="1" applyAlignment="1" applyProtection="1">
      <alignment horizontal="right"/>
    </xf>
    <xf numFmtId="39" fontId="44" fillId="0" borderId="21" xfId="125" applyNumberFormat="1" applyFont="1" applyFill="1" applyBorder="1" applyAlignment="1" applyProtection="1">
      <alignment horizontal="right"/>
    </xf>
    <xf numFmtId="39" fontId="39" fillId="0" borderId="0" xfId="187" applyNumberFormat="1" applyFont="1" applyFill="1" applyAlignment="1">
      <alignment horizontal="right"/>
    </xf>
    <xf numFmtId="39" fontId="39" fillId="0" borderId="38" xfId="125" applyNumberFormat="1" applyFont="1" applyFill="1" applyBorder="1" applyAlignment="1" applyProtection="1">
      <alignment horizontal="right"/>
    </xf>
    <xf numFmtId="39" fontId="39" fillId="0" borderId="0" xfId="125" applyNumberFormat="1" applyFont="1" applyFill="1" applyBorder="1" applyAlignment="1">
      <alignment horizontal="right"/>
    </xf>
    <xf numFmtId="39" fontId="39" fillId="0" borderId="0" xfId="125" applyNumberFormat="1" applyFont="1" applyFill="1" applyAlignment="1">
      <alignment horizontal="right"/>
    </xf>
    <xf numFmtId="39" fontId="39" fillId="0" borderId="10" xfId="125" applyNumberFormat="1" applyFont="1" applyFill="1" applyBorder="1" applyAlignment="1">
      <alignment horizontal="right"/>
    </xf>
    <xf numFmtId="39" fontId="44" fillId="0" borderId="0" xfId="125" applyNumberFormat="1" applyFont="1" applyFill="1" applyBorder="1" applyAlignment="1" applyProtection="1">
      <alignment horizontal="right"/>
    </xf>
    <xf numFmtId="39" fontId="44" fillId="0" borderId="21" xfId="125" applyNumberFormat="1" applyFont="1" applyFill="1" applyBorder="1" applyAlignment="1">
      <alignment horizontal="right"/>
    </xf>
    <xf numFmtId="39" fontId="39" fillId="0" borderId="0" xfId="187" applyNumberFormat="1" applyFont="1" applyFill="1" applyBorder="1" applyAlignment="1">
      <alignment horizontal="right"/>
    </xf>
    <xf numFmtId="167" fontId="44" fillId="0" borderId="0" xfId="125" applyNumberFormat="1" applyFont="1" applyFill="1" applyBorder="1" applyAlignment="1" applyProtection="1">
      <alignment horizontal="right"/>
    </xf>
    <xf numFmtId="167" fontId="44" fillId="0" borderId="21" xfId="125" applyNumberFormat="1" applyFont="1" applyFill="1" applyBorder="1" applyAlignment="1" applyProtection="1">
      <alignment horizontal="right"/>
    </xf>
    <xf numFmtId="39" fontId="44" fillId="0" borderId="21" xfId="125" quotePrefix="1" applyNumberFormat="1" applyFont="1" applyFill="1" applyBorder="1" applyAlignment="1">
      <alignment horizontal="right"/>
    </xf>
    <xf numFmtId="6" fontId="47" fillId="0" borderId="0" xfId="187" applyNumberFormat="1" applyFont="1" applyFill="1" applyBorder="1" applyAlignment="1" applyProtection="1">
      <alignment horizontal="centerContinuous"/>
    </xf>
    <xf numFmtId="0" fontId="64" fillId="0" borderId="0" xfId="0" applyFont="1"/>
    <xf numFmtId="6" fontId="39" fillId="0" borderId="0" xfId="187" applyNumberFormat="1" applyFont="1" applyFill="1" applyBorder="1" applyAlignment="1" applyProtection="1">
      <alignment horizontal="center"/>
    </xf>
    <xf numFmtId="37" fontId="39" fillId="0" borderId="0" xfId="187" applyNumberFormat="1" applyFont="1" applyFill="1" applyBorder="1" applyAlignment="1" applyProtection="1">
      <alignment horizontal="center"/>
      <protection locked="0"/>
    </xf>
    <xf numFmtId="0" fontId="39" fillId="0" borderId="39" xfId="187" applyFont="1" applyFill="1" applyBorder="1"/>
    <xf numFmtId="172" fontId="39" fillId="0" borderId="0" xfId="187" applyNumberFormat="1" applyFont="1" applyFill="1" applyBorder="1"/>
    <xf numFmtId="6" fontId="39" fillId="0" borderId="0" xfId="187" applyNumberFormat="1" applyFont="1" applyFill="1" applyBorder="1"/>
    <xf numFmtId="0" fontId="39" fillId="0" borderId="21" xfId="187" applyFont="1" applyFill="1" applyBorder="1"/>
    <xf numFmtId="0" fontId="41" fillId="0" borderId="0" xfId="187" applyFont="1" applyFill="1" applyProtection="1"/>
    <xf numFmtId="0" fontId="41" fillId="0" borderId="0" xfId="187" applyFont="1" applyFill="1" applyAlignment="1" applyProtection="1">
      <alignment horizontal="left"/>
    </xf>
    <xf numFmtId="0" fontId="44" fillId="0" borderId="39" xfId="187" applyFont="1" applyFill="1" applyBorder="1" applyProtection="1"/>
    <xf numFmtId="41" fontId="28" fillId="0" borderId="43" xfId="121" applyNumberFormat="1" applyFont="1" applyFill="1" applyBorder="1" applyAlignment="1" applyProtection="1">
      <alignment horizontal="right" vertical="center"/>
    </xf>
    <xf numFmtId="41" fontId="34" fillId="0" borderId="44" xfId="126" applyNumberFormat="1" applyFont="1" applyFill="1" applyBorder="1" applyAlignment="1" applyProtection="1">
      <alignment horizontal="right" vertical="center"/>
    </xf>
    <xf numFmtId="41" fontId="34" fillId="0" borderId="43" xfId="121" applyNumberFormat="1" applyFont="1" applyFill="1" applyBorder="1" applyAlignment="1" applyProtection="1">
      <alignment horizontal="right" vertical="center"/>
    </xf>
    <xf numFmtId="41" fontId="23" fillId="0" borderId="0" xfId="198" applyNumberFormat="1" applyFont="1" applyFill="1" applyBorder="1" applyAlignment="1">
      <alignment horizontal="center"/>
    </xf>
    <xf numFmtId="41" fontId="23" fillId="0" borderId="0" xfId="198" applyNumberFormat="1" applyFont="1" applyFill="1" applyBorder="1" applyAlignment="1" applyProtection="1">
      <alignment horizontal="center"/>
    </xf>
    <xf numFmtId="41" fontId="23" fillId="0" borderId="21" xfId="121" applyNumberFormat="1" applyFont="1" applyFill="1" applyBorder="1"/>
    <xf numFmtId="41" fontId="23" fillId="0" borderId="42" xfId="126" applyNumberFormat="1" applyFont="1" applyFill="1" applyBorder="1"/>
    <xf numFmtId="0" fontId="30" fillId="0" borderId="0" xfId="182" applyNumberFormat="1" applyFont="1" applyFill="1" applyAlignment="1" applyProtection="1">
      <alignment horizontal="left"/>
    </xf>
    <xf numFmtId="0" fontId="30" fillId="0" borderId="0" xfId="183" applyNumberFormat="1" applyFont="1" applyFill="1" applyAlignment="1" applyProtection="1">
      <alignment horizontal="left"/>
    </xf>
    <xf numFmtId="0" fontId="23" fillId="0" borderId="0" xfId="182" applyFont="1" applyFill="1" applyAlignment="1">
      <alignment horizontal="left"/>
    </xf>
    <xf numFmtId="0" fontId="40" fillId="0" borderId="0" xfId="187" applyFont="1" applyFill="1" applyAlignment="1" applyProtection="1">
      <alignment horizontal="left"/>
    </xf>
    <xf numFmtId="0" fontId="23" fillId="0" borderId="0" xfId="172" applyFont="1" applyFill="1" applyAlignment="1">
      <alignment horizontal="center"/>
    </xf>
    <xf numFmtId="0" fontId="27" fillId="0" borderId="0" xfId="184" applyFont="1" applyFill="1" applyBorder="1" applyAlignment="1">
      <alignment horizontal="center"/>
    </xf>
    <xf numFmtId="0" fontId="23" fillId="0" borderId="0" xfId="184" applyFont="1" applyFill="1" applyAlignment="1">
      <alignment horizontal="center"/>
    </xf>
    <xf numFmtId="0" fontId="36" fillId="0" borderId="0" xfId="183" applyFont="1" applyFill="1" applyBorder="1" applyAlignment="1" applyProtection="1">
      <alignment horizontal="left"/>
    </xf>
    <xf numFmtId="0" fontId="23" fillId="0" borderId="0" xfId="183" applyFont="1" applyFill="1" applyBorder="1" applyAlignment="1" applyProtection="1">
      <alignment horizontal="center"/>
    </xf>
    <xf numFmtId="164" fontId="23" fillId="0" borderId="0" xfId="121" applyNumberFormat="1" applyFont="1" applyFill="1" applyBorder="1" applyAlignment="1" applyProtection="1">
      <alignment horizontal="centerContinuous"/>
    </xf>
    <xf numFmtId="164" fontId="30" fillId="0" borderId="0" xfId="126" applyNumberFormat="1" applyFont="1" applyFill="1" applyAlignment="1" applyProtection="1">
      <alignment horizontal="centerContinuous"/>
    </xf>
    <xf numFmtId="0" fontId="24" fillId="0" borderId="0" xfId="183" applyFont="1" applyFill="1" applyBorder="1" applyAlignment="1" applyProtection="1">
      <alignment horizontal="left"/>
    </xf>
    <xf numFmtId="0" fontId="30" fillId="0" borderId="0" xfId="183" applyFont="1" applyFill="1" applyBorder="1" applyAlignment="1" applyProtection="1">
      <alignment horizontal="left"/>
    </xf>
    <xf numFmtId="0" fontId="30" fillId="0" borderId="0" xfId="183" applyFont="1" applyFill="1" applyBorder="1" applyAlignment="1" applyProtection="1">
      <alignment horizontal="center"/>
    </xf>
    <xf numFmtId="164" fontId="23" fillId="0" borderId="0" xfId="121" applyNumberFormat="1" applyFont="1" applyFill="1" applyBorder="1" applyProtection="1"/>
    <xf numFmtId="43" fontId="23" fillId="0" borderId="0" xfId="121" applyNumberFormat="1" applyFont="1" applyFill="1" applyBorder="1" applyProtection="1"/>
    <xf numFmtId="164" fontId="30" fillId="0" borderId="0" xfId="126" applyNumberFormat="1" applyFont="1" applyFill="1" applyProtection="1"/>
    <xf numFmtId="0" fontId="30" fillId="0" borderId="47" xfId="184" applyFont="1" applyFill="1" applyBorder="1" applyAlignment="1" applyProtection="1">
      <alignment vertical="center"/>
    </xf>
    <xf numFmtId="164" fontId="34" fillId="0" borderId="25" xfId="126" applyNumberFormat="1" applyFont="1" applyFill="1" applyBorder="1" applyAlignment="1" applyProtection="1">
      <alignment horizontal="center"/>
    </xf>
    <xf numFmtId="0" fontId="23" fillId="0" borderId="0" xfId="184" applyFont="1" applyFill="1"/>
    <xf numFmtId="0" fontId="34" fillId="0" borderId="50" xfId="184" applyFont="1" applyFill="1" applyBorder="1" applyAlignment="1" applyProtection="1">
      <alignment horizontal="center"/>
    </xf>
    <xf numFmtId="164" fontId="28" fillId="0" borderId="13" xfId="126" applyNumberFormat="1" applyFont="1" applyFill="1" applyBorder="1" applyAlignment="1" applyProtection="1">
      <alignment horizontal="center"/>
    </xf>
    <xf numFmtId="164" fontId="28" fillId="0" borderId="14" xfId="126" applyNumberFormat="1" applyFont="1" applyFill="1" applyBorder="1" applyAlignment="1" applyProtection="1">
      <alignment horizontal="center" wrapText="1"/>
    </xf>
    <xf numFmtId="164" fontId="28" fillId="0" borderId="22" xfId="126" applyNumberFormat="1" applyFont="1" applyFill="1" applyBorder="1" applyAlignment="1" applyProtection="1">
      <alignment horizontal="center" wrapText="1"/>
    </xf>
    <xf numFmtId="164" fontId="34" fillId="0" borderId="24" xfId="126" applyNumberFormat="1" applyFont="1" applyFill="1" applyBorder="1" applyAlignment="1" applyProtection="1">
      <alignment horizontal="center" vertical="center"/>
    </xf>
    <xf numFmtId="164" fontId="34" fillId="0" borderId="13" xfId="126" applyNumberFormat="1" applyFont="1" applyFill="1" applyBorder="1" applyAlignment="1" applyProtection="1">
      <alignment horizontal="center" vertical="center" wrapText="1"/>
    </xf>
    <xf numFmtId="164" fontId="34" fillId="0" borderId="14" xfId="126" applyNumberFormat="1" applyFont="1" applyFill="1" applyBorder="1" applyAlignment="1" applyProtection="1">
      <alignment horizontal="center" vertical="center" wrapText="1"/>
    </xf>
    <xf numFmtId="164" fontId="34" fillId="0" borderId="15" xfId="126" applyNumberFormat="1" applyFont="1" applyFill="1" applyBorder="1" applyAlignment="1" applyProtection="1">
      <alignment horizontal="center" vertical="center" wrapText="1"/>
    </xf>
    <xf numFmtId="164" fontId="34" fillId="0" borderId="14" xfId="126" applyNumberFormat="1" applyFont="1" applyFill="1" applyBorder="1" applyAlignment="1" applyProtection="1">
      <alignment horizontal="center" vertical="center"/>
    </xf>
    <xf numFmtId="0" fontId="23" fillId="0" borderId="0" xfId="184" applyFont="1" applyFill="1" applyAlignment="1">
      <alignment vertical="center"/>
    </xf>
    <xf numFmtId="0" fontId="23" fillId="0" borderId="0" xfId="184" applyFont="1" applyFill="1" applyAlignment="1"/>
    <xf numFmtId="0" fontId="23" fillId="0" borderId="0" xfId="183" applyFont="1" applyFill="1" applyBorder="1" applyAlignment="1"/>
    <xf numFmtId="0" fontId="30" fillId="0" borderId="51" xfId="184" applyFont="1" applyFill="1" applyBorder="1" applyAlignment="1" applyProtection="1">
      <alignment vertical="center"/>
    </xf>
    <xf numFmtId="164" fontId="19" fillId="0" borderId="16" xfId="126" applyNumberFormat="1" applyFont="1" applyFill="1" applyBorder="1" applyAlignment="1" applyProtection="1">
      <alignment horizontal="center" vertical="center" wrapText="1"/>
    </xf>
    <xf numFmtId="164" fontId="19" fillId="0" borderId="17" xfId="126" applyNumberFormat="1" applyFont="1" applyFill="1" applyBorder="1" applyAlignment="1" applyProtection="1">
      <alignment horizontal="center" vertical="center" wrapText="1"/>
    </xf>
    <xf numFmtId="164" fontId="19" fillId="0" borderId="23" xfId="126" applyNumberFormat="1" applyFont="1" applyFill="1" applyBorder="1" applyAlignment="1" applyProtection="1">
      <alignment horizontal="center" vertical="center" wrapText="1"/>
    </xf>
    <xf numFmtId="164" fontId="30" fillId="0" borderId="26" xfId="126" applyNumberFormat="1" applyFont="1" applyFill="1" applyBorder="1" applyAlignment="1" applyProtection="1">
      <alignment horizontal="center" vertical="center"/>
    </xf>
    <xf numFmtId="164" fontId="35" fillId="0" borderId="16" xfId="126" applyNumberFormat="1" applyFont="1" applyFill="1" applyBorder="1" applyAlignment="1" applyProtection="1">
      <alignment horizontal="center" vertical="center" wrapText="1"/>
    </xf>
    <xf numFmtId="164" fontId="35" fillId="0" borderId="17" xfId="126" applyNumberFormat="1" applyFont="1" applyFill="1" applyBorder="1" applyAlignment="1" applyProtection="1">
      <alignment horizontal="center" vertical="center" wrapText="1"/>
    </xf>
    <xf numFmtId="164" fontId="35" fillId="0" borderId="18" xfId="126" applyNumberFormat="1" applyFont="1" applyFill="1" applyBorder="1" applyAlignment="1" applyProtection="1">
      <alignment horizontal="center" vertical="center" wrapText="1"/>
    </xf>
    <xf numFmtId="0" fontId="23" fillId="0" borderId="0" xfId="184" applyFont="1" applyFill="1" applyAlignment="1">
      <alignment horizontal="center" vertical="center"/>
    </xf>
    <xf numFmtId="0" fontId="28" fillId="0" borderId="0" xfId="184" applyFont="1" applyFill="1" applyAlignment="1">
      <alignment horizontal="center" vertical="center" wrapText="1"/>
    </xf>
    <xf numFmtId="41" fontId="30" fillId="0" borderId="24" xfId="126" applyNumberFormat="1" applyFont="1" applyFill="1" applyBorder="1" applyProtection="1"/>
    <xf numFmtId="41" fontId="30" fillId="0" borderId="25" xfId="126" applyNumberFormat="1" applyFont="1" applyFill="1" applyBorder="1" applyProtection="1"/>
    <xf numFmtId="0" fontId="23" fillId="0" borderId="21" xfId="183" applyFont="1" applyFill="1" applyBorder="1" applyAlignment="1">
      <alignment horizontal="center"/>
    </xf>
    <xf numFmtId="41" fontId="23" fillId="0" borderId="21" xfId="126" applyNumberFormat="1" applyFont="1" applyFill="1" applyBorder="1"/>
    <xf numFmtId="0" fontId="23" fillId="0" borderId="0" xfId="183" applyFont="1" applyFill="1" applyBorder="1" applyAlignment="1">
      <alignment horizontal="right"/>
    </xf>
    <xf numFmtId="0" fontId="23" fillId="0" borderId="32" xfId="183" applyFont="1" applyFill="1" applyBorder="1" applyAlignment="1">
      <alignment horizontal="center"/>
    </xf>
    <xf numFmtId="41" fontId="23" fillId="0" borderId="33" xfId="121" applyNumberFormat="1" applyFont="1" applyFill="1" applyBorder="1"/>
    <xf numFmtId="41" fontId="23" fillId="0" borderId="34" xfId="121" applyNumberFormat="1" applyFont="1" applyFill="1" applyBorder="1"/>
    <xf numFmtId="0" fontId="23" fillId="0" borderId="35" xfId="183" applyFont="1" applyFill="1" applyBorder="1" applyAlignment="1">
      <alignment horizontal="center"/>
    </xf>
    <xf numFmtId="41" fontId="23" fillId="0" borderId="27" xfId="121" applyNumberFormat="1" applyFont="1" applyFill="1" applyBorder="1"/>
    <xf numFmtId="41" fontId="23" fillId="0" borderId="36" xfId="121" applyNumberFormat="1" applyFont="1" applyFill="1" applyBorder="1"/>
    <xf numFmtId="3" fontId="44" fillId="0" borderId="21" xfId="125" quotePrefix="1" applyNumberFormat="1" applyFont="1" applyFill="1" applyBorder="1"/>
    <xf numFmtId="0" fontId="36" fillId="0" borderId="0" xfId="183" applyFont="1" applyFill="1" applyAlignment="1" applyProtection="1">
      <alignment horizontal="left"/>
    </xf>
    <xf numFmtId="37" fontId="23" fillId="0" borderId="0" xfId="182" applyNumberFormat="1" applyFont="1" applyFill="1" applyAlignment="1" applyProtection="1">
      <alignment horizontal="center"/>
    </xf>
    <xf numFmtId="164" fontId="30" fillId="0" borderId="0" xfId="121" applyNumberFormat="1" applyFont="1" applyFill="1" applyAlignment="1" applyProtection="1">
      <alignment horizontal="centerContinuous"/>
    </xf>
    <xf numFmtId="0" fontId="24" fillId="0" borderId="0" xfId="183" applyFont="1" applyFill="1" applyAlignment="1" applyProtection="1">
      <alignment horizontal="left"/>
    </xf>
    <xf numFmtId="0" fontId="30" fillId="0" borderId="0" xfId="182" applyFont="1" applyFill="1" applyAlignment="1" applyProtection="1">
      <alignment horizontal="left"/>
    </xf>
    <xf numFmtId="0" fontId="30" fillId="0" borderId="0" xfId="182" applyFont="1" applyFill="1" applyAlignment="1" applyProtection="1">
      <alignment horizontal="centerContinuous"/>
    </xf>
    <xf numFmtId="37" fontId="34" fillId="0" borderId="48" xfId="182" applyNumberFormat="1" applyFont="1" applyFill="1" applyBorder="1" applyAlignment="1" applyProtection="1">
      <alignment horizontal="center" vertical="center" wrapText="1"/>
    </xf>
    <xf numFmtId="164" fontId="34" fillId="0" borderId="25" xfId="121" applyNumberFormat="1" applyFont="1" applyFill="1" applyBorder="1" applyAlignment="1" applyProtection="1">
      <alignment horizontal="center" vertical="center"/>
    </xf>
    <xf numFmtId="37" fontId="34" fillId="0" borderId="12" xfId="182" applyNumberFormat="1" applyFont="1" applyFill="1" applyBorder="1" applyAlignment="1" applyProtection="1">
      <alignment horizontal="center" vertical="center" wrapText="1"/>
    </xf>
    <xf numFmtId="164" fontId="34" fillId="0" borderId="13" xfId="121" applyNumberFormat="1" applyFont="1" applyFill="1" applyBorder="1" applyAlignment="1" applyProtection="1">
      <alignment horizontal="center"/>
    </xf>
    <xf numFmtId="164" fontId="34" fillId="0" borderId="14" xfId="121" applyNumberFormat="1" applyFont="1" applyFill="1" applyBorder="1" applyAlignment="1" applyProtection="1">
      <alignment horizontal="center" wrapText="1"/>
    </xf>
    <xf numFmtId="164" fontId="34" fillId="0" borderId="22" xfId="121" applyNumberFormat="1" applyFont="1" applyFill="1" applyBorder="1" applyAlignment="1" applyProtection="1">
      <alignment horizontal="centerContinuous" wrapText="1"/>
    </xf>
    <xf numFmtId="164" fontId="34" fillId="0" borderId="24" xfId="121" applyNumberFormat="1" applyFont="1" applyFill="1" applyBorder="1" applyAlignment="1" applyProtection="1">
      <alignment horizontal="center" vertical="center" wrapText="1"/>
    </xf>
    <xf numFmtId="164" fontId="34" fillId="0" borderId="13" xfId="121" applyNumberFormat="1" applyFont="1" applyFill="1" applyBorder="1" applyAlignment="1" applyProtection="1">
      <alignment horizontal="center" vertical="center" wrapText="1"/>
    </xf>
    <xf numFmtId="164" fontId="34" fillId="0" borderId="14" xfId="121" applyNumberFormat="1" applyFont="1" applyFill="1" applyBorder="1" applyAlignment="1" applyProtection="1">
      <alignment horizontal="center" vertical="center"/>
    </xf>
    <xf numFmtId="164" fontId="34" fillId="0" borderId="15" xfId="121" applyNumberFormat="1" applyFont="1" applyFill="1" applyBorder="1" applyAlignment="1" applyProtection="1">
      <alignment horizontal="center" vertical="center" wrapText="1"/>
    </xf>
    <xf numFmtId="37" fontId="34" fillId="0" borderId="11" xfId="182" applyNumberFormat="1" applyFont="1" applyFill="1" applyBorder="1" applyAlignment="1" applyProtection="1">
      <alignment horizontal="center" vertical="center" wrapText="1"/>
    </xf>
    <xf numFmtId="164" fontId="35" fillId="0" borderId="16" xfId="121" applyNumberFormat="1" applyFont="1" applyFill="1" applyBorder="1" applyAlignment="1" applyProtection="1">
      <alignment horizontal="center" vertical="center" wrapText="1"/>
    </xf>
    <xf numFmtId="164" fontId="35" fillId="0" borderId="17" xfId="121" applyNumberFormat="1" applyFont="1" applyFill="1" applyBorder="1" applyAlignment="1" applyProtection="1">
      <alignment horizontal="center" vertical="center" wrapText="1"/>
    </xf>
    <xf numFmtId="164" fontId="35" fillId="0" borderId="23" xfId="121" applyNumberFormat="1" applyFont="1" applyFill="1" applyBorder="1" applyAlignment="1" applyProtection="1">
      <alignment horizontal="center" vertical="center" wrapText="1"/>
    </xf>
    <xf numFmtId="164" fontId="34" fillId="0" borderId="26" xfId="121" applyNumberFormat="1" applyFont="1" applyFill="1" applyBorder="1" applyAlignment="1" applyProtection="1">
      <alignment horizontal="center" vertical="center"/>
    </xf>
    <xf numFmtId="164" fontId="35" fillId="0" borderId="18" xfId="121" applyNumberFormat="1" applyFont="1" applyFill="1" applyBorder="1" applyAlignment="1" applyProtection="1">
      <alignment horizontal="center" vertical="center" wrapText="1"/>
    </xf>
    <xf numFmtId="0" fontId="23" fillId="0" borderId="0" xfId="183" applyFont="1" applyFill="1" applyAlignment="1">
      <alignment horizontal="center" vertical="center"/>
    </xf>
    <xf numFmtId="41" fontId="30" fillId="0" borderId="24" xfId="121" applyNumberFormat="1" applyFont="1" applyFill="1" applyBorder="1" applyProtection="1"/>
    <xf numFmtId="168" fontId="30" fillId="0" borderId="24" xfId="121" applyNumberFormat="1" applyFont="1" applyFill="1" applyBorder="1" applyProtection="1"/>
    <xf numFmtId="37" fontId="28" fillId="0" borderId="21" xfId="121" applyNumberFormat="1" applyFont="1" applyFill="1" applyBorder="1"/>
    <xf numFmtId="37" fontId="34" fillId="0" borderId="42" xfId="121" applyNumberFormat="1" applyFont="1" applyFill="1" applyBorder="1"/>
    <xf numFmtId="37" fontId="34" fillId="0" borderId="21" xfId="121" applyNumberFormat="1" applyFont="1" applyFill="1" applyBorder="1"/>
    <xf numFmtId="0" fontId="28" fillId="0" borderId="0" xfId="183" applyFont="1" applyFill="1" applyAlignment="1">
      <alignment horizontal="center" vertical="center"/>
    </xf>
    <xf numFmtId="164" fontId="30" fillId="0" borderId="0" xfId="121" applyNumberFormat="1" applyFont="1" applyFill="1"/>
    <xf numFmtId="164" fontId="23" fillId="0" borderId="33" xfId="121" applyNumberFormat="1" applyFont="1" applyFill="1" applyBorder="1"/>
    <xf numFmtId="164" fontId="23" fillId="0" borderId="34" xfId="121" applyNumberFormat="1" applyFont="1" applyFill="1" applyBorder="1"/>
    <xf numFmtId="0" fontId="55" fillId="0" borderId="0" xfId="0" applyFont="1" applyFill="1"/>
    <xf numFmtId="0" fontId="1" fillId="0" borderId="20" xfId="0" applyFont="1" applyFill="1" applyBorder="1" applyAlignment="1">
      <alignment horizontal="center"/>
    </xf>
    <xf numFmtId="0" fontId="54" fillId="0" borderId="0" xfId="0" applyFont="1" applyFill="1"/>
    <xf numFmtId="0" fontId="54" fillId="0" borderId="0" xfId="0" applyFont="1" applyFill="1" applyAlignment="1">
      <alignment horizontal="center"/>
    </xf>
    <xf numFmtId="41" fontId="1" fillId="0" borderId="21" xfId="0" applyNumberFormat="1" applyFont="1" applyFill="1" applyBorder="1"/>
    <xf numFmtId="38" fontId="17" fillId="0" borderId="0" xfId="179" applyNumberFormat="1" applyFont="1" applyFill="1" applyAlignment="1">
      <alignment horizontal="center"/>
    </xf>
    <xf numFmtId="38" fontId="56" fillId="0" borderId="0" xfId="179" applyNumberFormat="1" applyFill="1"/>
    <xf numFmtId="41" fontId="39" fillId="0" borderId="0" xfId="187" applyNumberFormat="1" applyFont="1" applyFill="1" applyProtection="1"/>
    <xf numFmtId="41" fontId="39" fillId="0" borderId="0" xfId="131" applyNumberFormat="1" applyFont="1" applyFill="1" applyProtection="1"/>
    <xf numFmtId="41" fontId="39" fillId="0" borderId="0" xfId="187" applyNumberFormat="1" applyFont="1" applyFill="1" applyBorder="1" applyProtection="1">
      <protection locked="0"/>
    </xf>
    <xf numFmtId="41" fontId="39" fillId="0" borderId="0" xfId="187" applyNumberFormat="1" applyFont="1" applyFill="1" applyBorder="1" applyProtection="1"/>
    <xf numFmtId="41" fontId="39" fillId="0" borderId="37" xfId="131" applyNumberFormat="1" applyFont="1" applyFill="1" applyBorder="1" applyProtection="1"/>
    <xf numFmtId="41" fontId="39" fillId="0" borderId="39" xfId="187" applyNumberFormat="1" applyFont="1" applyFill="1" applyBorder="1" applyProtection="1"/>
    <xf numFmtId="41" fontId="39" fillId="0" borderId="39" xfId="131" applyNumberFormat="1" applyFont="1" applyFill="1" applyBorder="1" applyProtection="1"/>
    <xf numFmtId="41" fontId="39" fillId="0" borderId="0" xfId="187" quotePrefix="1" applyNumberFormat="1" applyFont="1" applyFill="1" applyProtection="1"/>
    <xf numFmtId="41" fontId="39" fillId="0" borderId="0" xfId="131" applyNumberFormat="1" applyFont="1" applyFill="1" applyBorder="1" applyProtection="1"/>
    <xf numFmtId="41" fontId="39" fillId="0" borderId="0" xfId="187" applyNumberFormat="1" applyFont="1" applyFill="1" applyBorder="1"/>
    <xf numFmtId="41" fontId="39" fillId="0" borderId="0" xfId="187" applyNumberFormat="1" applyFont="1" applyFill="1" applyBorder="1" applyAlignment="1" applyProtection="1">
      <alignment horizontal="right"/>
    </xf>
    <xf numFmtId="41" fontId="39" fillId="0" borderId="10" xfId="131" applyNumberFormat="1" applyFont="1" applyFill="1" applyBorder="1" applyProtection="1"/>
    <xf numFmtId="41" fontId="47" fillId="0" borderId="0" xfId="187" applyNumberFormat="1" applyFont="1" applyFill="1" applyProtection="1"/>
    <xf numFmtId="41" fontId="47" fillId="0" borderId="0" xfId="131" applyNumberFormat="1" applyFont="1" applyFill="1" applyProtection="1"/>
    <xf numFmtId="41" fontId="47" fillId="0" borderId="0" xfId="187" applyNumberFormat="1" applyFont="1" applyFill="1" applyBorder="1" applyProtection="1"/>
    <xf numFmtId="41" fontId="39" fillId="0" borderId="0" xfId="187" quotePrefix="1" applyNumberFormat="1" applyFont="1" applyFill="1" applyBorder="1" applyProtection="1">
      <protection locked="0"/>
    </xf>
    <xf numFmtId="41" fontId="44" fillId="0" borderId="0" xfId="187" applyNumberFormat="1" applyFont="1" applyFill="1" applyBorder="1" applyProtection="1">
      <protection locked="0"/>
    </xf>
    <xf numFmtId="41" fontId="39" fillId="0" borderId="0" xfId="131" applyNumberFormat="1" applyFont="1" applyFill="1"/>
    <xf numFmtId="41" fontId="39" fillId="0" borderId="0" xfId="131" applyNumberFormat="1" applyFont="1" applyFill="1" applyBorder="1"/>
    <xf numFmtId="41" fontId="39" fillId="0" borderId="0" xfId="131" applyNumberFormat="1" applyFont="1" applyFill="1" applyBorder="1" applyAlignment="1" applyProtection="1">
      <alignment horizontal="center"/>
    </xf>
    <xf numFmtId="41" fontId="39" fillId="0" borderId="21" xfId="198" applyNumberFormat="1" applyFont="1" applyFill="1" applyBorder="1" applyProtection="1"/>
    <xf numFmtId="41" fontId="39" fillId="0" borderId="21" xfId="131" applyNumberFormat="1" applyFont="1" applyFill="1" applyBorder="1" applyProtection="1"/>
    <xf numFmtId="41" fontId="39" fillId="0" borderId="21" xfId="187" applyNumberFormat="1" applyFont="1" applyFill="1" applyBorder="1"/>
    <xf numFmtId="41" fontId="39" fillId="0" borderId="21" xfId="131" applyNumberFormat="1" applyFont="1" applyFill="1" applyBorder="1"/>
    <xf numFmtId="41" fontId="39" fillId="0" borderId="21" xfId="187" applyNumberFormat="1" applyFont="1" applyFill="1" applyBorder="1" applyProtection="1"/>
    <xf numFmtId="41" fontId="39" fillId="0" borderId="0" xfId="187" applyNumberFormat="1" applyFont="1" applyFill="1" applyProtection="1">
      <protection locked="0"/>
    </xf>
    <xf numFmtId="41" fontId="39" fillId="0" borderId="0" xfId="187" applyNumberFormat="1" applyFont="1" applyFill="1"/>
    <xf numFmtId="41" fontId="39" fillId="0" borderId="40" xfId="187" applyNumberFormat="1" applyFont="1" applyFill="1" applyBorder="1" applyProtection="1"/>
    <xf numFmtId="41" fontId="39" fillId="0" borderId="40" xfId="131" applyNumberFormat="1" applyFont="1" applyFill="1" applyBorder="1" applyProtection="1"/>
    <xf numFmtId="41" fontId="0" fillId="0" borderId="0" xfId="121" applyNumberFormat="1" applyFont="1" applyFill="1"/>
    <xf numFmtId="41" fontId="0" fillId="0" borderId="0" xfId="0" applyNumberFormat="1" applyFill="1" applyAlignment="1">
      <alignment horizontal="center"/>
    </xf>
    <xf numFmtId="41" fontId="30" fillId="0" borderId="0" xfId="183" applyNumberFormat="1" applyFont="1" applyFill="1" applyAlignment="1" applyProtection="1">
      <alignment horizontal="center"/>
    </xf>
    <xf numFmtId="41" fontId="29" fillId="0" borderId="0" xfId="121" applyNumberFormat="1" applyFont="1" applyFill="1"/>
    <xf numFmtId="0" fontId="52" fillId="24" borderId="31" xfId="172" applyFont="1" applyFill="1" applyBorder="1" applyAlignment="1"/>
    <xf numFmtId="0" fontId="52" fillId="24" borderId="29" xfId="172" applyFont="1" applyFill="1" applyBorder="1" applyAlignment="1"/>
    <xf numFmtId="0" fontId="52" fillId="24" borderId="41" xfId="172" applyFont="1" applyFill="1" applyBorder="1" applyAlignment="1"/>
    <xf numFmtId="0" fontId="65" fillId="24" borderId="31" xfId="172" applyFont="1" applyFill="1" applyBorder="1"/>
    <xf numFmtId="41" fontId="20" fillId="0" borderId="0" xfId="172" applyNumberFormat="1"/>
    <xf numFmtId="41" fontId="30" fillId="0" borderId="0" xfId="182" applyNumberFormat="1" applyFont="1" applyFill="1" applyProtection="1"/>
    <xf numFmtId="41" fontId="30" fillId="0" borderId="0" xfId="182" applyNumberFormat="1" applyFont="1" applyFill="1" applyBorder="1" applyAlignment="1" applyProtection="1">
      <alignment horizontal="center"/>
    </xf>
    <xf numFmtId="41" fontId="30" fillId="0" borderId="0" xfId="182" applyNumberFormat="1" applyFont="1" applyFill="1" applyAlignment="1" applyProtection="1">
      <alignment horizontal="left"/>
    </xf>
    <xf numFmtId="41" fontId="23" fillId="0" borderId="0" xfId="182" applyNumberFormat="1" applyFont="1" applyFill="1" applyAlignment="1">
      <alignment horizontal="center"/>
    </xf>
    <xf numFmtId="0" fontId="31" fillId="0" borderId="0" xfId="183" applyFont="1" applyAlignment="1">
      <alignment horizontal="center" vertical="center" wrapText="1"/>
    </xf>
    <xf numFmtId="0" fontId="31" fillId="0" borderId="0" xfId="183" applyFont="1" applyAlignment="1" applyProtection="1">
      <alignment horizontal="left" vertical="center"/>
    </xf>
    <xf numFmtId="0" fontId="28" fillId="0" borderId="0" xfId="183" applyFont="1" applyAlignment="1">
      <alignment horizontal="center"/>
    </xf>
    <xf numFmtId="0" fontId="27" fillId="0" borderId="27" xfId="183" applyFont="1" applyBorder="1" applyAlignment="1">
      <alignment horizontal="center"/>
    </xf>
    <xf numFmtId="0" fontId="36" fillId="0" borderId="0" xfId="183" applyFont="1" applyAlignment="1" applyProtection="1">
      <alignment horizontal="center"/>
    </xf>
    <xf numFmtId="0" fontId="24" fillId="0" borderId="0" xfId="183" applyFont="1" applyAlignment="1" applyProtection="1">
      <alignment horizontal="center"/>
    </xf>
    <xf numFmtId="0" fontId="25" fillId="0" borderId="0" xfId="183" applyFont="1" applyAlignment="1" applyProtection="1">
      <alignment horizontal="center"/>
    </xf>
    <xf numFmtId="0" fontId="23" fillId="0" borderId="0" xfId="183" applyFont="1" applyAlignment="1">
      <alignment horizontal="center"/>
    </xf>
    <xf numFmtId="0" fontId="59" fillId="0" borderId="0" xfId="173" applyFont="1" applyFill="1" applyAlignment="1">
      <alignment horizontal="right"/>
    </xf>
    <xf numFmtId="0" fontId="31" fillId="0" borderId="0" xfId="172" applyFont="1" applyFill="1" applyAlignment="1">
      <alignment horizontal="center"/>
    </xf>
    <xf numFmtId="0" fontId="37" fillId="0" borderId="0" xfId="172" applyFont="1" applyFill="1" applyAlignment="1">
      <alignment horizontal="center"/>
    </xf>
    <xf numFmtId="0" fontId="23" fillId="0" borderId="0" xfId="172" applyFont="1" applyFill="1" applyAlignment="1">
      <alignment horizontal="center"/>
    </xf>
    <xf numFmtId="0" fontId="23" fillId="0" borderId="32" xfId="172" applyFont="1" applyFill="1" applyBorder="1" applyAlignment="1">
      <alignment horizontal="center" vertical="center"/>
    </xf>
    <xf numFmtId="0" fontId="23" fillId="0" borderId="33" xfId="172" applyFont="1" applyFill="1" applyBorder="1" applyAlignment="1">
      <alignment horizontal="center" vertical="center"/>
    </xf>
    <xf numFmtId="0" fontId="23" fillId="0" borderId="34" xfId="172" applyFont="1" applyFill="1" applyBorder="1" applyAlignment="1">
      <alignment horizontal="center" vertical="center"/>
    </xf>
    <xf numFmtId="0" fontId="0" fillId="0" borderId="35" xfId="0" applyFill="1" applyBorder="1" applyAlignment="1">
      <alignment horizontal="center" vertical="center"/>
    </xf>
    <xf numFmtId="0" fontId="0" fillId="0" borderId="27" xfId="0" applyFill="1" applyBorder="1" applyAlignment="1">
      <alignment horizontal="center" vertical="center"/>
    </xf>
    <xf numFmtId="0" fontId="0" fillId="0" borderId="36" xfId="0" applyFill="1" applyBorder="1" applyAlignment="1">
      <alignment horizontal="center" vertical="center"/>
    </xf>
    <xf numFmtId="0" fontId="28" fillId="0" borderId="0" xfId="0" applyFont="1" applyBorder="1" applyAlignment="1">
      <alignment horizontal="center"/>
    </xf>
    <xf numFmtId="0" fontId="27" fillId="0" borderId="0" xfId="184" applyFont="1" applyFill="1" applyBorder="1" applyAlignment="1">
      <alignment horizontal="center"/>
    </xf>
    <xf numFmtId="0" fontId="28" fillId="0" borderId="64" xfId="184" applyFont="1" applyFill="1" applyBorder="1" applyAlignment="1">
      <alignment horizontal="center" vertical="center"/>
    </xf>
    <xf numFmtId="0" fontId="28" fillId="0" borderId="65" xfId="184" applyFont="1" applyFill="1" applyBorder="1" applyAlignment="1">
      <alignment horizontal="center" vertical="center"/>
    </xf>
    <xf numFmtId="0" fontId="17" fillId="0" borderId="20" xfId="0" applyFont="1" applyFill="1" applyBorder="1" applyAlignment="1">
      <alignment horizontal="center"/>
    </xf>
    <xf numFmtId="0" fontId="62" fillId="0" borderId="20" xfId="0" applyFont="1" applyFill="1" applyBorder="1" applyAlignment="1">
      <alignment horizontal="center"/>
    </xf>
    <xf numFmtId="0" fontId="36" fillId="0" borderId="0" xfId="184" applyFont="1" applyFill="1" applyAlignment="1" applyProtection="1">
      <alignment horizontal="center"/>
    </xf>
    <xf numFmtId="0" fontId="24" fillId="0" borderId="0" xfId="184" applyFont="1" applyFill="1" applyAlignment="1" applyProtection="1">
      <alignment horizontal="center"/>
    </xf>
    <xf numFmtId="0" fontId="25" fillId="0" borderId="0" xfId="184" applyFont="1" applyFill="1" applyAlignment="1" applyProtection="1">
      <alignment horizontal="center"/>
    </xf>
    <xf numFmtId="0" fontId="23" fillId="0" borderId="0" xfId="184" applyFont="1" applyFill="1" applyAlignment="1">
      <alignment horizontal="center"/>
    </xf>
    <xf numFmtId="0" fontId="0" fillId="0" borderId="0" xfId="0" applyFont="1" applyFill="1" applyAlignment="1">
      <alignment horizontal="left" vertical="top" wrapText="1"/>
    </xf>
    <xf numFmtId="43" fontId="34" fillId="0" borderId="49" xfId="121" applyNumberFormat="1" applyFont="1" applyFill="1" applyBorder="1" applyAlignment="1" applyProtection="1">
      <alignment horizontal="center" vertical="center"/>
    </xf>
    <xf numFmtId="43" fontId="34" fillId="0" borderId="52" xfId="121" applyNumberFormat="1" applyFont="1" applyFill="1" applyBorder="1" applyAlignment="1" applyProtection="1">
      <alignment horizontal="center" vertical="center"/>
    </xf>
    <xf numFmtId="43" fontId="34" fillId="0" borderId="56" xfId="121" applyNumberFormat="1" applyFont="1" applyFill="1" applyBorder="1" applyAlignment="1" applyProtection="1">
      <alignment horizontal="center" vertical="center"/>
    </xf>
    <xf numFmtId="0" fontId="34" fillId="0" borderId="48" xfId="184" applyFont="1" applyFill="1" applyBorder="1" applyAlignment="1" applyProtection="1">
      <alignment horizontal="center" vertical="center"/>
    </xf>
    <xf numFmtId="0" fontId="34" fillId="0" borderId="12" xfId="184" applyFont="1" applyFill="1" applyBorder="1" applyAlignment="1" applyProtection="1">
      <alignment horizontal="center" vertical="center"/>
    </xf>
    <xf numFmtId="0" fontId="34" fillId="0" borderId="46" xfId="184" applyFont="1" applyFill="1" applyBorder="1" applyAlignment="1" applyProtection="1">
      <alignment horizontal="center" vertical="center"/>
    </xf>
    <xf numFmtId="0" fontId="63" fillId="0" borderId="21" xfId="183" applyFont="1" applyFill="1" applyBorder="1" applyAlignment="1">
      <alignment horizontal="center"/>
    </xf>
    <xf numFmtId="0" fontId="34" fillId="0" borderId="58" xfId="184" applyFont="1" applyFill="1" applyBorder="1" applyAlignment="1" applyProtection="1">
      <alignment horizontal="center" vertical="center" wrapText="1"/>
    </xf>
    <xf numFmtId="0" fontId="34" fillId="0" borderId="45" xfId="184" applyFont="1" applyFill="1" applyBorder="1" applyAlignment="1" applyProtection="1">
      <alignment horizontal="center" vertical="center" wrapText="1"/>
    </xf>
    <xf numFmtId="0" fontId="34" fillId="0" borderId="11" xfId="184" applyFont="1" applyFill="1" applyBorder="1" applyAlignment="1" applyProtection="1">
      <alignment horizontal="center" vertical="center" wrapText="1"/>
    </xf>
    <xf numFmtId="0" fontId="37" fillId="0" borderId="32" xfId="183" applyFont="1" applyFill="1" applyBorder="1" applyAlignment="1">
      <alignment horizontal="center" vertical="center" wrapText="1"/>
    </xf>
    <xf numFmtId="0" fontId="36" fillId="0" borderId="33" xfId="0" applyFont="1" applyFill="1" applyBorder="1" applyAlignment="1">
      <alignment horizontal="center" vertical="center" wrapText="1"/>
    </xf>
    <xf numFmtId="0" fontId="36" fillId="0" borderId="5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0" fillId="0" borderId="35" xfId="0" applyFill="1" applyBorder="1" applyAlignment="1">
      <alignment wrapText="1"/>
    </xf>
    <xf numFmtId="0" fontId="0" fillId="0" borderId="27" xfId="0" applyFill="1" applyBorder="1" applyAlignment="1">
      <alignment wrapText="1"/>
    </xf>
    <xf numFmtId="43" fontId="34" fillId="0" borderId="66" xfId="121" applyNumberFormat="1" applyFont="1" applyFill="1" applyBorder="1" applyAlignment="1" applyProtection="1">
      <alignment horizontal="center" vertical="center" wrapText="1"/>
    </xf>
    <xf numFmtId="43" fontId="34" fillId="0" borderId="52" xfId="121" applyNumberFormat="1" applyFont="1" applyFill="1" applyBorder="1" applyAlignment="1" applyProtection="1">
      <alignment horizontal="center" vertical="center" wrapText="1"/>
    </xf>
    <xf numFmtId="43" fontId="34" fillId="0" borderId="53" xfId="121" applyNumberFormat="1" applyFont="1" applyFill="1" applyBorder="1" applyAlignment="1" applyProtection="1">
      <alignment horizontal="center" vertical="center" wrapText="1"/>
    </xf>
    <xf numFmtId="164" fontId="28" fillId="0" borderId="49" xfId="126" applyNumberFormat="1" applyFont="1" applyFill="1" applyBorder="1" applyAlignment="1" applyProtection="1">
      <alignment horizontal="center" vertical="center"/>
    </xf>
    <xf numFmtId="164" fontId="28" fillId="0" borderId="52" xfId="126" applyNumberFormat="1" applyFont="1" applyFill="1" applyBorder="1" applyAlignment="1" applyProtection="1">
      <alignment horizontal="center" vertical="center"/>
    </xf>
    <xf numFmtId="164" fontId="28" fillId="0" borderId="56" xfId="126" applyNumberFormat="1" applyFont="1" applyFill="1" applyBorder="1" applyAlignment="1" applyProtection="1">
      <alignment horizontal="center" vertical="center"/>
    </xf>
    <xf numFmtId="4" fontId="39" fillId="0" borderId="0" xfId="187" applyNumberFormat="1" applyFont="1" applyFill="1" applyAlignment="1" applyProtection="1">
      <alignment horizontal="center" vertical="center" wrapText="1"/>
    </xf>
    <xf numFmtId="4" fontId="39" fillId="0" borderId="37" xfId="187" applyNumberFormat="1" applyFont="1" applyFill="1" applyBorder="1" applyAlignment="1" applyProtection="1">
      <alignment horizontal="center" vertical="center" wrapText="1"/>
    </xf>
    <xf numFmtId="0" fontId="40" fillId="0" borderId="0" xfId="187" applyFont="1" applyFill="1" applyAlignment="1" applyProtection="1">
      <alignment horizontal="center"/>
    </xf>
    <xf numFmtId="3" fontId="49" fillId="0" borderId="0" xfId="187" applyNumberFormat="1" applyFont="1" applyFill="1" applyAlignment="1" applyProtection="1">
      <alignment horizontal="center"/>
    </xf>
    <xf numFmtId="39" fontId="39" fillId="0" borderId="0" xfId="187" applyNumberFormat="1" applyFont="1" applyFill="1" applyAlignment="1" applyProtection="1">
      <alignment horizontal="center" vertical="center" wrapText="1"/>
    </xf>
    <xf numFmtId="39" fontId="39" fillId="0" borderId="37" xfId="187" applyNumberFormat="1" applyFont="1" applyFill="1" applyBorder="1" applyAlignment="1" applyProtection="1">
      <alignment horizontal="center" vertical="center" wrapText="1"/>
    </xf>
    <xf numFmtId="0" fontId="63" fillId="0" borderId="0" xfId="184" applyFont="1" applyFill="1" applyAlignment="1">
      <alignment horizontal="center"/>
    </xf>
    <xf numFmtId="0" fontId="55" fillId="0" borderId="32" xfId="182" applyFont="1" applyFill="1" applyBorder="1" applyAlignment="1" applyProtection="1">
      <alignment horizontal="center" vertical="center" wrapText="1"/>
    </xf>
    <xf numFmtId="0" fontId="0" fillId="0" borderId="60"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61" xfId="0" applyFill="1" applyBorder="1" applyAlignment="1">
      <alignment horizontal="center" vertical="center" wrapText="1"/>
    </xf>
    <xf numFmtId="0" fontId="34" fillId="0" borderId="47" xfId="182" applyFont="1" applyFill="1" applyBorder="1" applyAlignment="1" applyProtection="1">
      <alignment horizontal="center" vertical="center"/>
    </xf>
    <xf numFmtId="0" fontId="34" fillId="0" borderId="50" xfId="182" applyFont="1" applyFill="1" applyBorder="1" applyAlignment="1" applyProtection="1">
      <alignment horizontal="center" vertical="center"/>
    </xf>
    <xf numFmtId="0" fontId="34" fillId="0" borderId="51" xfId="182" applyFont="1" applyFill="1" applyBorder="1" applyAlignment="1" applyProtection="1">
      <alignment horizontal="center" vertical="center"/>
    </xf>
    <xf numFmtId="37" fontId="34" fillId="0" borderId="58" xfId="182" applyNumberFormat="1" applyFont="1" applyFill="1" applyBorder="1" applyAlignment="1" applyProtection="1">
      <alignment horizontal="center" vertical="center" wrapText="1"/>
    </xf>
    <xf numFmtId="37" fontId="34" fillId="0" borderId="45" xfId="182" applyNumberFormat="1" applyFont="1" applyFill="1" applyBorder="1" applyAlignment="1" applyProtection="1">
      <alignment horizontal="center" vertical="center" wrapText="1"/>
    </xf>
    <xf numFmtId="37" fontId="34" fillId="0" borderId="11" xfId="182" applyNumberFormat="1" applyFont="1" applyFill="1" applyBorder="1" applyAlignment="1" applyProtection="1">
      <alignment horizontal="center" vertical="center" wrapText="1"/>
    </xf>
    <xf numFmtId="164" fontId="34" fillId="0" borderId="49" xfId="121" applyNumberFormat="1" applyFont="1" applyFill="1" applyBorder="1" applyAlignment="1" applyProtection="1">
      <alignment horizontal="center" vertical="center"/>
    </xf>
    <xf numFmtId="164" fontId="34" fillId="0" borderId="52" xfId="121" applyNumberFormat="1" applyFont="1" applyFill="1" applyBorder="1" applyAlignment="1" applyProtection="1">
      <alignment horizontal="center" vertical="center"/>
    </xf>
    <xf numFmtId="164" fontId="34" fillId="0" borderId="56" xfId="121" applyNumberFormat="1" applyFont="1" applyFill="1" applyBorder="1" applyAlignment="1" applyProtection="1">
      <alignment horizontal="center" vertical="center"/>
    </xf>
    <xf numFmtId="0" fontId="1" fillId="0" borderId="62" xfId="0" applyFont="1" applyFill="1" applyBorder="1" applyAlignment="1">
      <alignment horizontal="center"/>
    </xf>
    <xf numFmtId="0" fontId="1" fillId="0" borderId="39" xfId="0" applyFont="1" applyFill="1" applyBorder="1" applyAlignment="1">
      <alignment horizontal="center"/>
    </xf>
    <xf numFmtId="0" fontId="1" fillId="0" borderId="63" xfId="0" applyFont="1" applyFill="1" applyBorder="1" applyAlignment="1">
      <alignment horizontal="center"/>
    </xf>
    <xf numFmtId="0" fontId="1" fillId="0" borderId="10" xfId="0" applyFont="1" applyFill="1" applyBorder="1" applyAlignment="1">
      <alignment horizontal="center"/>
    </xf>
    <xf numFmtId="0" fontId="17" fillId="0" borderId="29" xfId="0" applyFont="1" applyFill="1" applyBorder="1" applyAlignment="1">
      <alignment horizontal="center"/>
    </xf>
    <xf numFmtId="0" fontId="17" fillId="0" borderId="41" xfId="0" applyFont="1" applyFill="1" applyBorder="1" applyAlignment="1">
      <alignment horizontal="center"/>
    </xf>
    <xf numFmtId="0" fontId="52" fillId="0" borderId="31" xfId="172" applyFont="1" applyFill="1" applyBorder="1" applyAlignment="1">
      <alignment horizontal="center"/>
    </xf>
    <xf numFmtId="0" fontId="52" fillId="0" borderId="29" xfId="172" applyFont="1" applyFill="1" applyBorder="1" applyAlignment="1">
      <alignment horizontal="center"/>
    </xf>
    <xf numFmtId="0" fontId="52" fillId="0" borderId="41" xfId="172" applyFont="1" applyFill="1" applyBorder="1" applyAlignment="1">
      <alignment horizontal="center"/>
    </xf>
    <xf numFmtId="0" fontId="17" fillId="0" borderId="31" xfId="0" applyFont="1" applyFill="1" applyBorder="1" applyAlignment="1">
      <alignment horizontal="center"/>
    </xf>
    <xf numFmtId="164" fontId="21" fillId="0" borderId="31" xfId="172" applyNumberFormat="1" applyFont="1" applyBorder="1" applyAlignment="1">
      <alignment horizontal="center" wrapText="1"/>
    </xf>
    <xf numFmtId="164" fontId="21" fillId="0" borderId="29" xfId="172" applyNumberFormat="1" applyFont="1" applyBorder="1" applyAlignment="1">
      <alignment horizontal="center"/>
    </xf>
    <xf numFmtId="164" fontId="21" fillId="0" borderId="41" xfId="172" applyNumberFormat="1" applyFont="1" applyBorder="1" applyAlignment="1">
      <alignment horizontal="center"/>
    </xf>
    <xf numFmtId="0" fontId="52" fillId="24" borderId="31" xfId="172" applyFont="1" applyFill="1" applyBorder="1" applyAlignment="1">
      <alignment horizontal="center"/>
    </xf>
    <xf numFmtId="0" fontId="52" fillId="24" borderId="29" xfId="172" applyFont="1" applyFill="1" applyBorder="1" applyAlignment="1">
      <alignment horizontal="center"/>
    </xf>
    <xf numFmtId="0" fontId="52" fillId="24" borderId="41" xfId="172" applyFont="1" applyFill="1" applyBorder="1" applyAlignment="1">
      <alignment horizontal="center"/>
    </xf>
    <xf numFmtId="164" fontId="20" fillId="0" borderId="0" xfId="172" applyNumberFormat="1" applyAlignment="1">
      <alignment horizontal="center"/>
    </xf>
  </cellXfs>
  <cellStyles count="218">
    <cellStyle name="20% - Accent1" xfId="1" builtinId="30" customBuiltin="1"/>
    <cellStyle name="20% - Accent1 2" xfId="2"/>
    <cellStyle name="20% - Accent1 3" xfId="3"/>
    <cellStyle name="20% - Accent1 4" xfId="4"/>
    <cellStyle name="20% - Accent1 5" xfId="5"/>
    <cellStyle name="20% - Accent2" xfId="6" builtinId="34" customBuiltin="1"/>
    <cellStyle name="20% - Accent2 2" xfId="7"/>
    <cellStyle name="20% - Accent2 3" xfId="8"/>
    <cellStyle name="20% - Accent2 4" xfId="9"/>
    <cellStyle name="20% - Accent2 5" xfId="10"/>
    <cellStyle name="20% - Accent3" xfId="11" builtinId="38" customBuiltin="1"/>
    <cellStyle name="20% - Accent3 2" xfId="12"/>
    <cellStyle name="20% - Accent3 3" xfId="13"/>
    <cellStyle name="20% - Accent3 4" xfId="14"/>
    <cellStyle name="20% - Accent3 5" xfId="15"/>
    <cellStyle name="20% - Accent4" xfId="16" builtinId="42" customBuiltin="1"/>
    <cellStyle name="20% - Accent4 2" xfId="17"/>
    <cellStyle name="20% - Accent4 3" xfId="18"/>
    <cellStyle name="20% - Accent4 4" xfId="19"/>
    <cellStyle name="20% - Accent4 5" xfId="20"/>
    <cellStyle name="20% - Accent5" xfId="21" builtinId="46" customBuiltin="1"/>
    <cellStyle name="20% - Accent5 2" xfId="22"/>
    <cellStyle name="20% - Accent5 3" xfId="23"/>
    <cellStyle name="20% - Accent5 4" xfId="24"/>
    <cellStyle name="20% - Accent5 5" xfId="25"/>
    <cellStyle name="20% - Accent6" xfId="26" builtinId="50" customBuiltin="1"/>
    <cellStyle name="20% - Accent6 2" xfId="27"/>
    <cellStyle name="20% - Accent6 3" xfId="28"/>
    <cellStyle name="20% - Accent6 4" xfId="29"/>
    <cellStyle name="20% - Accent6 5" xfId="30"/>
    <cellStyle name="40% - Accent1" xfId="31" builtinId="31" customBuiltin="1"/>
    <cellStyle name="40% - Accent1 2" xfId="32"/>
    <cellStyle name="40% - Accent1 3" xfId="33"/>
    <cellStyle name="40% - Accent1 4" xfId="34"/>
    <cellStyle name="40% - Accent1 5" xfId="35"/>
    <cellStyle name="40% - Accent2" xfId="36" builtinId="35" customBuiltin="1"/>
    <cellStyle name="40% - Accent2 2" xfId="37"/>
    <cellStyle name="40% - Accent2 3" xfId="38"/>
    <cellStyle name="40% - Accent2 4" xfId="39"/>
    <cellStyle name="40% - Accent2 5" xfId="40"/>
    <cellStyle name="40% - Accent3" xfId="41" builtinId="39" customBuiltin="1"/>
    <cellStyle name="40% - Accent3 2" xfId="42"/>
    <cellStyle name="40% - Accent3 3" xfId="43"/>
    <cellStyle name="40% - Accent3 4" xfId="44"/>
    <cellStyle name="40% - Accent3 5" xfId="45"/>
    <cellStyle name="40% - Accent4" xfId="46" builtinId="43" customBuiltin="1"/>
    <cellStyle name="40% - Accent4 2" xfId="47"/>
    <cellStyle name="40% - Accent4 3" xfId="48"/>
    <cellStyle name="40% - Accent4 4" xfId="49"/>
    <cellStyle name="40% - Accent4 5" xfId="50"/>
    <cellStyle name="40% - Accent5" xfId="51" builtinId="47" customBuiltin="1"/>
    <cellStyle name="40% - Accent5 2" xfId="52"/>
    <cellStyle name="40% - Accent5 3" xfId="53"/>
    <cellStyle name="40% - Accent5 4" xfId="54"/>
    <cellStyle name="40% - Accent5 5" xfId="55"/>
    <cellStyle name="40% - Accent6" xfId="56" builtinId="51" customBuiltin="1"/>
    <cellStyle name="40% - Accent6 2" xfId="57"/>
    <cellStyle name="40% - Accent6 3" xfId="58"/>
    <cellStyle name="40% - Accent6 4" xfId="59"/>
    <cellStyle name="40% - Accent6 5" xfId="60"/>
    <cellStyle name="60% - Accent1" xfId="61" builtinId="32" customBuiltin="1"/>
    <cellStyle name="60% - Accent1 2" xfId="62"/>
    <cellStyle name="60% - Accent1 3" xfId="63"/>
    <cellStyle name="60% - Accent1 4" xfId="64"/>
    <cellStyle name="60% - Accent2" xfId="65" builtinId="36" customBuiltin="1"/>
    <cellStyle name="60% - Accent2 2" xfId="66"/>
    <cellStyle name="60% - Accent2 3" xfId="67"/>
    <cellStyle name="60% - Accent2 4" xfId="68"/>
    <cellStyle name="60% - Accent3" xfId="69" builtinId="40" customBuiltin="1"/>
    <cellStyle name="60% - Accent3 2" xfId="70"/>
    <cellStyle name="60% - Accent3 3" xfId="71"/>
    <cellStyle name="60% - Accent3 4" xfId="72"/>
    <cellStyle name="60% - Accent4" xfId="73" builtinId="44" customBuiltin="1"/>
    <cellStyle name="60% - Accent4 2" xfId="74"/>
    <cellStyle name="60% - Accent4 3" xfId="75"/>
    <cellStyle name="60% - Accent4 4" xfId="76"/>
    <cellStyle name="60% - Accent5" xfId="77" builtinId="48" customBuiltin="1"/>
    <cellStyle name="60% - Accent5 2" xfId="78"/>
    <cellStyle name="60% - Accent5 3" xfId="79"/>
    <cellStyle name="60% - Accent5 4" xfId="80"/>
    <cellStyle name="60% - Accent6" xfId="81" builtinId="52" customBuiltin="1"/>
    <cellStyle name="60% - Accent6 2" xfId="82"/>
    <cellStyle name="60% - Accent6 3" xfId="83"/>
    <cellStyle name="60% - Accent6 4" xfId="84"/>
    <cellStyle name="Accent1" xfId="85" builtinId="29" customBuiltin="1"/>
    <cellStyle name="Accent1 2" xfId="86"/>
    <cellStyle name="Accent1 3" xfId="87"/>
    <cellStyle name="Accent1 4" xfId="88"/>
    <cellStyle name="Accent2" xfId="89" builtinId="33" customBuiltin="1"/>
    <cellStyle name="Accent2 2" xfId="90"/>
    <cellStyle name="Accent2 3" xfId="91"/>
    <cellStyle name="Accent2 4" xfId="92"/>
    <cellStyle name="Accent3" xfId="93" builtinId="37" customBuiltin="1"/>
    <cellStyle name="Accent3 2" xfId="94"/>
    <cellStyle name="Accent3 3" xfId="95"/>
    <cellStyle name="Accent3 4" xfId="96"/>
    <cellStyle name="Accent4" xfId="97" builtinId="41" customBuiltin="1"/>
    <cellStyle name="Accent4 2" xfId="98"/>
    <cellStyle name="Accent4 3" xfId="99"/>
    <cellStyle name="Accent4 4" xfId="100"/>
    <cellStyle name="Accent5" xfId="101" builtinId="45" customBuiltin="1"/>
    <cellStyle name="Accent5 2" xfId="102"/>
    <cellStyle name="Accent5 3" xfId="103"/>
    <cellStyle name="Accent5 4" xfId="104"/>
    <cellStyle name="Accent6" xfId="105" builtinId="49" customBuiltin="1"/>
    <cellStyle name="Accent6 2" xfId="106"/>
    <cellStyle name="Accent6 3" xfId="107"/>
    <cellStyle name="Accent6 4" xfId="108"/>
    <cellStyle name="Bad" xfId="109" builtinId="27" customBuiltin="1"/>
    <cellStyle name="Bad 2" xfId="110"/>
    <cellStyle name="Bad 3" xfId="111"/>
    <cellStyle name="Bad 4" xfId="112"/>
    <cellStyle name="Calculation" xfId="113" builtinId="22" customBuiltin="1"/>
    <cellStyle name="Calculation 2" xfId="114"/>
    <cellStyle name="Calculation 3" xfId="115"/>
    <cellStyle name="Calculation 4" xfId="116"/>
    <cellStyle name="Check Cell" xfId="117" builtinId="23" customBuiltin="1"/>
    <cellStyle name="Check Cell 2" xfId="118"/>
    <cellStyle name="Check Cell 3" xfId="119"/>
    <cellStyle name="Check Cell 4" xfId="120"/>
    <cellStyle name="Comma" xfId="121" builtinId="3"/>
    <cellStyle name="Comma 2" xfId="122"/>
    <cellStyle name="Comma 2 2" xfId="123"/>
    <cellStyle name="Comma 3" xfId="124"/>
    <cellStyle name="Comma 3 2" xfId="125"/>
    <cellStyle name="Comma 4" xfId="126"/>
    <cellStyle name="Comma 5" xfId="127"/>
    <cellStyle name="Comma 6" xfId="128"/>
    <cellStyle name="Comma 7" xfId="129"/>
    <cellStyle name="Comma 8" xfId="130"/>
    <cellStyle name="Currency" xfId="131" builtinId="4"/>
    <cellStyle name="Currency 2" xfId="132"/>
    <cellStyle name="Currency 3" xfId="133"/>
    <cellStyle name="Currency 4" xfId="134"/>
    <cellStyle name="Currency 5" xfId="135"/>
    <cellStyle name="Explanatory Text" xfId="136" builtinId="53" customBuiltin="1"/>
    <cellStyle name="Explanatory Text 2" xfId="137"/>
    <cellStyle name="Explanatory Text 3" xfId="138"/>
    <cellStyle name="Explanatory Text 4" xfId="139"/>
    <cellStyle name="Good" xfId="140" builtinId="26" customBuiltin="1"/>
    <cellStyle name="Good 2" xfId="141"/>
    <cellStyle name="Good 3" xfId="142"/>
    <cellStyle name="Good 4" xfId="143"/>
    <cellStyle name="Heading 1" xfId="144" builtinId="16" customBuiltin="1"/>
    <cellStyle name="Heading 1 2" xfId="145"/>
    <cellStyle name="Heading 1 3" xfId="146"/>
    <cellStyle name="Heading 1 4" xfId="147"/>
    <cellStyle name="Heading 2" xfId="148" builtinId="17" customBuiltin="1"/>
    <cellStyle name="Heading 2 2" xfId="149"/>
    <cellStyle name="Heading 2 3" xfId="150"/>
    <cellStyle name="Heading 2 4" xfId="151"/>
    <cellStyle name="Heading 3" xfId="152" builtinId="18" customBuiltin="1"/>
    <cellStyle name="Heading 3 2" xfId="153"/>
    <cellStyle name="Heading 3 3" xfId="154"/>
    <cellStyle name="Heading 3 4" xfId="155"/>
    <cellStyle name="Heading 4" xfId="156" builtinId="19" customBuiltin="1"/>
    <cellStyle name="Heading 4 2" xfId="157"/>
    <cellStyle name="Heading 4 3" xfId="158"/>
    <cellStyle name="Heading 4 4" xfId="159"/>
    <cellStyle name="Input" xfId="160" builtinId="20" customBuiltin="1"/>
    <cellStyle name="Input 2" xfId="161"/>
    <cellStyle name="Input 3" xfId="162"/>
    <cellStyle name="Input 4" xfId="163"/>
    <cellStyle name="Linked Cell" xfId="164" builtinId="24" customBuiltin="1"/>
    <cellStyle name="Linked Cell 2" xfId="165"/>
    <cellStyle name="Linked Cell 3" xfId="166"/>
    <cellStyle name="Linked Cell 4" xfId="167"/>
    <cellStyle name="Neutral" xfId="168" builtinId="28" customBuiltin="1"/>
    <cellStyle name="Neutral 2" xfId="169"/>
    <cellStyle name="Neutral 3" xfId="170"/>
    <cellStyle name="Neutral 4" xfId="171"/>
    <cellStyle name="Normal" xfId="0" builtinId="0"/>
    <cellStyle name="Normal 2" xfId="172"/>
    <cellStyle name="Normal 2 2" xfId="173"/>
    <cellStyle name="Normal 3" xfId="174"/>
    <cellStyle name="Normal 4" xfId="175"/>
    <cellStyle name="Normal 5" xfId="176"/>
    <cellStyle name="Normal 5 2" xfId="177"/>
    <cellStyle name="Normal 6" xfId="178"/>
    <cellStyle name="Normal 7" xfId="179"/>
    <cellStyle name="Normal 8" xfId="180"/>
    <cellStyle name="Normal 9" xfId="181"/>
    <cellStyle name="Normal_2008 ISO Transmission Study" xfId="182"/>
    <cellStyle name="Normal_2008 ISO Transmission Study test v1" xfId="183"/>
    <cellStyle name="Normal_2008 ISO Transmission Study test v1 2" xfId="184"/>
    <cellStyle name="Normal_2008 ISO Transmission Study test v1_TS by Location" xfId="185"/>
    <cellStyle name="Normal_2008 ISO Transmission Study_DS by Location" xfId="186"/>
    <cellStyle name="Normal_ISO TransLines ao 12-2005" xfId="187"/>
    <cellStyle name="Normal_'Work Order' to 'Plant Locations'" xfId="188"/>
    <cellStyle name="Note" xfId="189" builtinId="10" customBuiltin="1"/>
    <cellStyle name="Note 2" xfId="190"/>
    <cellStyle name="Note 3" xfId="191"/>
    <cellStyle name="Note 4" xfId="192"/>
    <cellStyle name="Note 5" xfId="193"/>
    <cellStyle name="Output" xfId="194" builtinId="21" customBuiltin="1"/>
    <cellStyle name="Output 2" xfId="195"/>
    <cellStyle name="Output 3" xfId="196"/>
    <cellStyle name="Output 4" xfId="197"/>
    <cellStyle name="Percent" xfId="198" builtinId="5"/>
    <cellStyle name="Percent 2" xfId="199"/>
    <cellStyle name="Percent 3" xfId="200"/>
    <cellStyle name="Percent 3 2" xfId="201"/>
    <cellStyle name="Percent 4" xfId="202"/>
    <cellStyle name="Percent 5" xfId="203"/>
    <cellStyle name="Percent 6" xfId="204"/>
    <cellStyle name="Percent 7" xfId="205"/>
    <cellStyle name="Title" xfId="206" builtinId="15" customBuiltin="1"/>
    <cellStyle name="Title 2" xfId="207"/>
    <cellStyle name="Title 3" xfId="208"/>
    <cellStyle name="Title 4" xfId="209"/>
    <cellStyle name="Total" xfId="210" builtinId="25" customBuiltin="1"/>
    <cellStyle name="Total 2" xfId="211"/>
    <cellStyle name="Total 3" xfId="212"/>
    <cellStyle name="Total 4" xfId="213"/>
    <cellStyle name="Warning Text" xfId="214" builtinId="11" customBuiltin="1"/>
    <cellStyle name="Warning Text 2" xfId="215"/>
    <cellStyle name="Warning Text 3" xfId="216"/>
    <cellStyle name="Warning Text 4" xfId="217"/>
  </cellStyles>
  <dxfs count="78">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2" dropStyle="combo" dx="16" fmlaLink="$J$1" fmlaRange="$I$3:$I$4"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0</xdr:row>
          <xdr:rowOff>0</xdr:rowOff>
        </xdr:from>
        <xdr:to>
          <xdr:col>9</xdr:col>
          <xdr:colOff>323850</xdr:colOff>
          <xdr:row>0</xdr:row>
          <xdr:rowOff>200025</xdr:rowOff>
        </xdr:to>
        <xdr:sp macro="" textlink="">
          <xdr:nvSpPr>
            <xdr:cNvPr id="21507" name="Drop Down 3" hidden="1">
              <a:extLst>
                <a:ext uri="{63B3BB69-23CF-44E3-9099-C40C66FF867C}">
                  <a14:compatExt spid="_x0000_s21507"/>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rgb="FFFFFF00"/>
    <pageSetUpPr fitToPage="1"/>
  </sheetPr>
  <dimension ref="A1:Q47"/>
  <sheetViews>
    <sheetView tabSelected="1" zoomScale="93" zoomScaleNormal="93" zoomScalePageLayoutView="60" workbookViewId="0">
      <selection sqref="A1:E1"/>
    </sheetView>
  </sheetViews>
  <sheetFormatPr defaultRowHeight="12.75" x14ac:dyDescent="0.2"/>
  <cols>
    <col min="1" max="1" width="20.42578125" style="1" customWidth="1"/>
    <col min="2" max="2" width="14" style="1" bestFit="1" customWidth="1"/>
    <col min="3" max="4" width="18" style="1" customWidth="1"/>
    <col min="5" max="5" width="12.28515625" style="1" customWidth="1"/>
    <col min="6" max="6" width="47.85546875" style="1" customWidth="1"/>
    <col min="7" max="7" width="11.140625" style="1" customWidth="1"/>
    <col min="8" max="8" width="5.28515625" style="1" customWidth="1"/>
    <col min="9" max="9" width="18" style="1" customWidth="1"/>
    <col min="10" max="10" width="6.28515625" style="225" customWidth="1"/>
    <col min="11" max="11" width="3.28515625" style="1" customWidth="1"/>
    <col min="12" max="12" width="2" style="225" bestFit="1" customWidth="1"/>
    <col min="13" max="13" width="2" style="1" bestFit="1" customWidth="1"/>
    <col min="14" max="14" width="18.140625" style="1" bestFit="1" customWidth="1"/>
    <col min="15" max="15" width="11" style="1" bestFit="1" customWidth="1"/>
    <col min="16" max="16384" width="9.140625" style="1"/>
  </cols>
  <sheetData>
    <row r="1" spans="1:17" ht="18.75" x14ac:dyDescent="0.3">
      <c r="A1" s="643" t="s">
        <v>1430</v>
      </c>
      <c r="B1" s="643"/>
      <c r="C1" s="643"/>
      <c r="D1" s="643"/>
      <c r="E1" s="643"/>
      <c r="H1" s="641" t="s">
        <v>111</v>
      </c>
      <c r="I1" s="641"/>
      <c r="J1" s="224">
        <v>2</v>
      </c>
      <c r="K1" s="640" t="str">
        <f>IF(J1=1,K3,IF(J1=2,K4,""))</f>
        <v>Assuming EKWRA Reconfiguration HAS NOT occurred</v>
      </c>
      <c r="L1" s="640"/>
      <c r="M1" s="640"/>
      <c r="N1" s="640"/>
      <c r="O1" s="640"/>
      <c r="P1" s="640"/>
      <c r="Q1" s="640"/>
    </row>
    <row r="2" spans="1:17" ht="15.75" x14ac:dyDescent="0.25">
      <c r="A2" s="644" t="s">
        <v>980</v>
      </c>
      <c r="B2" s="644"/>
      <c r="C2" s="644"/>
      <c r="D2" s="644"/>
      <c r="E2" s="644"/>
    </row>
    <row r="3" spans="1:17" ht="15.75" x14ac:dyDescent="0.25">
      <c r="A3" s="645" t="s">
        <v>1715</v>
      </c>
      <c r="B3" s="645"/>
      <c r="C3" s="645"/>
      <c r="D3" s="645"/>
      <c r="E3" s="645"/>
      <c r="I3" s="108">
        <v>1</v>
      </c>
      <c r="J3" s="226" t="s">
        <v>1457</v>
      </c>
      <c r="K3" s="1" t="s">
        <v>116</v>
      </c>
    </row>
    <row r="4" spans="1:17" ht="18.75" customHeight="1" x14ac:dyDescent="0.2">
      <c r="C4" s="109"/>
      <c r="I4" s="108">
        <v>2</v>
      </c>
      <c r="J4" s="226" t="s">
        <v>1457</v>
      </c>
      <c r="K4" s="1" t="s">
        <v>117</v>
      </c>
    </row>
    <row r="5" spans="1:17" x14ac:dyDescent="0.2">
      <c r="A5" s="646" t="s">
        <v>981</v>
      </c>
      <c r="B5" s="646"/>
      <c r="C5" s="646"/>
      <c r="D5" s="646"/>
      <c r="E5" s="646"/>
    </row>
    <row r="6" spans="1:17" ht="16.5" thickBot="1" x14ac:dyDescent="0.3">
      <c r="A6" s="642" t="s">
        <v>982</v>
      </c>
      <c r="B6" s="642"/>
      <c r="C6" s="642"/>
      <c r="D6" s="642"/>
      <c r="E6" s="642"/>
      <c r="G6" s="116" t="s">
        <v>1507</v>
      </c>
      <c r="I6" s="60"/>
    </row>
    <row r="7" spans="1:17" s="2" customFormat="1" ht="30" customHeight="1" x14ac:dyDescent="0.2">
      <c r="A7" s="80"/>
      <c r="B7" s="81" t="s">
        <v>1716</v>
      </c>
      <c r="C7" s="81" t="s">
        <v>983</v>
      </c>
      <c r="D7" s="81" t="s">
        <v>984</v>
      </c>
      <c r="E7" s="82" t="s">
        <v>985</v>
      </c>
      <c r="G7" s="639" t="s">
        <v>1717</v>
      </c>
      <c r="H7" s="639"/>
      <c r="I7" s="60"/>
      <c r="J7" s="225"/>
      <c r="K7" s="114"/>
      <c r="L7" s="228"/>
    </row>
    <row r="8" spans="1:17" x14ac:dyDescent="0.2">
      <c r="A8" s="58" t="s">
        <v>3369</v>
      </c>
      <c r="B8" s="58"/>
      <c r="C8" s="59"/>
      <c r="D8" s="59"/>
      <c r="E8" s="60"/>
      <c r="H8" s="115"/>
      <c r="I8" s="60"/>
      <c r="K8" s="60"/>
    </row>
    <row r="9" spans="1:17" x14ac:dyDescent="0.2">
      <c r="A9" s="55">
        <v>350</v>
      </c>
      <c r="B9" s="5">
        <v>238723489</v>
      </c>
      <c r="C9" s="5">
        <f>'TS by Location'!D475</f>
        <v>238723489.63000003</v>
      </c>
      <c r="D9" s="117">
        <f>'TS by Location'!H475</f>
        <v>156698449.76800469</v>
      </c>
      <c r="E9" s="6">
        <f>D9/C9</f>
        <v>0.65640147105286206</v>
      </c>
      <c r="G9" s="1" t="str">
        <f>IF(B9=C9,"OK ","Check")</f>
        <v>Check</v>
      </c>
      <c r="H9" s="329">
        <f>B:B-C:C</f>
        <v>-0.63000002503395081</v>
      </c>
      <c r="I9" s="60"/>
    </row>
    <row r="10" spans="1:17" x14ac:dyDescent="0.2">
      <c r="A10" s="55"/>
      <c r="B10" s="7"/>
      <c r="C10" s="7"/>
      <c r="D10" s="7"/>
      <c r="E10" s="8"/>
      <c r="H10" s="329"/>
      <c r="I10" s="60"/>
      <c r="K10" s="223"/>
    </row>
    <row r="11" spans="1:17" x14ac:dyDescent="0.2">
      <c r="A11" s="54" t="s">
        <v>990</v>
      </c>
      <c r="B11" s="7"/>
      <c r="C11" s="7"/>
      <c r="D11" s="7"/>
      <c r="E11" s="8"/>
      <c r="H11" s="330"/>
      <c r="I11" s="60"/>
      <c r="K11" s="223"/>
    </row>
    <row r="12" spans="1:17" x14ac:dyDescent="0.2">
      <c r="A12" s="55">
        <v>352</v>
      </c>
      <c r="B12" s="7">
        <v>334506130.03000003</v>
      </c>
      <c r="C12" s="7">
        <f>'TS by Location'!E475</f>
        <v>334506130.02999997</v>
      </c>
      <c r="D12" s="7">
        <f>'TS by Location'!I475</f>
        <v>170948030.48916146</v>
      </c>
      <c r="E12" s="8">
        <f>D12/C12</f>
        <v>0.51104603217235545</v>
      </c>
      <c r="G12" s="1" t="str">
        <f>IF(B12=C12,"OK ","Check")</f>
        <v xml:space="preserve">OK </v>
      </c>
      <c r="H12" s="329">
        <f>B:B-C:C</f>
        <v>0</v>
      </c>
      <c r="I12" s="60"/>
      <c r="M12" s="225"/>
    </row>
    <row r="13" spans="1:17" x14ac:dyDescent="0.2">
      <c r="A13" s="55">
        <v>353</v>
      </c>
      <c r="B13" s="5">
        <v>3421750786</v>
      </c>
      <c r="C13" s="5">
        <f>'TS by Location'!F475</f>
        <v>3421750787.2699966</v>
      </c>
      <c r="D13" s="5">
        <f>'TS by Location'!J475</f>
        <v>1756511618.714663</v>
      </c>
      <c r="E13" s="6">
        <f>D13/C13</f>
        <v>0.51333709785336967</v>
      </c>
      <c r="G13" s="1" t="str">
        <f>IF(B13=C13,"OK ","Check")</f>
        <v>Check</v>
      </c>
      <c r="H13" s="329">
        <f>B:B-C:C</f>
        <v>-1.2699966430664062</v>
      </c>
      <c r="I13" s="60"/>
      <c r="M13" s="225"/>
    </row>
    <row r="14" spans="1:17" x14ac:dyDescent="0.2">
      <c r="A14" s="56" t="s">
        <v>986</v>
      </c>
      <c r="B14" s="7">
        <f>SUM(B12:B13)</f>
        <v>3756256916.0300002</v>
      </c>
      <c r="C14" s="7">
        <f>SUM(C12:C13)</f>
        <v>3756256917.2999964</v>
      </c>
      <c r="D14" s="7">
        <f>SUM(D12:D13)</f>
        <v>1927459649.2038245</v>
      </c>
      <c r="E14" s="8">
        <f>D14/C14</f>
        <v>0.51313307146979859</v>
      </c>
      <c r="G14" s="1" t="str">
        <f>IF(B14=C14,"OK ","Check")</f>
        <v>Check</v>
      </c>
      <c r="H14" s="329">
        <f>B:B-C:C</f>
        <v>-1.269996166229248</v>
      </c>
      <c r="I14" s="60"/>
      <c r="M14" s="225"/>
    </row>
    <row r="15" spans="1:17" x14ac:dyDescent="0.2">
      <c r="A15" s="57"/>
      <c r="B15" s="7"/>
      <c r="C15" s="7"/>
      <c r="D15" s="7"/>
      <c r="E15" s="8"/>
      <c r="H15" s="330"/>
      <c r="I15" s="60"/>
      <c r="M15" s="225"/>
    </row>
    <row r="16" spans="1:17" x14ac:dyDescent="0.2">
      <c r="A16" s="58" t="s">
        <v>988</v>
      </c>
      <c r="B16" s="7"/>
      <c r="C16" s="7"/>
      <c r="D16" s="7"/>
      <c r="E16" s="11"/>
      <c r="H16" s="330"/>
      <c r="I16" s="60"/>
      <c r="M16" s="225"/>
    </row>
    <row r="17" spans="1:14" x14ac:dyDescent="0.2">
      <c r="A17" s="55">
        <v>354</v>
      </c>
      <c r="B17" s="87">
        <v>601728049</v>
      </c>
      <c r="C17" s="87">
        <f>'TL COST SUMMARY'!F$549</f>
        <v>601728047.50999999</v>
      </c>
      <c r="D17" s="87">
        <f>IF($J$1=1,'ISO w_System Splits'!K$468,IF($J$1=2,'ISO w_System Splits'!K$619,"ENTER 1 or 2 in Cell I1"))</f>
        <v>550516805.02612746</v>
      </c>
      <c r="E17" s="8">
        <f>D17/C17</f>
        <v>0.91489304396597626</v>
      </c>
      <c r="G17" s="1" t="str">
        <f t="shared" ref="G17:G22" si="0">IF(B17=C17,"OK ","Check")</f>
        <v>Check</v>
      </c>
      <c r="H17" s="329">
        <f t="shared" ref="H17:H22" si="1">B:B-C:C</f>
        <v>1.4900000095367432</v>
      </c>
      <c r="I17" s="60"/>
      <c r="M17" s="225"/>
    </row>
    <row r="18" spans="1:14" x14ac:dyDescent="0.2">
      <c r="A18" s="55">
        <v>355</v>
      </c>
      <c r="B18" s="87">
        <v>545742642</v>
      </c>
      <c r="C18" s="87">
        <f>'TL COST SUMMARY'!G$549</f>
        <v>545742641.20000005</v>
      </c>
      <c r="D18" s="87">
        <f>IF($J$1=1,'ISO w_System Splits'!L$468,IF($J$1=2,'ISO w_System Splits'!L$619,"ENTER 1 or 2 in Cell I1"))</f>
        <v>132075053.85948858</v>
      </c>
      <c r="E18" s="8">
        <f t="shared" ref="E18:E23" si="2">D18/C18</f>
        <v>0.2420097751003602</v>
      </c>
      <c r="G18" s="1" t="str">
        <f t="shared" si="0"/>
        <v>Check</v>
      </c>
      <c r="H18" s="329">
        <f t="shared" si="1"/>
        <v>0.79999995231628418</v>
      </c>
      <c r="I18" s="60"/>
      <c r="M18" s="225"/>
    </row>
    <row r="19" spans="1:14" x14ac:dyDescent="0.2">
      <c r="A19" s="55">
        <v>356</v>
      </c>
      <c r="B19" s="87">
        <v>617979720</v>
      </c>
      <c r="C19" s="87">
        <f>'TL COST SUMMARY'!H$549</f>
        <v>617979718.75</v>
      </c>
      <c r="D19" s="87">
        <f>IF($J$1=1,'ISO w_System Splits'!M$468,IF($J$1=2,'ISO w_System Splits'!M$619,"ENTER 1 or 2 in Cell I1"))</f>
        <v>421892563.22866398</v>
      </c>
      <c r="E19" s="8">
        <f t="shared" si="2"/>
        <v>0.68269645496139353</v>
      </c>
      <c r="G19" s="1" t="str">
        <f t="shared" si="0"/>
        <v>Check</v>
      </c>
      <c r="H19" s="329">
        <f t="shared" si="1"/>
        <v>1.25</v>
      </c>
      <c r="I19" s="60"/>
      <c r="M19" s="225"/>
    </row>
    <row r="20" spans="1:14" ht="12.75" customHeight="1" x14ac:dyDescent="0.2">
      <c r="A20" s="55">
        <v>357</v>
      </c>
      <c r="B20" s="87">
        <v>46153375</v>
      </c>
      <c r="C20" s="87">
        <f>'TL COST SUMMARY'!I$549</f>
        <v>46153375.859999999</v>
      </c>
      <c r="D20" s="87">
        <f>IF($J$1=1,'ISO w_System Splits'!N$468,IF($J$1=2,'ISO w_System Splits'!N$619,"ENTER 1 or 2 in Cell I1"))</f>
        <v>558943.06565385021</v>
      </c>
      <c r="E20" s="8">
        <f t="shared" si="2"/>
        <v>1.2110556492104243E-2</v>
      </c>
      <c r="G20" s="1" t="str">
        <f t="shared" si="0"/>
        <v>Check</v>
      </c>
      <c r="H20" s="329">
        <f t="shared" si="1"/>
        <v>-0.85999999940395355</v>
      </c>
      <c r="I20" s="60"/>
      <c r="M20" s="225"/>
    </row>
    <row r="21" spans="1:14" x14ac:dyDescent="0.2">
      <c r="A21" s="55">
        <v>358</v>
      </c>
      <c r="B21" s="87">
        <v>183442134</v>
      </c>
      <c r="C21" s="87">
        <f>'TL COST SUMMARY'!J$549</f>
        <v>183442133.08000001</v>
      </c>
      <c r="D21" s="87">
        <f>IF($J$1=1,'ISO w_System Splits'!O$468,IF($J$1=2,'ISO w_System Splits'!O$619,"ENTER 1 or 2 in Cell I1"))</f>
        <v>3408604.13081415</v>
      </c>
      <c r="E21" s="8">
        <f t="shared" si="2"/>
        <v>1.8581359001792905E-2</v>
      </c>
      <c r="G21" s="1" t="str">
        <f t="shared" si="0"/>
        <v>Check</v>
      </c>
      <c r="H21" s="329">
        <f t="shared" si="1"/>
        <v>0.91999998688697815</v>
      </c>
      <c r="I21" s="60"/>
      <c r="M21" s="225"/>
    </row>
    <row r="22" spans="1:14" x14ac:dyDescent="0.2">
      <c r="A22" s="55">
        <v>359</v>
      </c>
      <c r="B22" s="117">
        <v>113892832</v>
      </c>
      <c r="C22" s="117">
        <f>'TL COST SUMMARY'!K$549</f>
        <v>113892833</v>
      </c>
      <c r="D22" s="117">
        <f>IF($J$1=1,'ISO w_System Splits'!P$468,IF($J$1=2,'ISO w_System Splits'!P$619,"ENTER 1 or 2 in Cell I1"))</f>
        <v>110352407.03253432</v>
      </c>
      <c r="E22" s="6">
        <f t="shared" si="2"/>
        <v>0.96891440950050223</v>
      </c>
      <c r="G22" s="1" t="str">
        <f t="shared" si="0"/>
        <v>Check</v>
      </c>
      <c r="H22" s="329">
        <f t="shared" si="1"/>
        <v>-1</v>
      </c>
      <c r="I22" s="60"/>
      <c r="M22" s="225"/>
    </row>
    <row r="23" spans="1:14" x14ac:dyDescent="0.2">
      <c r="A23" s="56" t="s">
        <v>989</v>
      </c>
      <c r="B23" s="7">
        <f>SUM(B17:B22)</f>
        <v>2108938752</v>
      </c>
      <c r="C23" s="7">
        <f>SUM(C17:C22)</f>
        <v>2108938749.3999999</v>
      </c>
      <c r="D23" s="87">
        <f>SUM(D17:D22)</f>
        <v>1218804376.3432822</v>
      </c>
      <c r="E23" s="8">
        <f t="shared" si="2"/>
        <v>0.57792307941140353</v>
      </c>
      <c r="H23" s="329"/>
      <c r="I23" s="60"/>
      <c r="M23" s="225"/>
    </row>
    <row r="24" spans="1:14" x14ac:dyDescent="0.2">
      <c r="A24" s="62"/>
      <c r="B24" s="7"/>
      <c r="C24" s="7"/>
      <c r="D24" s="7"/>
      <c r="E24" s="8"/>
      <c r="G24" s="48"/>
      <c r="H24" s="331"/>
      <c r="I24" s="60"/>
      <c r="K24" s="223"/>
      <c r="M24" s="225"/>
    </row>
    <row r="25" spans="1:14" ht="27" customHeight="1" thickBot="1" x14ac:dyDescent="0.25">
      <c r="A25" s="75" t="s">
        <v>1718</v>
      </c>
      <c r="B25" s="118">
        <f>B9+B14+B23</f>
        <v>6103919157.0300007</v>
      </c>
      <c r="C25" s="118">
        <f>C9+C14+C23</f>
        <v>6103919156.3299961</v>
      </c>
      <c r="D25" s="118">
        <f>D9+D14+D23</f>
        <v>3302962475.3151112</v>
      </c>
      <c r="E25" s="76">
        <f>D25/C25</f>
        <v>0.54112159593231401</v>
      </c>
      <c r="H25" s="329"/>
      <c r="I25" s="60"/>
      <c r="K25" s="223"/>
      <c r="M25" s="225"/>
    </row>
    <row r="26" spans="1:14" x14ac:dyDescent="0.2">
      <c r="A26" s="62"/>
      <c r="B26" s="62"/>
      <c r="C26" s="10"/>
      <c r="D26" s="10"/>
      <c r="E26" s="11"/>
      <c r="H26" s="331"/>
      <c r="I26" s="60"/>
      <c r="K26" s="223"/>
      <c r="M26" s="225"/>
    </row>
    <row r="27" spans="1:14" x14ac:dyDescent="0.2">
      <c r="A27" s="57"/>
      <c r="B27" s="57"/>
      <c r="C27" s="60"/>
      <c r="D27" s="60"/>
      <c r="E27" s="60"/>
      <c r="H27" s="331"/>
      <c r="I27" s="60"/>
      <c r="K27" s="223"/>
      <c r="M27" s="225"/>
    </row>
    <row r="28" spans="1:14" ht="16.5" thickBot="1" x14ac:dyDescent="0.3">
      <c r="A28" s="642" t="s">
        <v>991</v>
      </c>
      <c r="B28" s="642"/>
      <c r="C28" s="642"/>
      <c r="D28" s="642"/>
      <c r="E28" s="642"/>
      <c r="H28" s="331"/>
      <c r="I28" s="60"/>
      <c r="K28" s="223"/>
      <c r="M28" s="225"/>
    </row>
    <row r="29" spans="1:14" s="2" customFormat="1" ht="30" customHeight="1" x14ac:dyDescent="0.2">
      <c r="A29" s="80"/>
      <c r="B29" s="81" t="str">
        <f>B7</f>
        <v>Total Plant
FERC Form 1</v>
      </c>
      <c r="C29" s="81" t="s">
        <v>983</v>
      </c>
      <c r="D29" s="81" t="s">
        <v>984</v>
      </c>
      <c r="E29" s="82" t="s">
        <v>985</v>
      </c>
      <c r="H29" s="332"/>
      <c r="I29" s="60"/>
      <c r="K29" s="223"/>
      <c r="L29" s="228"/>
      <c r="M29" s="228"/>
    </row>
    <row r="30" spans="1:14" x14ac:dyDescent="0.2">
      <c r="A30" s="54" t="s">
        <v>992</v>
      </c>
      <c r="B30" s="54"/>
      <c r="C30" s="10"/>
      <c r="D30" s="10"/>
      <c r="E30" s="11"/>
      <c r="H30" s="331"/>
      <c r="I30" s="60"/>
      <c r="K30" s="223"/>
      <c r="M30" s="225"/>
    </row>
    <row r="31" spans="1:14" x14ac:dyDescent="0.2">
      <c r="A31" s="55">
        <v>360</v>
      </c>
      <c r="B31" s="7">
        <v>105855063</v>
      </c>
      <c r="C31" s="7">
        <f>'DS by Location'!D861</f>
        <v>105855061.72000007</v>
      </c>
      <c r="D31" s="87">
        <f>'DS by Location'!H861</f>
        <v>75876.480999774722</v>
      </c>
      <c r="E31" s="8">
        <f>D31/C31</f>
        <v>7.1679596390465997E-4</v>
      </c>
      <c r="G31" s="1" t="str">
        <f>IF(B31=C31,"OK ","Check")</f>
        <v>Check</v>
      </c>
      <c r="H31" s="329">
        <f>B:B-C:C</f>
        <v>1.2799999266862869</v>
      </c>
      <c r="I31" s="60"/>
      <c r="J31" s="281"/>
      <c r="K31" s="227"/>
      <c r="M31" s="225"/>
      <c r="N31" s="282"/>
    </row>
    <row r="32" spans="1:14" x14ac:dyDescent="0.2">
      <c r="A32" s="58" t="s">
        <v>993</v>
      </c>
      <c r="B32" s="7"/>
      <c r="C32" s="7"/>
      <c r="D32" s="7"/>
      <c r="E32" s="8"/>
      <c r="H32" s="331"/>
      <c r="I32" s="60"/>
      <c r="J32" s="281"/>
      <c r="K32" s="223"/>
      <c r="M32" s="225"/>
    </row>
    <row r="33" spans="1:15" x14ac:dyDescent="0.2">
      <c r="A33" s="55">
        <v>361</v>
      </c>
      <c r="B33" s="7">
        <v>431350909</v>
      </c>
      <c r="C33" s="7">
        <f>'DS by Location'!E861</f>
        <v>431350910.12999976</v>
      </c>
      <c r="D33" s="7">
        <f>'DS by Location'!I861</f>
        <v>683246.94527539623</v>
      </c>
      <c r="E33" s="8">
        <f>D33/C33</f>
        <v>1.5839701023685809E-3</v>
      </c>
      <c r="G33" s="1" t="str">
        <f>IF(B33=C33,"OK ","Check")</f>
        <v>Check</v>
      </c>
      <c r="H33" s="329">
        <f>B:B-C:C</f>
        <v>-1.1299997568130493</v>
      </c>
      <c r="I33" s="60"/>
      <c r="J33" s="281"/>
      <c r="M33" s="225"/>
    </row>
    <row r="34" spans="1:15" x14ac:dyDescent="0.2">
      <c r="A34" s="55">
        <v>362</v>
      </c>
      <c r="B34" s="5">
        <v>1609973202.259999</v>
      </c>
      <c r="C34" s="5">
        <f>'DS by Location'!F861</f>
        <v>1609973202.2599988</v>
      </c>
      <c r="D34" s="5">
        <f>'DS by Location'!J861</f>
        <v>5875711.4176010117</v>
      </c>
      <c r="E34" s="6">
        <f>D34/C34</f>
        <v>3.6495709427666161E-3</v>
      </c>
      <c r="G34" s="1" t="str">
        <f>IF(B34=C34,"OK ","Check")</f>
        <v xml:space="preserve">OK </v>
      </c>
      <c r="H34" s="329">
        <f>B:B-C:C</f>
        <v>0</v>
      </c>
      <c r="I34" s="60"/>
      <c r="M34" s="225"/>
    </row>
    <row r="35" spans="1:15" x14ac:dyDescent="0.2">
      <c r="A35" s="61" t="s">
        <v>1510</v>
      </c>
      <c r="B35" s="7">
        <v>2041324112.3899989</v>
      </c>
      <c r="C35" s="7">
        <f>SUM(C33:C34)</f>
        <v>2041324112.3899984</v>
      </c>
      <c r="D35" s="7">
        <f>SUM(D33:D34)</f>
        <v>6558958.3628764078</v>
      </c>
      <c r="E35" s="8">
        <f>D35/C35</f>
        <v>3.2130901325596586E-3</v>
      </c>
      <c r="G35" s="1" t="str">
        <f>IF(B35=C35,"OK ","Check")</f>
        <v xml:space="preserve">OK </v>
      </c>
      <c r="H35" s="329">
        <f>B:B-C:C</f>
        <v>0</v>
      </c>
      <c r="I35" s="60"/>
    </row>
    <row r="36" spans="1:15" x14ac:dyDescent="0.2">
      <c r="A36" s="61"/>
      <c r="B36" s="7"/>
      <c r="C36" s="7"/>
      <c r="D36" s="7"/>
      <c r="E36" s="8"/>
      <c r="H36" s="331"/>
      <c r="I36" s="60"/>
      <c r="K36" s="223"/>
    </row>
    <row r="37" spans="1:15" ht="27" customHeight="1" thickBot="1" x14ac:dyDescent="0.3">
      <c r="A37" s="77" t="s">
        <v>1719</v>
      </c>
      <c r="B37" s="118">
        <f>B31+B35</f>
        <v>2147179175.3899989</v>
      </c>
      <c r="C37" s="118">
        <f>C31+C35</f>
        <v>2147179174.1099985</v>
      </c>
      <c r="D37" s="118">
        <f>D31+D35</f>
        <v>6634834.8438761821</v>
      </c>
      <c r="E37" s="76">
        <f>D37/C37</f>
        <v>3.0900238433182029E-3</v>
      </c>
      <c r="G37" s="1" t="str">
        <f>IF(B37=C37,"OK ","Check")</f>
        <v>Check</v>
      </c>
      <c r="H37" s="329">
        <f>B:B-C:C</f>
        <v>1.2800004482269287</v>
      </c>
      <c r="I37" s="60"/>
      <c r="K37" s="223"/>
      <c r="N37" s="229"/>
    </row>
    <row r="38" spans="1:15" ht="13.5" thickBot="1" x14ac:dyDescent="0.25">
      <c r="A38" s="60"/>
      <c r="B38" s="7"/>
      <c r="C38" s="7"/>
      <c r="D38" s="7"/>
      <c r="E38" s="60"/>
      <c r="H38" s="331"/>
      <c r="I38" s="60"/>
      <c r="K38" s="225"/>
    </row>
    <row r="39" spans="1:15" ht="35.25" customHeight="1" thickBot="1" x14ac:dyDescent="0.25">
      <c r="A39" s="78" t="s">
        <v>3367</v>
      </c>
      <c r="B39" s="119">
        <f>SUM(B25,B37)</f>
        <v>8251098332.4200001</v>
      </c>
      <c r="C39" s="119">
        <f>SUM(C25,C37)</f>
        <v>8251098330.4399948</v>
      </c>
      <c r="D39" s="119">
        <f>SUM(D25,D37)</f>
        <v>3309597310.1589875</v>
      </c>
      <c r="E39" s="79">
        <f>D39/C39</f>
        <v>0.40110991017392239</v>
      </c>
      <c r="H39" s="329"/>
      <c r="I39" s="60"/>
      <c r="N39" s="9"/>
    </row>
    <row r="40" spans="1:15" x14ac:dyDescent="0.2">
      <c r="I40" s="60"/>
    </row>
    <row r="41" spans="1:15" x14ac:dyDescent="0.2">
      <c r="D41" s="48"/>
      <c r="N41" s="9"/>
    </row>
    <row r="43" spans="1:15" x14ac:dyDescent="0.2">
      <c r="D43" s="48"/>
    </row>
    <row r="45" spans="1:15" x14ac:dyDescent="0.2">
      <c r="C45" s="48"/>
      <c r="I45" s="48"/>
    </row>
    <row r="46" spans="1:15" x14ac:dyDescent="0.2">
      <c r="C46" s="99"/>
      <c r="I46" s="99"/>
      <c r="N46" s="9"/>
      <c r="O46" s="9"/>
    </row>
    <row r="47" spans="1:15" x14ac:dyDescent="0.2">
      <c r="C47" s="48"/>
      <c r="I47" s="48"/>
    </row>
  </sheetData>
  <mergeCells count="9">
    <mergeCell ref="G7:H7"/>
    <mergeCell ref="K1:Q1"/>
    <mergeCell ref="H1:I1"/>
    <mergeCell ref="A28:E28"/>
    <mergeCell ref="A1:E1"/>
    <mergeCell ref="A2:E2"/>
    <mergeCell ref="A3:E3"/>
    <mergeCell ref="A5:E5"/>
    <mergeCell ref="A6:E6"/>
  </mergeCells>
  <phoneticPr fontId="22" type="noConversion"/>
  <printOptions horizontalCentered="1"/>
  <pageMargins left="0.25" right="0.25" top="0.75" bottom="0.75" header="0.3" footer="0.3"/>
  <pageSetup orientation="portrait" r:id="rId1"/>
  <headerFooter alignWithMargins="0">
    <oddHeader>&amp;RWP- Plant Study 2011
&amp;P of &amp;N</oddHead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7" r:id="rId4" name="Drop Down 3">
              <controlPr defaultSize="0" autoLine="0" autoPict="0" macro="[0]!DropDown3_Change">
                <anchor moveWithCells="1">
                  <from>
                    <xdr:col>9</xdr:col>
                    <xdr:colOff>0</xdr:colOff>
                    <xdr:row>0</xdr:row>
                    <xdr:rowOff>0</xdr:rowOff>
                  </from>
                  <to>
                    <xdr:col>9</xdr:col>
                    <xdr:colOff>323850</xdr:colOff>
                    <xdr:row>0</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565"/>
  <sheetViews>
    <sheetView zoomScale="90" zoomScaleNormal="90" zoomScalePageLayoutView="60" workbookViewId="0"/>
  </sheetViews>
  <sheetFormatPr defaultRowHeight="15" outlineLevelCol="1" x14ac:dyDescent="0.25"/>
  <cols>
    <col min="1" max="1" width="7" customWidth="1"/>
    <col min="2" max="2" width="28.5703125" customWidth="1"/>
    <col min="3" max="5" width="18.140625" style="457" bestFit="1" customWidth="1"/>
    <col min="6" max="6" width="13.42578125" style="457" bestFit="1" customWidth="1"/>
    <col min="7" max="8" width="11.85546875" style="457" bestFit="1" customWidth="1"/>
    <col min="9" max="9" width="11" style="457" bestFit="1" customWidth="1"/>
    <col min="10" max="11" width="11.85546875" style="457" bestFit="1" customWidth="1"/>
    <col min="12" max="12" width="17.85546875" style="457" bestFit="1" customWidth="1"/>
    <col min="13" max="13" width="9.5703125" style="457" bestFit="1" customWidth="1"/>
    <col min="14" max="14" width="10.140625" style="457" bestFit="1" customWidth="1"/>
    <col min="15" max="15" width="9.5703125" style="487" hidden="1" customWidth="1" outlineLevel="1"/>
    <col min="16" max="16" width="9.28515625" style="487" hidden="1" customWidth="1" outlineLevel="1"/>
    <col min="17" max="17" width="14.140625" style="487" hidden="1" customWidth="1" outlineLevel="1"/>
    <col min="18" max="18" width="12.85546875" style="487" hidden="1" customWidth="1" outlineLevel="1"/>
    <col min="19" max="19" width="9.42578125" style="487" hidden="1" customWidth="1" outlineLevel="1"/>
    <col min="20" max="25" width="9.140625" style="487" hidden="1" customWidth="1" outlineLevel="1"/>
    <col min="26" max="26" width="9.140625" style="487" collapsed="1"/>
    <col min="27" max="30" width="9.140625" style="487"/>
  </cols>
  <sheetData>
    <row r="1" spans="1:24" ht="15.75" x14ac:dyDescent="0.25">
      <c r="A1" s="507" t="s">
        <v>74</v>
      </c>
      <c r="B1" s="173"/>
      <c r="C1" s="174"/>
      <c r="D1" s="174"/>
      <c r="E1" s="175"/>
      <c r="F1" s="176"/>
      <c r="G1" s="177"/>
      <c r="H1" s="177"/>
      <c r="I1" s="178"/>
      <c r="J1" s="178"/>
      <c r="K1" s="179"/>
      <c r="L1" s="179"/>
      <c r="M1" s="175"/>
      <c r="N1" s="486"/>
      <c r="O1" s="175"/>
      <c r="P1" s="195"/>
      <c r="Q1" s="180"/>
      <c r="R1" s="195"/>
      <c r="S1" s="181"/>
      <c r="T1" s="182"/>
      <c r="U1" s="151"/>
      <c r="V1" s="195"/>
      <c r="W1" s="111"/>
      <c r="X1" s="195"/>
    </row>
    <row r="2" spans="1:24" ht="15.75" x14ac:dyDescent="0.25">
      <c r="A2" s="507" t="s">
        <v>75</v>
      </c>
      <c r="B2" s="173"/>
      <c r="C2" s="174"/>
      <c r="D2" s="174"/>
      <c r="E2" s="175"/>
      <c r="F2" s="176"/>
      <c r="G2" s="177"/>
      <c r="H2" s="177"/>
      <c r="I2" s="178"/>
      <c r="J2" s="178"/>
      <c r="K2" s="179"/>
      <c r="L2" s="179"/>
      <c r="M2" s="175"/>
      <c r="N2" s="486"/>
      <c r="O2" s="175"/>
      <c r="P2" s="195"/>
      <c r="Q2" s="180"/>
      <c r="R2" s="195"/>
      <c r="S2" s="181"/>
      <c r="T2" s="182"/>
      <c r="U2" s="151"/>
      <c r="V2" s="195"/>
      <c r="W2" s="111"/>
      <c r="X2" s="195"/>
    </row>
    <row r="3" spans="1:24" ht="15.75" x14ac:dyDescent="0.25">
      <c r="A3" s="507" t="s">
        <v>1775</v>
      </c>
      <c r="B3" s="183"/>
      <c r="C3" s="174"/>
      <c r="D3" s="174"/>
      <c r="E3" s="175"/>
      <c r="F3" s="177"/>
      <c r="G3" s="176"/>
      <c r="H3" s="177"/>
      <c r="I3" s="178"/>
      <c r="J3" s="178"/>
      <c r="K3" s="179"/>
      <c r="L3" s="179"/>
      <c r="M3" s="175"/>
      <c r="N3" s="486"/>
      <c r="O3" s="175"/>
      <c r="P3" s="195"/>
      <c r="Q3" s="180"/>
      <c r="R3" s="195"/>
      <c r="S3" s="181"/>
      <c r="T3" s="182"/>
      <c r="U3" s="151"/>
      <c r="V3" s="195"/>
      <c r="W3" s="111"/>
      <c r="X3" s="195"/>
    </row>
    <row r="4" spans="1:24" x14ac:dyDescent="0.25">
      <c r="A4" s="132"/>
      <c r="B4" s="132"/>
      <c r="C4" s="132"/>
      <c r="D4" s="132"/>
      <c r="E4" s="132"/>
      <c r="F4" s="184"/>
      <c r="G4" s="185"/>
      <c r="H4" s="185"/>
      <c r="I4" s="184"/>
      <c r="J4" s="184"/>
      <c r="K4" s="184"/>
      <c r="L4" s="184"/>
      <c r="M4" s="186"/>
      <c r="N4" s="202"/>
      <c r="O4" s="187"/>
      <c r="P4" s="195"/>
      <c r="Q4" s="180"/>
      <c r="R4" s="195"/>
      <c r="S4" s="181"/>
      <c r="T4" s="182"/>
      <c r="U4" s="151"/>
      <c r="V4" s="195"/>
      <c r="W4" s="111"/>
      <c r="X4" s="195"/>
    </row>
    <row r="5" spans="1:24" x14ac:dyDescent="0.25">
      <c r="A5" s="132"/>
      <c r="B5" s="132"/>
      <c r="C5" s="132"/>
      <c r="D5" s="132"/>
      <c r="E5" s="132"/>
      <c r="F5" s="184"/>
      <c r="G5" s="185"/>
      <c r="H5" s="185"/>
      <c r="I5" s="184"/>
      <c r="J5" s="184"/>
      <c r="K5" s="184"/>
      <c r="L5" s="184"/>
      <c r="M5" s="188">
        <v>2011</v>
      </c>
      <c r="N5" s="202"/>
      <c r="O5" s="187">
        <v>2011</v>
      </c>
      <c r="P5" s="195"/>
      <c r="Q5" s="189">
        <v>2010</v>
      </c>
      <c r="R5" s="195" t="s">
        <v>1015</v>
      </c>
      <c r="S5" s="181"/>
      <c r="T5" s="182"/>
      <c r="U5" s="151"/>
      <c r="V5" s="195"/>
      <c r="W5" s="111"/>
      <c r="X5" s="195"/>
    </row>
    <row r="6" spans="1:24" x14ac:dyDescent="0.25">
      <c r="A6" s="132" t="s">
        <v>76</v>
      </c>
      <c r="B6" s="132"/>
      <c r="C6" s="190" t="s">
        <v>1516</v>
      </c>
      <c r="D6" s="190"/>
      <c r="E6" s="190"/>
      <c r="F6" s="191"/>
      <c r="G6" s="191"/>
      <c r="H6" s="191"/>
      <c r="I6" s="191"/>
      <c r="J6" s="191"/>
      <c r="K6" s="191"/>
      <c r="L6" s="184"/>
      <c r="M6" s="187" t="s">
        <v>1515</v>
      </c>
      <c r="N6" s="488" t="s">
        <v>77</v>
      </c>
      <c r="O6" s="187" t="s">
        <v>1518</v>
      </c>
      <c r="P6" s="195"/>
      <c r="Q6" s="180"/>
      <c r="R6" s="195"/>
      <c r="S6" s="181"/>
      <c r="T6" s="111"/>
      <c r="U6" s="151"/>
      <c r="V6" s="195"/>
      <c r="W6" s="111"/>
      <c r="X6" s="195"/>
    </row>
    <row r="7" spans="1:24" x14ac:dyDescent="0.25">
      <c r="A7" s="190" t="s">
        <v>78</v>
      </c>
      <c r="B7" s="190"/>
      <c r="C7" s="192" t="s">
        <v>1052</v>
      </c>
      <c r="D7" s="192" t="s">
        <v>1037</v>
      </c>
      <c r="E7" s="192" t="s">
        <v>1038</v>
      </c>
      <c r="F7" s="193" t="s">
        <v>1520</v>
      </c>
      <c r="G7" s="193" t="s">
        <v>1521</v>
      </c>
      <c r="H7" s="193" t="s">
        <v>1522</v>
      </c>
      <c r="I7" s="193" t="s">
        <v>1523</v>
      </c>
      <c r="J7" s="193" t="s">
        <v>1524</v>
      </c>
      <c r="K7" s="193" t="s">
        <v>1525</v>
      </c>
      <c r="L7" s="193" t="s">
        <v>1463</v>
      </c>
      <c r="M7" s="187" t="s">
        <v>1519</v>
      </c>
      <c r="N7" s="488" t="s">
        <v>79</v>
      </c>
      <c r="O7" s="187" t="s">
        <v>80</v>
      </c>
      <c r="P7" s="195"/>
      <c r="Q7" s="180"/>
      <c r="R7" s="195"/>
      <c r="S7" s="181"/>
      <c r="T7" s="111"/>
      <c r="U7" s="151"/>
      <c r="V7" s="195"/>
      <c r="W7" s="111"/>
      <c r="X7" s="195"/>
    </row>
    <row r="8" spans="1:24" x14ac:dyDescent="0.25">
      <c r="A8" s="132"/>
      <c r="B8" s="132"/>
      <c r="C8" s="132"/>
      <c r="D8" s="132"/>
      <c r="E8" s="132"/>
      <c r="F8" s="184"/>
      <c r="G8" s="184"/>
      <c r="H8" s="184"/>
      <c r="I8" s="184"/>
      <c r="J8" s="184"/>
      <c r="K8" s="184"/>
      <c r="L8" s="184"/>
      <c r="M8" s="186"/>
      <c r="N8" s="202"/>
      <c r="O8" s="138"/>
      <c r="P8" s="195"/>
      <c r="Q8" s="180"/>
      <c r="R8" s="195"/>
      <c r="S8" s="181"/>
      <c r="T8" s="111"/>
      <c r="U8" s="151"/>
      <c r="V8" s="195"/>
      <c r="W8" s="111"/>
      <c r="X8" s="195"/>
    </row>
    <row r="9" spans="1:24" x14ac:dyDescent="0.25">
      <c r="A9" s="494" t="s">
        <v>81</v>
      </c>
      <c r="B9" s="132"/>
      <c r="C9" s="132"/>
      <c r="D9" s="132"/>
      <c r="E9" s="132"/>
      <c r="F9" s="184"/>
      <c r="G9" s="184"/>
      <c r="H9" s="184"/>
      <c r="I9" s="184"/>
      <c r="J9" s="184"/>
      <c r="K9" s="184"/>
      <c r="L9" s="184"/>
      <c r="M9" s="194"/>
      <c r="N9" s="202"/>
      <c r="O9" s="138"/>
      <c r="P9" s="195"/>
      <c r="Q9" s="180"/>
      <c r="R9" s="195"/>
      <c r="S9" s="181"/>
      <c r="T9" s="111"/>
      <c r="U9" s="151"/>
      <c r="V9" s="195"/>
      <c r="W9" s="111"/>
      <c r="X9" s="195"/>
    </row>
    <row r="10" spans="1:24" x14ac:dyDescent="0.25">
      <c r="A10" s="132"/>
      <c r="B10" s="132"/>
      <c r="C10" s="132"/>
      <c r="D10" s="132"/>
      <c r="E10" s="132"/>
      <c r="F10" s="184"/>
      <c r="G10" s="184"/>
      <c r="H10" s="184"/>
      <c r="I10" s="184"/>
      <c r="J10" s="184"/>
      <c r="K10" s="184"/>
      <c r="L10" s="184"/>
      <c r="M10" s="194"/>
      <c r="N10" s="202"/>
      <c r="O10" s="138"/>
      <c r="P10" s="195"/>
      <c r="Q10" s="180"/>
      <c r="R10" s="195"/>
      <c r="S10" s="181"/>
      <c r="T10" s="111"/>
      <c r="U10" s="151"/>
      <c r="V10" s="195"/>
      <c r="W10" s="111"/>
      <c r="X10" s="195"/>
    </row>
    <row r="11" spans="1:24" x14ac:dyDescent="0.25">
      <c r="A11" s="161">
        <v>4031</v>
      </c>
      <c r="B11" s="132" t="s">
        <v>1778</v>
      </c>
      <c r="C11" s="597">
        <v>0</v>
      </c>
      <c r="D11" s="597">
        <v>95840.85</v>
      </c>
      <c r="E11" s="597">
        <v>0</v>
      </c>
      <c r="F11" s="598">
        <v>27220052.609999999</v>
      </c>
      <c r="G11" s="598">
        <v>0</v>
      </c>
      <c r="H11" s="598">
        <v>14611107.800000001</v>
      </c>
      <c r="I11" s="598">
        <v>0</v>
      </c>
      <c r="J11" s="598">
        <v>0</v>
      </c>
      <c r="K11" s="598">
        <v>136840.9</v>
      </c>
      <c r="L11" s="598">
        <v>42063842.160000004</v>
      </c>
      <c r="M11" s="599">
        <v>336.17750000000001</v>
      </c>
      <c r="N11" s="600">
        <v>125124</v>
      </c>
      <c r="O11" s="489">
        <v>2</v>
      </c>
      <c r="P11" s="195"/>
      <c r="Q11" s="180">
        <v>39847350.810000002</v>
      </c>
      <c r="R11" s="196">
        <v>2216491.3500000015</v>
      </c>
      <c r="S11" s="181">
        <v>5.5624559850130817E-2</v>
      </c>
      <c r="T11" s="111"/>
      <c r="U11" s="151"/>
      <c r="V11" s="195"/>
      <c r="W11" s="111"/>
      <c r="X11" s="195"/>
    </row>
    <row r="12" spans="1:24" x14ac:dyDescent="0.25">
      <c r="A12" s="161">
        <v>4034</v>
      </c>
      <c r="B12" s="132" t="s">
        <v>1778</v>
      </c>
      <c r="C12" s="597">
        <v>0</v>
      </c>
      <c r="D12" s="597">
        <v>540.83000000000004</v>
      </c>
      <c r="E12" s="597">
        <v>0</v>
      </c>
      <c r="F12" s="598">
        <v>7698607.4800000004</v>
      </c>
      <c r="G12" s="598">
        <v>0</v>
      </c>
      <c r="H12" s="598">
        <v>5631427.2300000004</v>
      </c>
      <c r="I12" s="598">
        <v>0</v>
      </c>
      <c r="J12" s="598">
        <v>0</v>
      </c>
      <c r="K12" s="598">
        <v>668870.63</v>
      </c>
      <c r="L12" s="601">
        <v>13999446.170000002</v>
      </c>
      <c r="M12" s="599">
        <v>289.72500000000002</v>
      </c>
      <c r="N12" s="600">
        <v>48320</v>
      </c>
      <c r="O12" s="489">
        <v>1</v>
      </c>
      <c r="P12" s="195"/>
      <c r="Q12" s="180">
        <v>13999446.170000002</v>
      </c>
      <c r="R12" s="196">
        <v>0</v>
      </c>
      <c r="S12" s="181">
        <v>0</v>
      </c>
      <c r="T12" s="111"/>
      <c r="U12" s="151"/>
      <c r="V12" s="195"/>
      <c r="W12" s="111"/>
      <c r="X12" s="195"/>
    </row>
    <row r="13" spans="1:24" x14ac:dyDescent="0.25">
      <c r="A13" s="132"/>
      <c r="B13" s="135"/>
      <c r="C13" s="597"/>
      <c r="D13" s="597"/>
      <c r="E13" s="597"/>
      <c r="F13" s="598"/>
      <c r="G13" s="598"/>
      <c r="H13" s="598"/>
      <c r="I13" s="598"/>
      <c r="J13" s="598"/>
      <c r="K13" s="598"/>
      <c r="L13" s="598"/>
      <c r="M13" s="600"/>
      <c r="N13" s="600"/>
      <c r="O13" s="138"/>
      <c r="P13" s="195"/>
      <c r="Q13" s="180"/>
      <c r="R13" s="195"/>
      <c r="S13" s="181"/>
      <c r="T13" s="111"/>
      <c r="U13" s="151"/>
      <c r="V13" s="195"/>
      <c r="W13" s="111"/>
      <c r="X13" s="195"/>
    </row>
    <row r="14" spans="1:24" x14ac:dyDescent="0.25">
      <c r="A14" s="197" t="s">
        <v>1530</v>
      </c>
      <c r="B14" s="197"/>
      <c r="C14" s="602">
        <f t="shared" ref="C14:L14" si="0">ROUND(SUM(C11:C12),0)</f>
        <v>0</v>
      </c>
      <c r="D14" s="602">
        <f t="shared" si="0"/>
        <v>96382</v>
      </c>
      <c r="E14" s="602">
        <f t="shared" si="0"/>
        <v>0</v>
      </c>
      <c r="F14" s="603">
        <f t="shared" si="0"/>
        <v>34918660</v>
      </c>
      <c r="G14" s="603">
        <f t="shared" si="0"/>
        <v>0</v>
      </c>
      <c r="H14" s="603">
        <f t="shared" si="0"/>
        <v>20242535</v>
      </c>
      <c r="I14" s="603">
        <f t="shared" si="0"/>
        <v>0</v>
      </c>
      <c r="J14" s="603">
        <f t="shared" si="0"/>
        <v>0</v>
      </c>
      <c r="K14" s="603">
        <f t="shared" si="0"/>
        <v>805712</v>
      </c>
      <c r="L14" s="603">
        <f t="shared" si="0"/>
        <v>56063288</v>
      </c>
      <c r="M14" s="600">
        <f>SUM(M11:M12)</f>
        <v>625.90250000000003</v>
      </c>
      <c r="N14" s="600">
        <f>ROUND(L14/M14,0)</f>
        <v>89572</v>
      </c>
      <c r="O14" s="138">
        <f>SUM(O11:O12)</f>
        <v>3</v>
      </c>
      <c r="P14" s="195"/>
      <c r="Q14" s="180">
        <v>53846797</v>
      </c>
      <c r="R14" s="196">
        <v>2216491</v>
      </c>
      <c r="S14" s="181">
        <v>4.1162912624125081E-2</v>
      </c>
      <c r="T14" s="111"/>
      <c r="U14" s="490"/>
      <c r="V14" s="195"/>
      <c r="W14" s="111"/>
      <c r="X14" s="195"/>
    </row>
    <row r="15" spans="1:24" x14ac:dyDescent="0.25">
      <c r="A15" s="132"/>
      <c r="B15" s="135"/>
      <c r="C15" s="597"/>
      <c r="D15" s="597"/>
      <c r="E15" s="597"/>
      <c r="F15" s="598"/>
      <c r="G15" s="598"/>
      <c r="H15" s="598"/>
      <c r="I15" s="598"/>
      <c r="J15" s="598"/>
      <c r="K15" s="598"/>
      <c r="L15" s="598"/>
      <c r="M15" s="600"/>
      <c r="N15" s="600"/>
      <c r="O15" s="138"/>
      <c r="P15" s="195"/>
      <c r="Q15" s="180"/>
      <c r="R15" s="195"/>
      <c r="S15" s="181"/>
      <c r="T15" s="111"/>
      <c r="U15" s="151"/>
      <c r="V15" s="195"/>
      <c r="W15" s="111"/>
      <c r="X15" s="195"/>
    </row>
    <row r="16" spans="1:24" x14ac:dyDescent="0.25">
      <c r="A16" s="132"/>
      <c r="B16" s="135"/>
      <c r="C16" s="604"/>
      <c r="D16" s="597"/>
      <c r="E16" s="597"/>
      <c r="F16" s="598"/>
      <c r="G16" s="598"/>
      <c r="H16" s="598"/>
      <c r="I16" s="598"/>
      <c r="J16" s="598"/>
      <c r="K16" s="598"/>
      <c r="L16" s="598"/>
      <c r="M16" s="600"/>
      <c r="N16" s="600"/>
      <c r="O16" s="138"/>
      <c r="P16" s="195"/>
      <c r="Q16" s="180"/>
      <c r="R16" s="195"/>
      <c r="S16" s="181"/>
      <c r="T16" s="111"/>
      <c r="U16" s="151"/>
      <c r="V16" s="195"/>
      <c r="W16" s="111"/>
      <c r="X16" s="195"/>
    </row>
    <row r="17" spans="1:24" x14ac:dyDescent="0.25">
      <c r="A17" s="495" t="s">
        <v>82</v>
      </c>
      <c r="B17" s="163"/>
      <c r="C17" s="597"/>
      <c r="D17" s="597"/>
      <c r="E17" s="597"/>
      <c r="F17" s="598"/>
      <c r="G17" s="598"/>
      <c r="H17" s="598"/>
      <c r="I17" s="598"/>
      <c r="J17" s="598"/>
      <c r="K17" s="598"/>
      <c r="L17" s="598"/>
      <c r="M17" s="600"/>
      <c r="N17" s="600"/>
      <c r="O17" s="138"/>
      <c r="P17" s="195"/>
      <c r="Q17" s="180"/>
      <c r="R17" s="195"/>
      <c r="S17" s="181"/>
      <c r="T17" s="111"/>
      <c r="U17" s="151"/>
      <c r="V17" s="195"/>
      <c r="W17" s="111"/>
      <c r="X17" s="195"/>
    </row>
    <row r="18" spans="1:24" x14ac:dyDescent="0.25">
      <c r="A18" s="132"/>
      <c r="B18" s="132"/>
      <c r="C18" s="597"/>
      <c r="D18" s="597"/>
      <c r="E18" s="597"/>
      <c r="F18" s="598"/>
      <c r="G18" s="598"/>
      <c r="H18" s="598"/>
      <c r="I18" s="598"/>
      <c r="J18" s="598"/>
      <c r="K18" s="598"/>
      <c r="L18" s="598"/>
      <c r="M18" s="600"/>
      <c r="N18" s="600"/>
      <c r="O18" s="138"/>
      <c r="P18" s="195"/>
      <c r="Q18" s="180"/>
      <c r="R18" s="195"/>
      <c r="S18" s="181"/>
      <c r="T18" s="111"/>
      <c r="U18" s="151"/>
      <c r="V18" s="195"/>
      <c r="W18" s="111"/>
      <c r="X18" s="195"/>
    </row>
    <row r="19" spans="1:24" x14ac:dyDescent="0.25">
      <c r="A19" s="161">
        <v>4026</v>
      </c>
      <c r="B19" s="132" t="s">
        <v>1779</v>
      </c>
      <c r="C19" s="597">
        <v>2910822.12</v>
      </c>
      <c r="D19" s="597">
        <v>0</v>
      </c>
      <c r="E19" s="597">
        <v>27104.880000000001</v>
      </c>
      <c r="F19" s="598">
        <v>19299340.940000001</v>
      </c>
      <c r="G19" s="598">
        <v>85358.64</v>
      </c>
      <c r="H19" s="598">
        <v>22941424.84</v>
      </c>
      <c r="I19" s="598">
        <v>0</v>
      </c>
      <c r="J19" s="598">
        <v>0</v>
      </c>
      <c r="K19" s="598">
        <v>795535.38</v>
      </c>
      <c r="L19" s="598">
        <v>46059586.800000004</v>
      </c>
      <c r="M19" s="599">
        <v>225.49450000000002</v>
      </c>
      <c r="N19" s="600">
        <v>204260</v>
      </c>
      <c r="O19" s="489">
        <v>2</v>
      </c>
      <c r="P19" s="195"/>
      <c r="Q19" s="198">
        <v>45630803.18</v>
      </c>
      <c r="R19" s="196">
        <v>428783.62000000477</v>
      </c>
      <c r="S19" s="181">
        <v>9.3968019433841032E-3</v>
      </c>
      <c r="T19" s="111"/>
      <c r="U19" s="151"/>
      <c r="V19" s="195"/>
      <c r="W19" s="111"/>
      <c r="X19" s="195"/>
    </row>
    <row r="20" spans="1:24" x14ac:dyDescent="0.25">
      <c r="A20" s="161">
        <v>4123</v>
      </c>
      <c r="B20" s="132" t="s">
        <v>1780</v>
      </c>
      <c r="C20" s="597">
        <v>1734921.02</v>
      </c>
      <c r="D20" s="597">
        <v>0</v>
      </c>
      <c r="E20" s="597">
        <v>16632.95</v>
      </c>
      <c r="F20" s="598">
        <v>7757345.8100000005</v>
      </c>
      <c r="G20" s="598">
        <v>0</v>
      </c>
      <c r="H20" s="598">
        <v>7143431.4800000004</v>
      </c>
      <c r="I20" s="598">
        <v>0</v>
      </c>
      <c r="J20" s="598">
        <v>0</v>
      </c>
      <c r="K20" s="598">
        <v>1890.5900000000001</v>
      </c>
      <c r="L20" s="598">
        <v>16654221.850000001</v>
      </c>
      <c r="M20" s="599">
        <v>94.386800000000008</v>
      </c>
      <c r="N20" s="600">
        <v>176447</v>
      </c>
      <c r="O20" s="489">
        <v>2</v>
      </c>
      <c r="P20" s="195"/>
      <c r="Q20" s="198">
        <v>16654221.850000001</v>
      </c>
      <c r="R20" s="196">
        <v>0</v>
      </c>
      <c r="S20" s="181">
        <v>0</v>
      </c>
      <c r="T20" s="111"/>
      <c r="U20" s="151"/>
      <c r="V20" s="195"/>
      <c r="W20" s="111"/>
      <c r="X20" s="195"/>
    </row>
    <row r="21" spans="1:24" x14ac:dyDescent="0.25">
      <c r="A21" s="161">
        <v>4130</v>
      </c>
      <c r="B21" s="132" t="s">
        <v>1781</v>
      </c>
      <c r="C21" s="597">
        <v>157989.61000000002</v>
      </c>
      <c r="D21" s="597">
        <v>0</v>
      </c>
      <c r="E21" s="597">
        <v>0</v>
      </c>
      <c r="F21" s="598">
        <v>420632.4</v>
      </c>
      <c r="G21" s="598">
        <v>0</v>
      </c>
      <c r="H21" s="598">
        <v>517455.16000000003</v>
      </c>
      <c r="I21" s="598">
        <v>0</v>
      </c>
      <c r="J21" s="598">
        <v>0</v>
      </c>
      <c r="K21" s="598">
        <v>19050.7</v>
      </c>
      <c r="L21" s="598">
        <v>1115127.8699999999</v>
      </c>
      <c r="M21" s="599">
        <v>9.8529999999999998</v>
      </c>
      <c r="N21" s="600">
        <v>113176</v>
      </c>
      <c r="O21" s="489">
        <v>1</v>
      </c>
      <c r="P21" s="195"/>
      <c r="Q21" s="198">
        <v>1115127.8699999999</v>
      </c>
      <c r="R21" s="196">
        <v>0</v>
      </c>
      <c r="S21" s="181">
        <v>0</v>
      </c>
      <c r="T21" s="111"/>
      <c r="U21" s="151"/>
      <c r="V21" s="195"/>
      <c r="W21" s="111"/>
      <c r="X21" s="195"/>
    </row>
    <row r="22" spans="1:24" x14ac:dyDescent="0.25">
      <c r="A22" s="161">
        <v>4136</v>
      </c>
      <c r="B22" s="132" t="s">
        <v>1782</v>
      </c>
      <c r="C22" s="597">
        <v>1330373</v>
      </c>
      <c r="D22" s="597">
        <v>0</v>
      </c>
      <c r="E22" s="597">
        <v>0</v>
      </c>
      <c r="F22" s="598">
        <v>12189960.310000001</v>
      </c>
      <c r="G22" s="598">
        <v>0</v>
      </c>
      <c r="H22" s="598">
        <v>10420731.939999999</v>
      </c>
      <c r="I22" s="598">
        <v>0</v>
      </c>
      <c r="J22" s="598">
        <v>0</v>
      </c>
      <c r="K22" s="598">
        <v>117747.17</v>
      </c>
      <c r="L22" s="598">
        <v>24058812.420000002</v>
      </c>
      <c r="M22" s="599">
        <v>150.6686</v>
      </c>
      <c r="N22" s="600">
        <v>159680</v>
      </c>
      <c r="O22" s="489">
        <v>1</v>
      </c>
      <c r="P22" s="195"/>
      <c r="Q22" s="198">
        <v>24058812.420000002</v>
      </c>
      <c r="R22" s="196">
        <v>0</v>
      </c>
      <c r="S22" s="181">
        <v>0</v>
      </c>
      <c r="T22" s="111"/>
      <c r="U22" s="151"/>
      <c r="V22" s="195"/>
      <c r="W22" s="111"/>
      <c r="X22" s="195"/>
    </row>
    <row r="23" spans="1:24" x14ac:dyDescent="0.25">
      <c r="A23" s="161">
        <v>4137</v>
      </c>
      <c r="B23" s="132" t="s">
        <v>1782</v>
      </c>
      <c r="C23" s="597">
        <v>16589.080000000002</v>
      </c>
      <c r="D23" s="597">
        <v>0</v>
      </c>
      <c r="E23" s="597">
        <v>0</v>
      </c>
      <c r="F23" s="598">
        <v>2027936.36</v>
      </c>
      <c r="G23" s="598">
        <v>0</v>
      </c>
      <c r="H23" s="598">
        <v>1784137.46</v>
      </c>
      <c r="I23" s="598">
        <v>0</v>
      </c>
      <c r="J23" s="598">
        <v>0</v>
      </c>
      <c r="K23" s="598">
        <v>20088.12</v>
      </c>
      <c r="L23" s="598">
        <v>3848751.0200000005</v>
      </c>
      <c r="M23" s="599">
        <v>26.509</v>
      </c>
      <c r="N23" s="600">
        <v>145187</v>
      </c>
      <c r="O23" s="489">
        <v>1</v>
      </c>
      <c r="P23" s="195"/>
      <c r="Q23" s="198">
        <v>3848751.0200000005</v>
      </c>
      <c r="R23" s="196">
        <v>0</v>
      </c>
      <c r="S23" s="181">
        <v>0</v>
      </c>
      <c r="T23" s="111"/>
      <c r="U23" s="151"/>
      <c r="V23" s="195"/>
      <c r="W23" s="111"/>
      <c r="X23" s="195"/>
    </row>
    <row r="24" spans="1:24" x14ac:dyDescent="0.25">
      <c r="A24" s="161">
        <v>4138</v>
      </c>
      <c r="B24" s="132" t="s">
        <v>1783</v>
      </c>
      <c r="C24" s="597">
        <v>9605387.3200000003</v>
      </c>
      <c r="D24" s="597">
        <v>0</v>
      </c>
      <c r="E24" s="597">
        <v>98.19</v>
      </c>
      <c r="F24" s="598">
        <v>26351975.41</v>
      </c>
      <c r="G24" s="598">
        <v>118239.71</v>
      </c>
      <c r="H24" s="598">
        <v>18451819.539999999</v>
      </c>
      <c r="I24" s="598">
        <v>0</v>
      </c>
      <c r="J24" s="598">
        <v>0</v>
      </c>
      <c r="K24" s="598">
        <v>632859.44000000006</v>
      </c>
      <c r="L24" s="598">
        <v>55160379.609999999</v>
      </c>
      <c r="M24" s="599">
        <v>96.506100000000004</v>
      </c>
      <c r="N24" s="600">
        <v>571574</v>
      </c>
      <c r="O24" s="489">
        <v>3</v>
      </c>
      <c r="P24" s="195"/>
      <c r="Q24" s="198">
        <v>50820860.789999999</v>
      </c>
      <c r="R24" s="196">
        <v>4339518.82</v>
      </c>
      <c r="S24" s="181">
        <v>8.5388534403846306E-2</v>
      </c>
      <c r="T24" s="111"/>
      <c r="U24" s="151"/>
      <c r="V24" s="195"/>
      <c r="W24" s="111"/>
      <c r="X24" s="195"/>
    </row>
    <row r="25" spans="1:24" x14ac:dyDescent="0.25">
      <c r="A25" s="161">
        <v>4140</v>
      </c>
      <c r="B25" s="132" t="s">
        <v>1784</v>
      </c>
      <c r="C25" s="597">
        <v>278111.81</v>
      </c>
      <c r="D25" s="597">
        <v>0</v>
      </c>
      <c r="E25" s="597">
        <v>0</v>
      </c>
      <c r="F25" s="598">
        <v>12178545.18</v>
      </c>
      <c r="G25" s="598">
        <v>1375948.02</v>
      </c>
      <c r="H25" s="598">
        <v>9649509.5199999996</v>
      </c>
      <c r="I25" s="598">
        <v>0</v>
      </c>
      <c r="J25" s="598">
        <v>0</v>
      </c>
      <c r="K25" s="598">
        <v>329332.83</v>
      </c>
      <c r="L25" s="598">
        <v>23811447.359999999</v>
      </c>
      <c r="M25" s="599">
        <v>165.9571</v>
      </c>
      <c r="N25" s="600">
        <v>143480</v>
      </c>
      <c r="O25" s="489">
        <v>1</v>
      </c>
      <c r="P25" s="195"/>
      <c r="Q25" s="198">
        <v>23452743.049999997</v>
      </c>
      <c r="R25" s="196">
        <v>358704.31000000238</v>
      </c>
      <c r="S25" s="181">
        <v>1.5294769965085164E-2</v>
      </c>
      <c r="T25" s="111"/>
      <c r="U25" s="151"/>
      <c r="V25" s="195"/>
      <c r="W25" s="111"/>
      <c r="X25" s="195"/>
    </row>
    <row r="26" spans="1:24" x14ac:dyDescent="0.25">
      <c r="A26" s="161">
        <v>4141</v>
      </c>
      <c r="B26" s="132" t="s">
        <v>1785</v>
      </c>
      <c r="C26" s="597">
        <v>76199.12</v>
      </c>
      <c r="D26" s="597">
        <v>0</v>
      </c>
      <c r="E26" s="597">
        <v>0</v>
      </c>
      <c r="F26" s="598">
        <v>1155537.99</v>
      </c>
      <c r="G26" s="598">
        <v>0</v>
      </c>
      <c r="H26" s="598">
        <v>1251359.25</v>
      </c>
      <c r="I26" s="598">
        <v>0</v>
      </c>
      <c r="J26" s="598">
        <v>0</v>
      </c>
      <c r="K26" s="598">
        <v>55916.25</v>
      </c>
      <c r="L26" s="598">
        <v>2539012.61</v>
      </c>
      <c r="M26" s="599">
        <v>59.3947</v>
      </c>
      <c r="N26" s="600">
        <v>42748</v>
      </c>
      <c r="O26" s="489">
        <v>1</v>
      </c>
      <c r="P26" s="195"/>
      <c r="Q26" s="198">
        <v>2539012.61</v>
      </c>
      <c r="R26" s="196">
        <v>0</v>
      </c>
      <c r="S26" s="181">
        <v>0</v>
      </c>
      <c r="T26" s="111"/>
      <c r="U26" s="151"/>
      <c r="V26" s="195"/>
      <c r="W26" s="111"/>
      <c r="X26" s="195"/>
    </row>
    <row r="27" spans="1:24" x14ac:dyDescent="0.25">
      <c r="A27" s="161">
        <v>4143</v>
      </c>
      <c r="B27" s="132" t="s">
        <v>1328</v>
      </c>
      <c r="C27" s="597">
        <v>6166.88</v>
      </c>
      <c r="D27" s="597">
        <v>0</v>
      </c>
      <c r="E27" s="597">
        <v>0</v>
      </c>
      <c r="F27" s="598">
        <v>2588095.0300000003</v>
      </c>
      <c r="G27" s="598">
        <v>0</v>
      </c>
      <c r="H27" s="598">
        <v>1880705.48</v>
      </c>
      <c r="I27" s="598">
        <v>0</v>
      </c>
      <c r="J27" s="598">
        <v>0</v>
      </c>
      <c r="K27" s="598">
        <v>145064.49</v>
      </c>
      <c r="L27" s="598">
        <v>4620031.8800000008</v>
      </c>
      <c r="M27" s="599">
        <v>29.645799999999998</v>
      </c>
      <c r="N27" s="600">
        <v>155841</v>
      </c>
      <c r="O27" s="489">
        <v>1</v>
      </c>
      <c r="P27" s="195"/>
      <c r="Q27" s="198">
        <v>4620031.88</v>
      </c>
      <c r="R27" s="196">
        <v>0</v>
      </c>
      <c r="S27" s="181">
        <v>0</v>
      </c>
      <c r="T27" s="111"/>
      <c r="U27" s="151"/>
      <c r="V27" s="195"/>
      <c r="W27" s="111"/>
      <c r="X27" s="195"/>
    </row>
    <row r="28" spans="1:24" x14ac:dyDescent="0.25">
      <c r="A28" s="161">
        <v>4148</v>
      </c>
      <c r="B28" s="132" t="s">
        <v>1786</v>
      </c>
      <c r="C28" s="597">
        <v>1696736.12</v>
      </c>
      <c r="D28" s="597">
        <v>0</v>
      </c>
      <c r="E28" s="597">
        <v>0</v>
      </c>
      <c r="F28" s="598">
        <v>18384825.73</v>
      </c>
      <c r="G28" s="598">
        <v>0</v>
      </c>
      <c r="H28" s="598">
        <v>7820474.9199999999</v>
      </c>
      <c r="I28" s="598">
        <v>0</v>
      </c>
      <c r="J28" s="598">
        <v>0</v>
      </c>
      <c r="K28" s="598">
        <v>252983.4</v>
      </c>
      <c r="L28" s="598">
        <v>28155020.170000002</v>
      </c>
      <c r="M28" s="599">
        <v>28.751200000000001</v>
      </c>
      <c r="N28" s="600">
        <v>979264</v>
      </c>
      <c r="O28" s="489">
        <v>2</v>
      </c>
      <c r="P28" s="195"/>
      <c r="Q28" s="198">
        <v>32479116.870000001</v>
      </c>
      <c r="R28" s="196">
        <v>-4324096.6999999993</v>
      </c>
      <c r="S28" s="181">
        <v>-0.13313467596140338</v>
      </c>
      <c r="T28" s="182" t="s">
        <v>1787</v>
      </c>
      <c r="U28" s="151" t="s">
        <v>1788</v>
      </c>
      <c r="V28" s="195"/>
      <c r="W28" s="111"/>
      <c r="X28" s="195"/>
    </row>
    <row r="29" spans="1:24" x14ac:dyDescent="0.25">
      <c r="A29" s="161">
        <v>4154</v>
      </c>
      <c r="B29" s="132" t="s">
        <v>1789</v>
      </c>
      <c r="C29" s="597">
        <v>751548.67</v>
      </c>
      <c r="D29" s="597">
        <v>0</v>
      </c>
      <c r="E29" s="597">
        <v>0</v>
      </c>
      <c r="F29" s="598">
        <v>1157576.74</v>
      </c>
      <c r="G29" s="598">
        <v>0</v>
      </c>
      <c r="H29" s="598">
        <v>759625.13</v>
      </c>
      <c r="I29" s="598">
        <v>0</v>
      </c>
      <c r="J29" s="598">
        <v>0</v>
      </c>
      <c r="K29" s="598">
        <v>0</v>
      </c>
      <c r="L29" s="598">
        <v>2668750.54</v>
      </c>
      <c r="M29" s="599">
        <v>7.5735000000000001</v>
      </c>
      <c r="N29" s="600">
        <v>352380</v>
      </c>
      <c r="O29" s="489">
        <v>1</v>
      </c>
      <c r="P29" s="195"/>
      <c r="Q29" s="198">
        <v>2668750.54</v>
      </c>
      <c r="R29" s="196">
        <v>0</v>
      </c>
      <c r="S29" s="181">
        <v>0</v>
      </c>
      <c r="T29" s="111"/>
      <c r="U29" s="151"/>
      <c r="V29" s="195"/>
      <c r="W29" s="111"/>
      <c r="X29" s="195"/>
    </row>
    <row r="30" spans="1:24" x14ac:dyDescent="0.25">
      <c r="A30" s="161">
        <v>4155</v>
      </c>
      <c r="B30" s="132" t="s">
        <v>1790</v>
      </c>
      <c r="C30" s="597">
        <v>2956983.2199999997</v>
      </c>
      <c r="D30" s="597">
        <v>0</v>
      </c>
      <c r="E30" s="597">
        <v>0</v>
      </c>
      <c r="F30" s="598">
        <v>7540671.2400000002</v>
      </c>
      <c r="G30" s="598">
        <v>0</v>
      </c>
      <c r="H30" s="598">
        <v>4581493.1100000003</v>
      </c>
      <c r="I30" s="598">
        <v>0</v>
      </c>
      <c r="J30" s="598">
        <v>0</v>
      </c>
      <c r="K30" s="598">
        <v>187772.25</v>
      </c>
      <c r="L30" s="598">
        <v>15266919.82</v>
      </c>
      <c r="M30" s="599">
        <v>52.616400000000006</v>
      </c>
      <c r="N30" s="600">
        <v>290155</v>
      </c>
      <c r="O30" s="489">
        <v>1</v>
      </c>
      <c r="P30" s="195"/>
      <c r="Q30" s="198">
        <v>15266919.82</v>
      </c>
      <c r="R30" s="196">
        <v>0</v>
      </c>
      <c r="S30" s="181">
        <v>0</v>
      </c>
      <c r="T30" s="111"/>
      <c r="U30" s="151"/>
      <c r="V30" s="195"/>
      <c r="W30" s="111"/>
      <c r="X30" s="195"/>
    </row>
    <row r="31" spans="1:24" x14ac:dyDescent="0.25">
      <c r="A31" s="161">
        <v>4158</v>
      </c>
      <c r="B31" s="132" t="s">
        <v>521</v>
      </c>
      <c r="C31" s="597">
        <v>498592.85000000003</v>
      </c>
      <c r="D31" s="597">
        <v>0</v>
      </c>
      <c r="E31" s="597">
        <v>0</v>
      </c>
      <c r="F31" s="598">
        <v>0</v>
      </c>
      <c r="G31" s="598">
        <v>0</v>
      </c>
      <c r="H31" s="598">
        <v>0</v>
      </c>
      <c r="I31" s="598">
        <v>0</v>
      </c>
      <c r="J31" s="598">
        <v>0</v>
      </c>
      <c r="K31" s="598">
        <v>0</v>
      </c>
      <c r="L31" s="598">
        <v>498592.85000000003</v>
      </c>
      <c r="M31" s="599">
        <v>0</v>
      </c>
      <c r="N31" s="600">
        <v>0</v>
      </c>
      <c r="O31" s="489">
        <v>0</v>
      </c>
      <c r="P31" s="195" t="s">
        <v>83</v>
      </c>
      <c r="Q31" s="198">
        <v>498592.85</v>
      </c>
      <c r="R31" s="196">
        <v>0</v>
      </c>
      <c r="S31" s="181">
        <v>0</v>
      </c>
      <c r="T31" s="111"/>
      <c r="U31" s="151"/>
      <c r="V31" s="195"/>
      <c r="W31" s="111"/>
      <c r="X31" s="195"/>
    </row>
    <row r="32" spans="1:24" x14ac:dyDescent="0.25">
      <c r="A32" s="161">
        <v>4185</v>
      </c>
      <c r="B32" s="132" t="s">
        <v>1791</v>
      </c>
      <c r="C32" s="597">
        <v>12546475.5</v>
      </c>
      <c r="D32" s="597">
        <v>0</v>
      </c>
      <c r="E32" s="597">
        <v>0</v>
      </c>
      <c r="F32" s="598">
        <v>28772328.350000001</v>
      </c>
      <c r="G32" s="598">
        <v>804.68000000000006</v>
      </c>
      <c r="H32" s="598">
        <v>21381648.710000001</v>
      </c>
      <c r="I32" s="598">
        <v>0</v>
      </c>
      <c r="J32" s="598">
        <v>1151660.45</v>
      </c>
      <c r="K32" s="598">
        <v>453081.41000000003</v>
      </c>
      <c r="L32" s="598">
        <v>64305999.100000001</v>
      </c>
      <c r="M32" s="599">
        <v>126.45459999999999</v>
      </c>
      <c r="N32" s="600">
        <v>508530</v>
      </c>
      <c r="O32" s="489">
        <v>1</v>
      </c>
      <c r="P32" s="195"/>
      <c r="Q32" s="198">
        <v>64134769.450000003</v>
      </c>
      <c r="R32" s="196">
        <v>171229.64999999851</v>
      </c>
      <c r="S32" s="181">
        <v>2.6698412026489038E-3</v>
      </c>
      <c r="T32" s="111"/>
      <c r="U32" s="151"/>
      <c r="V32" s="195"/>
      <c r="W32" s="111"/>
      <c r="X32" s="195"/>
    </row>
    <row r="33" spans="1:24" x14ac:dyDescent="0.25">
      <c r="A33" s="161">
        <v>4186</v>
      </c>
      <c r="B33" s="132" t="s">
        <v>1791</v>
      </c>
      <c r="C33" s="597">
        <v>1194334.76</v>
      </c>
      <c r="D33" s="597">
        <v>0</v>
      </c>
      <c r="E33" s="597">
        <v>0</v>
      </c>
      <c r="F33" s="598">
        <v>17297410.52</v>
      </c>
      <c r="G33" s="598">
        <v>0</v>
      </c>
      <c r="H33" s="598">
        <v>25189674.899999999</v>
      </c>
      <c r="I33" s="598">
        <v>0</v>
      </c>
      <c r="J33" s="598">
        <v>0</v>
      </c>
      <c r="K33" s="598">
        <v>147244.76</v>
      </c>
      <c r="L33" s="598">
        <v>43828664.939999998</v>
      </c>
      <c r="M33" s="599">
        <v>112.0458</v>
      </c>
      <c r="N33" s="600">
        <v>391167</v>
      </c>
      <c r="O33" s="489">
        <v>1</v>
      </c>
      <c r="P33" s="195"/>
      <c r="Q33" s="198">
        <v>43486205.82</v>
      </c>
      <c r="R33" s="196">
        <v>342459.11999999732</v>
      </c>
      <c r="S33" s="181">
        <v>7.8751207087948139E-3</v>
      </c>
      <c r="T33" s="111"/>
      <c r="U33" s="151"/>
      <c r="V33" s="195"/>
      <c r="W33" s="111"/>
      <c r="X33" s="195"/>
    </row>
    <row r="34" spans="1:24" x14ac:dyDescent="0.25">
      <c r="A34" s="161">
        <v>4187</v>
      </c>
      <c r="B34" s="132" t="s">
        <v>1792</v>
      </c>
      <c r="C34" s="597">
        <v>10444073.32</v>
      </c>
      <c r="D34" s="597">
        <v>0</v>
      </c>
      <c r="E34" s="597">
        <v>0</v>
      </c>
      <c r="F34" s="598">
        <v>21195906.16</v>
      </c>
      <c r="G34" s="598">
        <v>0</v>
      </c>
      <c r="H34" s="598">
        <v>11949086.67</v>
      </c>
      <c r="I34" s="598">
        <v>0</v>
      </c>
      <c r="J34" s="598">
        <v>0</v>
      </c>
      <c r="K34" s="598">
        <v>4790335.8499999996</v>
      </c>
      <c r="L34" s="598">
        <v>48379402</v>
      </c>
      <c r="M34" s="599">
        <v>41.601199999999999</v>
      </c>
      <c r="N34" s="600">
        <v>1162933</v>
      </c>
      <c r="O34" s="489">
        <v>1</v>
      </c>
      <c r="P34" s="195"/>
      <c r="Q34" s="198">
        <v>48893090.770000003</v>
      </c>
      <c r="R34" s="196">
        <v>-513688.77000000328</v>
      </c>
      <c r="S34" s="181">
        <v>-1.0506367298734887E-2</v>
      </c>
      <c r="T34" s="111"/>
      <c r="U34" s="151"/>
      <c r="V34" s="195"/>
      <c r="W34" s="111"/>
      <c r="X34" s="195"/>
    </row>
    <row r="35" spans="1:24" x14ac:dyDescent="0.25">
      <c r="A35" s="161">
        <v>4188</v>
      </c>
      <c r="B35" s="132" t="s">
        <v>1793</v>
      </c>
      <c r="C35" s="597">
        <v>2858639.23</v>
      </c>
      <c r="D35" s="597">
        <v>8043.41</v>
      </c>
      <c r="E35" s="597">
        <v>0</v>
      </c>
      <c r="F35" s="598">
        <v>22909118.48</v>
      </c>
      <c r="G35" s="598">
        <v>515652.76</v>
      </c>
      <c r="H35" s="598">
        <v>14833343.109999999</v>
      </c>
      <c r="I35" s="598">
        <v>0</v>
      </c>
      <c r="J35" s="598">
        <v>0</v>
      </c>
      <c r="K35" s="598">
        <v>2448260.13</v>
      </c>
      <c r="L35" s="605">
        <v>43573057.120000005</v>
      </c>
      <c r="M35" s="599">
        <v>40.520900000000005</v>
      </c>
      <c r="N35" s="600">
        <v>1075323</v>
      </c>
      <c r="O35" s="489">
        <v>1</v>
      </c>
      <c r="P35" s="195"/>
      <c r="Q35" s="199">
        <v>43573057.120000005</v>
      </c>
      <c r="R35" s="196">
        <v>0</v>
      </c>
      <c r="S35" s="181">
        <v>0</v>
      </c>
      <c r="T35" s="111"/>
      <c r="U35" s="151"/>
      <c r="V35" s="195"/>
      <c r="W35" s="111"/>
      <c r="X35" s="195"/>
    </row>
    <row r="36" spans="1:24" x14ac:dyDescent="0.25">
      <c r="A36" s="132">
        <v>4191</v>
      </c>
      <c r="B36" s="132" t="s">
        <v>836</v>
      </c>
      <c r="C36" s="597">
        <v>0</v>
      </c>
      <c r="D36" s="597">
        <v>0</v>
      </c>
      <c r="E36" s="597">
        <v>0</v>
      </c>
      <c r="F36" s="598">
        <v>3058.3</v>
      </c>
      <c r="G36" s="598">
        <v>12338.300000000001</v>
      </c>
      <c r="H36" s="598">
        <v>4980.0200000000004</v>
      </c>
      <c r="I36" s="598">
        <v>0</v>
      </c>
      <c r="J36" s="598">
        <v>0</v>
      </c>
      <c r="K36" s="598">
        <v>0</v>
      </c>
      <c r="L36" s="598">
        <v>20377</v>
      </c>
      <c r="M36" s="606">
        <v>0.92</v>
      </c>
      <c r="N36" s="600">
        <v>22149</v>
      </c>
      <c r="O36" s="195">
        <v>1</v>
      </c>
      <c r="P36" s="195"/>
      <c r="Q36" s="180">
        <v>20377</v>
      </c>
      <c r="R36" s="196">
        <v>0</v>
      </c>
      <c r="S36" s="181">
        <v>0</v>
      </c>
      <c r="T36" s="111"/>
      <c r="U36" s="151"/>
      <c r="V36" s="195"/>
      <c r="W36" s="111"/>
      <c r="X36" s="195"/>
    </row>
    <row r="37" spans="1:24" x14ac:dyDescent="0.25">
      <c r="A37" s="216">
        <v>5069</v>
      </c>
      <c r="B37" s="132" t="s">
        <v>1794</v>
      </c>
      <c r="C37" s="597" t="s">
        <v>1776</v>
      </c>
      <c r="D37" s="597" t="s">
        <v>1776</v>
      </c>
      <c r="E37" s="597" t="s">
        <v>1776</v>
      </c>
      <c r="F37" s="598">
        <v>0</v>
      </c>
      <c r="G37" s="598">
        <v>123409.71</v>
      </c>
      <c r="H37" s="598">
        <v>53933.19</v>
      </c>
      <c r="I37" s="598">
        <v>0</v>
      </c>
      <c r="J37" s="598">
        <v>0</v>
      </c>
      <c r="K37" s="598">
        <v>0</v>
      </c>
      <c r="L37" s="598">
        <v>177343</v>
      </c>
      <c r="M37" s="600"/>
      <c r="N37" s="600"/>
      <c r="O37" s="138"/>
      <c r="P37" s="195"/>
      <c r="Q37" s="180"/>
      <c r="R37" s="195"/>
      <c r="S37" s="181"/>
      <c r="T37" s="111"/>
      <c r="U37" s="151"/>
      <c r="V37" s="195"/>
      <c r="W37" s="111"/>
      <c r="X37" s="195"/>
    </row>
    <row r="38" spans="1:24" x14ac:dyDescent="0.25">
      <c r="A38" s="216">
        <v>5070</v>
      </c>
      <c r="B38" s="132" t="s">
        <v>1795</v>
      </c>
      <c r="C38" s="597" t="s">
        <v>1776</v>
      </c>
      <c r="D38" s="597" t="s">
        <v>1776</v>
      </c>
      <c r="E38" s="597" t="s">
        <v>1776</v>
      </c>
      <c r="F38" s="598">
        <v>0</v>
      </c>
      <c r="G38" s="598">
        <v>5822.64</v>
      </c>
      <c r="H38" s="598">
        <v>2859.44</v>
      </c>
      <c r="I38" s="598">
        <v>0</v>
      </c>
      <c r="J38" s="598">
        <v>0</v>
      </c>
      <c r="K38" s="598">
        <v>0</v>
      </c>
      <c r="L38" s="598">
        <v>8682</v>
      </c>
      <c r="M38" s="600"/>
      <c r="N38" s="600"/>
      <c r="O38" s="138"/>
      <c r="P38" s="195"/>
      <c r="Q38" s="180"/>
      <c r="R38" s="195"/>
      <c r="S38" s="181"/>
      <c r="T38" s="111"/>
      <c r="U38" s="151"/>
      <c r="V38" s="195"/>
      <c r="W38" s="111"/>
      <c r="X38" s="195"/>
    </row>
    <row r="39" spans="1:24" x14ac:dyDescent="0.25">
      <c r="A39" s="161">
        <v>5080</v>
      </c>
      <c r="B39" s="132" t="s">
        <v>1796</v>
      </c>
      <c r="C39" s="597" t="s">
        <v>1776</v>
      </c>
      <c r="D39" s="597" t="s">
        <v>1776</v>
      </c>
      <c r="E39" s="597" t="s">
        <v>1776</v>
      </c>
      <c r="F39" s="598">
        <v>0</v>
      </c>
      <c r="G39" s="598">
        <v>0</v>
      </c>
      <c r="H39" s="598">
        <v>0</v>
      </c>
      <c r="I39" s="598">
        <v>0</v>
      </c>
      <c r="J39" s="598">
        <v>0</v>
      </c>
      <c r="K39" s="598">
        <v>2236589.73</v>
      </c>
      <c r="L39" s="605">
        <v>2236589.73</v>
      </c>
      <c r="M39" s="599"/>
      <c r="N39" s="600"/>
      <c r="O39" s="489"/>
      <c r="P39" s="195"/>
      <c r="Q39" s="180"/>
      <c r="R39" s="195"/>
      <c r="S39" s="181"/>
      <c r="T39" s="111"/>
      <c r="U39" s="151"/>
      <c r="V39" s="195"/>
      <c r="W39" s="111"/>
      <c r="X39" s="195"/>
    </row>
    <row r="40" spans="1:24" x14ac:dyDescent="0.25">
      <c r="A40" s="161">
        <v>5090</v>
      </c>
      <c r="B40" s="132" t="s">
        <v>1797</v>
      </c>
      <c r="C40" s="597" t="s">
        <v>1776</v>
      </c>
      <c r="D40" s="597" t="s">
        <v>1776</v>
      </c>
      <c r="E40" s="597" t="s">
        <v>1776</v>
      </c>
      <c r="F40" s="598">
        <v>0</v>
      </c>
      <c r="G40" s="598">
        <v>0</v>
      </c>
      <c r="H40" s="598">
        <v>0</v>
      </c>
      <c r="I40" s="598">
        <v>0</v>
      </c>
      <c r="J40" s="598">
        <v>0</v>
      </c>
      <c r="K40" s="598">
        <v>94491.680000000008</v>
      </c>
      <c r="L40" s="605">
        <v>94491.680000000008</v>
      </c>
      <c r="M40" s="599"/>
      <c r="N40" s="600"/>
      <c r="O40" s="489"/>
      <c r="P40" s="195"/>
      <c r="Q40" s="180"/>
      <c r="R40" s="195"/>
      <c r="S40" s="181"/>
      <c r="T40" s="111"/>
      <c r="U40" s="151"/>
      <c r="V40" s="195"/>
      <c r="W40" s="111"/>
      <c r="X40" s="195"/>
    </row>
    <row r="41" spans="1:24" x14ac:dyDescent="0.25">
      <c r="A41" s="161">
        <v>8958</v>
      </c>
      <c r="B41" s="132" t="s">
        <v>104</v>
      </c>
      <c r="C41" s="597" t="s">
        <v>1776</v>
      </c>
      <c r="D41" s="597" t="s">
        <v>1776</v>
      </c>
      <c r="E41" s="597" t="s">
        <v>1776</v>
      </c>
      <c r="F41" s="598">
        <v>2505376.39</v>
      </c>
      <c r="G41" s="598">
        <v>0</v>
      </c>
      <c r="H41" s="598">
        <v>359913.49</v>
      </c>
      <c r="I41" s="598">
        <v>0</v>
      </c>
      <c r="J41" s="598">
        <v>0</v>
      </c>
      <c r="K41" s="598">
        <v>0</v>
      </c>
      <c r="L41" s="605">
        <v>2865289.88</v>
      </c>
      <c r="M41" s="599"/>
      <c r="N41" s="600"/>
      <c r="O41" s="489"/>
      <c r="P41" s="195"/>
      <c r="Q41" s="180"/>
      <c r="R41" s="195"/>
      <c r="S41" s="181"/>
      <c r="T41" s="111"/>
      <c r="U41" s="151"/>
      <c r="V41" s="195"/>
      <c r="W41" s="111"/>
      <c r="X41" s="195"/>
    </row>
    <row r="42" spans="1:24" x14ac:dyDescent="0.25">
      <c r="A42" s="132"/>
      <c r="B42" s="135"/>
      <c r="C42" s="597"/>
      <c r="D42" s="622"/>
      <c r="E42" s="597"/>
      <c r="F42" s="598"/>
      <c r="G42" s="598"/>
      <c r="H42" s="605"/>
      <c r="I42" s="598"/>
      <c r="J42" s="598"/>
      <c r="K42" s="598"/>
      <c r="L42" s="598"/>
      <c r="M42" s="599"/>
      <c r="N42" s="600"/>
      <c r="O42" s="138"/>
      <c r="P42" s="195"/>
      <c r="Q42" s="180"/>
      <c r="R42" s="195"/>
      <c r="S42" s="181"/>
      <c r="T42" s="111"/>
      <c r="U42" s="151"/>
      <c r="V42" s="195"/>
      <c r="W42" s="111"/>
      <c r="X42" s="195"/>
    </row>
    <row r="43" spans="1:24" x14ac:dyDescent="0.25">
      <c r="A43" s="200" t="s">
        <v>1556</v>
      </c>
      <c r="B43" s="201"/>
      <c r="C43" s="602">
        <f t="shared" ref="C43:L43" si="1">ROUND(SUM(C19:C41),0)</f>
        <v>49063944</v>
      </c>
      <c r="D43" s="602">
        <f t="shared" si="1"/>
        <v>8043</v>
      </c>
      <c r="E43" s="602">
        <f t="shared" si="1"/>
        <v>43836</v>
      </c>
      <c r="F43" s="603">
        <f t="shared" si="1"/>
        <v>203735641</v>
      </c>
      <c r="G43" s="603">
        <f t="shared" si="1"/>
        <v>2237574</v>
      </c>
      <c r="H43" s="603">
        <f t="shared" si="1"/>
        <v>160977607</v>
      </c>
      <c r="I43" s="603">
        <f t="shared" si="1"/>
        <v>0</v>
      </c>
      <c r="J43" s="603">
        <f t="shared" si="1"/>
        <v>1151660</v>
      </c>
      <c r="K43" s="603">
        <f t="shared" si="1"/>
        <v>12728244</v>
      </c>
      <c r="L43" s="603">
        <f t="shared" si="1"/>
        <v>429946551</v>
      </c>
      <c r="M43" s="600">
        <f>ROUND(SUM(M19:M36),0)</f>
        <v>1269</v>
      </c>
      <c r="N43" s="600">
        <f>ROUND(SUM(N19:N36),0)</f>
        <v>6494294</v>
      </c>
      <c r="O43" s="138">
        <f>SUM(O19:O35)</f>
        <v>21</v>
      </c>
      <c r="P43" s="195"/>
      <c r="Q43" s="180"/>
      <c r="R43" s="195"/>
      <c r="S43" s="181"/>
      <c r="T43" s="111"/>
      <c r="U43" s="490"/>
      <c r="V43" s="195"/>
      <c r="W43" s="111"/>
      <c r="X43" s="195"/>
    </row>
    <row r="44" spans="1:24" x14ac:dyDescent="0.25">
      <c r="A44" s="132"/>
      <c r="B44" s="132"/>
      <c r="C44" s="597"/>
      <c r="D44" s="597"/>
      <c r="E44" s="597"/>
      <c r="F44" s="598"/>
      <c r="G44" s="598"/>
      <c r="H44" s="598"/>
      <c r="I44" s="598"/>
      <c r="J44" s="598"/>
      <c r="K44" s="598"/>
      <c r="L44" s="598"/>
      <c r="M44" s="600"/>
      <c r="N44" s="600"/>
      <c r="O44" s="138"/>
      <c r="P44" s="195"/>
      <c r="Q44" s="180"/>
      <c r="R44" s="195"/>
      <c r="S44" s="181"/>
      <c r="T44" s="111"/>
      <c r="U44" s="151"/>
      <c r="V44" s="195"/>
      <c r="W44" s="111"/>
      <c r="X44" s="195"/>
    </row>
    <row r="45" spans="1:24" x14ac:dyDescent="0.25">
      <c r="A45" s="494" t="s">
        <v>84</v>
      </c>
      <c r="B45" s="163"/>
      <c r="C45" s="597"/>
      <c r="D45" s="597"/>
      <c r="E45" s="597"/>
      <c r="F45" s="598"/>
      <c r="G45" s="598"/>
      <c r="H45" s="598"/>
      <c r="I45" s="598"/>
      <c r="J45" s="598"/>
      <c r="K45" s="598"/>
      <c r="L45" s="598"/>
      <c r="M45" s="600"/>
      <c r="N45" s="600"/>
      <c r="O45" s="138"/>
      <c r="P45" s="195"/>
      <c r="Q45" s="180"/>
      <c r="R45" s="195"/>
      <c r="S45" s="181"/>
      <c r="T45" s="111"/>
      <c r="U45" s="151"/>
      <c r="V45" s="195"/>
      <c r="W45" s="111"/>
      <c r="X45" s="195"/>
    </row>
    <row r="46" spans="1:24" x14ac:dyDescent="0.25">
      <c r="A46" s="132"/>
      <c r="B46" s="135"/>
      <c r="C46" s="597"/>
      <c r="D46" s="597"/>
      <c r="E46" s="597"/>
      <c r="F46" s="598"/>
      <c r="G46" s="598"/>
      <c r="H46" s="598"/>
      <c r="I46" s="598"/>
      <c r="J46" s="598"/>
      <c r="K46" s="598"/>
      <c r="L46" s="598"/>
      <c r="M46" s="600"/>
      <c r="N46" s="600"/>
      <c r="O46" s="138"/>
      <c r="P46" s="195"/>
      <c r="Q46" s="180"/>
      <c r="R46" s="195"/>
      <c r="S46" s="181"/>
      <c r="T46" s="111"/>
      <c r="U46" s="151"/>
      <c r="V46" s="195"/>
      <c r="W46" s="111"/>
      <c r="X46" s="195"/>
    </row>
    <row r="47" spans="1:24" x14ac:dyDescent="0.25">
      <c r="A47" s="161">
        <v>4045</v>
      </c>
      <c r="B47" s="132"/>
      <c r="C47" s="597">
        <v>179131.19</v>
      </c>
      <c r="D47" s="597">
        <v>0</v>
      </c>
      <c r="E47" s="597">
        <v>0</v>
      </c>
      <c r="F47" s="598">
        <v>701607.26</v>
      </c>
      <c r="G47" s="598">
        <v>0</v>
      </c>
      <c r="H47" s="598">
        <v>453191.93</v>
      </c>
      <c r="I47" s="598">
        <v>0</v>
      </c>
      <c r="J47" s="598">
        <v>0</v>
      </c>
      <c r="K47" s="598">
        <v>38005.61</v>
      </c>
      <c r="L47" s="598">
        <v>1371935.99</v>
      </c>
      <c r="M47" s="599">
        <v>12.996300000000002</v>
      </c>
      <c r="N47" s="600">
        <v>105564</v>
      </c>
      <c r="O47" s="489">
        <v>2</v>
      </c>
      <c r="P47" s="195"/>
      <c r="Q47" s="198">
        <v>1371935.99</v>
      </c>
      <c r="R47" s="196">
        <v>0</v>
      </c>
      <c r="S47" s="181">
        <v>0</v>
      </c>
      <c r="T47" s="111"/>
      <c r="U47" s="151"/>
      <c r="V47" s="195"/>
      <c r="W47" s="111"/>
      <c r="X47" s="195"/>
    </row>
    <row r="48" spans="1:24" x14ac:dyDescent="0.25">
      <c r="A48" s="161">
        <v>4046</v>
      </c>
      <c r="B48" s="132"/>
      <c r="C48" s="597">
        <v>186657</v>
      </c>
      <c r="D48" s="597">
        <v>0</v>
      </c>
      <c r="E48" s="597">
        <v>0</v>
      </c>
      <c r="F48" s="598">
        <v>214408.72</v>
      </c>
      <c r="G48" s="598">
        <v>0</v>
      </c>
      <c r="H48" s="598">
        <v>62108.41</v>
      </c>
      <c r="I48" s="598">
        <v>0</v>
      </c>
      <c r="J48" s="598">
        <v>0</v>
      </c>
      <c r="K48" s="598">
        <v>0</v>
      </c>
      <c r="L48" s="598">
        <v>463174.13</v>
      </c>
      <c r="M48" s="599">
        <v>1.7900000000000003</v>
      </c>
      <c r="N48" s="600">
        <v>258756</v>
      </c>
      <c r="O48" s="489">
        <v>1</v>
      </c>
      <c r="P48" s="195"/>
      <c r="Q48" s="198">
        <v>463174.13</v>
      </c>
      <c r="R48" s="196">
        <v>0</v>
      </c>
      <c r="S48" s="181">
        <v>0</v>
      </c>
      <c r="T48" s="111"/>
      <c r="U48" s="151"/>
      <c r="V48" s="195"/>
      <c r="W48" s="111"/>
      <c r="X48" s="195"/>
    </row>
    <row r="49" spans="1:24" x14ac:dyDescent="0.25">
      <c r="A49" s="161">
        <v>4051</v>
      </c>
      <c r="B49" s="132"/>
      <c r="C49" s="597">
        <v>0</v>
      </c>
      <c r="D49" s="597">
        <v>0</v>
      </c>
      <c r="E49" s="597">
        <v>0</v>
      </c>
      <c r="F49" s="598">
        <v>316356.16000000003</v>
      </c>
      <c r="G49" s="598">
        <v>0</v>
      </c>
      <c r="H49" s="598">
        <v>204877.57</v>
      </c>
      <c r="I49" s="598">
        <v>0</v>
      </c>
      <c r="J49" s="598">
        <v>0</v>
      </c>
      <c r="K49" s="598">
        <v>145317.42000000001</v>
      </c>
      <c r="L49" s="598">
        <v>666551.15</v>
      </c>
      <c r="M49" s="599">
        <v>7.3538999999999994</v>
      </c>
      <c r="N49" s="600">
        <v>90639</v>
      </c>
      <c r="O49" s="489">
        <v>2</v>
      </c>
      <c r="P49" s="195"/>
      <c r="Q49" s="198">
        <v>666551.15</v>
      </c>
      <c r="R49" s="196">
        <v>0</v>
      </c>
      <c r="S49" s="181">
        <v>0</v>
      </c>
      <c r="T49" s="111"/>
      <c r="U49" s="151"/>
      <c r="V49" s="195"/>
      <c r="W49" s="111"/>
      <c r="X49" s="195"/>
    </row>
    <row r="50" spans="1:24" x14ac:dyDescent="0.25">
      <c r="A50" s="161">
        <v>4059</v>
      </c>
      <c r="B50" s="132"/>
      <c r="C50" s="597">
        <v>13001.630000000001</v>
      </c>
      <c r="D50" s="597">
        <v>0</v>
      </c>
      <c r="E50" s="597">
        <v>0</v>
      </c>
      <c r="F50" s="598">
        <v>333663.38</v>
      </c>
      <c r="G50" s="598">
        <v>0</v>
      </c>
      <c r="H50" s="598">
        <v>202342.84</v>
      </c>
      <c r="I50" s="598">
        <v>0</v>
      </c>
      <c r="J50" s="598">
        <v>0</v>
      </c>
      <c r="K50" s="598">
        <v>20952.760000000002</v>
      </c>
      <c r="L50" s="598">
        <v>569960.61</v>
      </c>
      <c r="M50" s="599">
        <v>2.7390000000000003</v>
      </c>
      <c r="N50" s="600">
        <v>208091</v>
      </c>
      <c r="O50" s="489">
        <v>1</v>
      </c>
      <c r="P50" s="195"/>
      <c r="Q50" s="198">
        <v>569960.61</v>
      </c>
      <c r="R50" s="196">
        <v>0</v>
      </c>
      <c r="S50" s="181">
        <v>0</v>
      </c>
      <c r="T50" s="111"/>
      <c r="U50" s="151"/>
      <c r="V50" s="195"/>
      <c r="W50" s="111"/>
      <c r="X50" s="195"/>
    </row>
    <row r="51" spans="1:24" x14ac:dyDescent="0.25">
      <c r="A51" s="161">
        <v>4070</v>
      </c>
      <c r="B51" s="132"/>
      <c r="C51" s="597">
        <v>61040.14</v>
      </c>
      <c r="D51" s="597">
        <v>0</v>
      </c>
      <c r="E51" s="597">
        <v>0</v>
      </c>
      <c r="F51" s="598">
        <v>344763.94</v>
      </c>
      <c r="G51" s="598">
        <v>0</v>
      </c>
      <c r="H51" s="598">
        <v>232145.83000000002</v>
      </c>
      <c r="I51" s="598">
        <v>0</v>
      </c>
      <c r="J51" s="598">
        <v>0</v>
      </c>
      <c r="K51" s="598">
        <v>11892.08</v>
      </c>
      <c r="L51" s="598">
        <v>649841.99</v>
      </c>
      <c r="M51" s="599">
        <v>4.4239999999999995</v>
      </c>
      <c r="N51" s="600">
        <v>146890</v>
      </c>
      <c r="O51" s="489">
        <v>1</v>
      </c>
      <c r="P51" s="195"/>
      <c r="Q51" s="198">
        <v>649841.99</v>
      </c>
      <c r="R51" s="196">
        <v>0</v>
      </c>
      <c r="S51" s="181">
        <v>0</v>
      </c>
      <c r="T51" s="111"/>
      <c r="U51" s="151"/>
      <c r="V51" s="195"/>
      <c r="W51" s="111"/>
      <c r="X51" s="195"/>
    </row>
    <row r="52" spans="1:24" x14ac:dyDescent="0.25">
      <c r="A52" s="161">
        <v>4101</v>
      </c>
      <c r="B52" s="132"/>
      <c r="C52" s="597">
        <v>1458745.99</v>
      </c>
      <c r="D52" s="597">
        <v>278181.34999999998</v>
      </c>
      <c r="E52" s="597">
        <v>98474.790000000008</v>
      </c>
      <c r="F52" s="598">
        <v>22300100.710000001</v>
      </c>
      <c r="G52" s="598">
        <v>1382053.92</v>
      </c>
      <c r="H52" s="598">
        <v>30443253.199999999</v>
      </c>
      <c r="I52" s="598">
        <v>0</v>
      </c>
      <c r="J52" s="598">
        <v>0</v>
      </c>
      <c r="K52" s="598">
        <v>1167288.67</v>
      </c>
      <c r="L52" s="598">
        <v>57128098.629999995</v>
      </c>
      <c r="M52" s="599">
        <v>354.28050000000002</v>
      </c>
      <c r="N52" s="600">
        <v>161251</v>
      </c>
      <c r="O52" s="489">
        <v>20</v>
      </c>
      <c r="P52" s="195"/>
      <c r="Q52" s="198">
        <v>57168711.650000006</v>
      </c>
      <c r="R52" s="196">
        <v>-40613.020000010729</v>
      </c>
      <c r="S52" s="181">
        <v>-7.1040642386088759E-4</v>
      </c>
      <c r="T52" s="111"/>
      <c r="U52" s="151"/>
      <c r="V52" s="195"/>
      <c r="W52" s="111"/>
      <c r="X52" s="195"/>
    </row>
    <row r="53" spans="1:24" x14ac:dyDescent="0.25">
      <c r="A53" s="161">
        <v>4102</v>
      </c>
      <c r="B53" s="132"/>
      <c r="C53" s="597">
        <v>1466127.54</v>
      </c>
      <c r="D53" s="597">
        <v>0</v>
      </c>
      <c r="E53" s="597">
        <v>0</v>
      </c>
      <c r="F53" s="598">
        <v>2085104.22</v>
      </c>
      <c r="G53" s="598">
        <v>500489.31</v>
      </c>
      <c r="H53" s="598">
        <v>1391079.1</v>
      </c>
      <c r="I53" s="598">
        <v>0</v>
      </c>
      <c r="J53" s="598">
        <v>0</v>
      </c>
      <c r="K53" s="598">
        <v>0</v>
      </c>
      <c r="L53" s="598">
        <v>5442800.1699999999</v>
      </c>
      <c r="M53" s="599">
        <v>8.4268000000000001</v>
      </c>
      <c r="N53" s="600">
        <v>645892</v>
      </c>
      <c r="O53" s="489">
        <v>6</v>
      </c>
      <c r="P53" s="195"/>
      <c r="Q53" s="198">
        <v>5442800.1699999999</v>
      </c>
      <c r="R53" s="196">
        <v>0</v>
      </c>
      <c r="S53" s="181">
        <v>0</v>
      </c>
      <c r="T53" s="111"/>
      <c r="U53" s="151"/>
      <c r="V53" s="195"/>
      <c r="W53" s="111"/>
      <c r="X53" s="195"/>
    </row>
    <row r="54" spans="1:24" x14ac:dyDescent="0.25">
      <c r="A54" s="161">
        <v>4104</v>
      </c>
      <c r="B54" s="132" t="s">
        <v>1583</v>
      </c>
      <c r="C54" s="597">
        <v>1330950.5848394269</v>
      </c>
      <c r="D54" s="597">
        <v>0</v>
      </c>
      <c r="E54" s="597">
        <v>0</v>
      </c>
      <c r="F54" s="598">
        <v>5814541.8200000003</v>
      </c>
      <c r="G54" s="598">
        <v>176103.17</v>
      </c>
      <c r="H54" s="598">
        <v>3132692.71</v>
      </c>
      <c r="I54" s="598"/>
      <c r="J54" s="598"/>
      <c r="K54" s="598">
        <v>230329.84709513982</v>
      </c>
      <c r="L54" s="598">
        <v>10684618.131934566</v>
      </c>
      <c r="M54" s="599">
        <v>143.64699999999999</v>
      </c>
      <c r="N54" s="600">
        <v>74381</v>
      </c>
      <c r="O54" s="489">
        <v>10</v>
      </c>
      <c r="P54" s="195"/>
      <c r="Q54" s="198">
        <v>10684618.131934566</v>
      </c>
      <c r="R54" s="196">
        <v>0</v>
      </c>
      <c r="S54" s="181">
        <v>0</v>
      </c>
      <c r="T54" s="111"/>
      <c r="U54" s="151"/>
      <c r="V54" s="195"/>
      <c r="W54" s="111"/>
      <c r="X54" s="195"/>
    </row>
    <row r="55" spans="1:24" x14ac:dyDescent="0.25">
      <c r="A55" s="161">
        <v>4104</v>
      </c>
      <c r="B55" s="132" t="s">
        <v>1584</v>
      </c>
      <c r="C55" s="597">
        <v>384.51516057304519</v>
      </c>
      <c r="D55" s="597">
        <v>0</v>
      </c>
      <c r="E55" s="597">
        <v>0</v>
      </c>
      <c r="F55" s="598"/>
      <c r="G55" s="598"/>
      <c r="H55" s="598"/>
      <c r="I55" s="598">
        <v>1479.8600000000001</v>
      </c>
      <c r="J55" s="598">
        <v>260160.02000000002</v>
      </c>
      <c r="K55" s="598">
        <v>66.542904860166274</v>
      </c>
      <c r="L55" s="598">
        <v>262090.93806543323</v>
      </c>
      <c r="M55" s="599">
        <v>4.1500000000000002E-2</v>
      </c>
      <c r="N55" s="600">
        <v>6315444</v>
      </c>
      <c r="O55" s="489"/>
      <c r="P55" s="195"/>
      <c r="Q55" s="198">
        <v>262090.93806543321</v>
      </c>
      <c r="R55" s="196">
        <v>0</v>
      </c>
      <c r="S55" s="181">
        <v>0</v>
      </c>
      <c r="T55" s="111"/>
      <c r="U55" s="151"/>
      <c r="V55" s="195"/>
      <c r="W55" s="111"/>
      <c r="X55" s="195"/>
    </row>
    <row r="56" spans="1:24" x14ac:dyDescent="0.25">
      <c r="A56" s="161">
        <v>4107</v>
      </c>
      <c r="B56" s="132"/>
      <c r="C56" s="597">
        <v>2639645.79</v>
      </c>
      <c r="D56" s="597">
        <v>326477.97000000003</v>
      </c>
      <c r="E56" s="597">
        <v>0</v>
      </c>
      <c r="F56" s="598">
        <v>8888468.8000000119</v>
      </c>
      <c r="G56" s="598">
        <v>0</v>
      </c>
      <c r="H56" s="598">
        <v>6813717.9199999869</v>
      </c>
      <c r="I56" s="598">
        <v>0</v>
      </c>
      <c r="J56" s="598">
        <v>0</v>
      </c>
      <c r="K56" s="598">
        <v>836446.34999999951</v>
      </c>
      <c r="L56" s="598">
        <v>19504756.829999994</v>
      </c>
      <c r="M56" s="599">
        <v>270.78870000000006</v>
      </c>
      <c r="N56" s="600">
        <v>72029</v>
      </c>
      <c r="O56" s="489">
        <v>10</v>
      </c>
      <c r="P56" s="195"/>
      <c r="Q56" s="198">
        <v>19504756.84999999</v>
      </c>
      <c r="R56" s="196">
        <v>-1.9999995827674866E-2</v>
      </c>
      <c r="S56" s="181">
        <v>-1.0253906612689434E-9</v>
      </c>
      <c r="T56" s="111"/>
      <c r="U56" s="151"/>
      <c r="V56" s="195"/>
      <c r="W56" s="111"/>
      <c r="X56" s="195"/>
    </row>
    <row r="57" spans="1:24" x14ac:dyDescent="0.25">
      <c r="A57" s="161">
        <v>4712</v>
      </c>
      <c r="B57" s="132"/>
      <c r="C57" s="597" t="s">
        <v>1011</v>
      </c>
      <c r="D57" s="597" t="s">
        <v>1011</v>
      </c>
      <c r="E57" s="597" t="s">
        <v>1011</v>
      </c>
      <c r="F57" s="598">
        <v>90778824.769999981</v>
      </c>
      <c r="G57" s="598">
        <v>0</v>
      </c>
      <c r="H57" s="598">
        <v>9514634.9400000125</v>
      </c>
      <c r="I57" s="598" t="s">
        <v>1011</v>
      </c>
      <c r="J57" s="598" t="s">
        <v>1011</v>
      </c>
      <c r="K57" s="598">
        <v>2.0000000484287739E-2</v>
      </c>
      <c r="L57" s="598">
        <v>100293459.72999999</v>
      </c>
      <c r="M57" s="599">
        <v>21.52</v>
      </c>
      <c r="N57" s="600">
        <v>4660476.7532527875</v>
      </c>
      <c r="O57" s="489">
        <v>1</v>
      </c>
      <c r="P57" s="195"/>
      <c r="Q57" s="198">
        <v>100984704.62</v>
      </c>
      <c r="R57" s="196">
        <v>-691244.8900000155</v>
      </c>
      <c r="S57" s="181">
        <v>-6.8450454214935563E-3</v>
      </c>
      <c r="T57" s="111"/>
      <c r="U57" s="151"/>
      <c r="V57" s="195"/>
      <c r="W57" s="111"/>
      <c r="X57" s="195"/>
    </row>
    <row r="58" spans="1:24" x14ac:dyDescent="0.25">
      <c r="A58" s="161">
        <v>4108</v>
      </c>
      <c r="B58" s="132"/>
      <c r="C58" s="597">
        <v>8067990.54</v>
      </c>
      <c r="D58" s="597">
        <v>3035776.63</v>
      </c>
      <c r="E58" s="597">
        <v>0</v>
      </c>
      <c r="F58" s="598">
        <v>14114756.310000001</v>
      </c>
      <c r="G58" s="598">
        <v>1558476.38</v>
      </c>
      <c r="H58" s="598">
        <v>14150890.85</v>
      </c>
      <c r="I58" s="598">
        <v>105.92</v>
      </c>
      <c r="J58" s="598">
        <v>0</v>
      </c>
      <c r="K58" s="598">
        <v>454130.57</v>
      </c>
      <c r="L58" s="598">
        <v>41382127.200000003</v>
      </c>
      <c r="M58" s="599">
        <v>169.202</v>
      </c>
      <c r="N58" s="600">
        <v>244572</v>
      </c>
      <c r="O58" s="489">
        <v>5</v>
      </c>
      <c r="P58" s="195" t="s">
        <v>85</v>
      </c>
      <c r="Q58" s="198">
        <v>41387453.830000006</v>
      </c>
      <c r="R58" s="196">
        <v>-5326.6300000026822</v>
      </c>
      <c r="S58" s="181">
        <v>-1.2870156308431024E-4</v>
      </c>
      <c r="T58" s="111"/>
      <c r="U58" s="151"/>
      <c r="V58" s="195"/>
      <c r="W58" s="111"/>
      <c r="X58" s="195"/>
    </row>
    <row r="59" spans="1:24" x14ac:dyDescent="0.25">
      <c r="A59" s="161">
        <v>4109</v>
      </c>
      <c r="B59" s="132"/>
      <c r="C59" s="597" t="s">
        <v>1011</v>
      </c>
      <c r="D59" s="597" t="s">
        <v>1011</v>
      </c>
      <c r="E59" s="597" t="s">
        <v>1011</v>
      </c>
      <c r="F59" s="598" t="s">
        <v>1011</v>
      </c>
      <c r="G59" s="598" t="s">
        <v>1011</v>
      </c>
      <c r="H59" s="598" t="s">
        <v>1011</v>
      </c>
      <c r="I59" s="598" t="s">
        <v>1011</v>
      </c>
      <c r="J59" s="598" t="s">
        <v>1011</v>
      </c>
      <c r="K59" s="598" t="s">
        <v>1011</v>
      </c>
      <c r="L59" s="598">
        <v>0</v>
      </c>
      <c r="M59" s="599">
        <v>0.3826</v>
      </c>
      <c r="N59" s="600">
        <v>0</v>
      </c>
      <c r="O59" s="489">
        <v>1</v>
      </c>
      <c r="P59" s="195"/>
      <c r="Q59" s="198">
        <v>0</v>
      </c>
      <c r="R59" s="196">
        <v>0</v>
      </c>
      <c r="S59" s="181"/>
      <c r="T59" s="111"/>
      <c r="U59" s="151"/>
      <c r="V59" s="195"/>
      <c r="W59" s="111"/>
      <c r="X59" s="195"/>
    </row>
    <row r="60" spans="1:24" x14ac:dyDescent="0.25">
      <c r="A60" s="161">
        <v>4111</v>
      </c>
      <c r="B60" s="132"/>
      <c r="C60" s="597">
        <v>1943.63</v>
      </c>
      <c r="D60" s="597">
        <v>0</v>
      </c>
      <c r="E60" s="597">
        <v>0</v>
      </c>
      <c r="F60" s="598">
        <v>133733.62</v>
      </c>
      <c r="G60" s="598">
        <v>0</v>
      </c>
      <c r="H60" s="598">
        <v>155709.53</v>
      </c>
      <c r="I60" s="598">
        <v>0</v>
      </c>
      <c r="J60" s="598">
        <v>0</v>
      </c>
      <c r="K60" s="598">
        <v>29428.59</v>
      </c>
      <c r="L60" s="598">
        <v>320815.37000000005</v>
      </c>
      <c r="M60" s="599">
        <v>5.7905999999999995</v>
      </c>
      <c r="N60" s="600">
        <v>55403</v>
      </c>
      <c r="O60" s="489">
        <v>1</v>
      </c>
      <c r="P60" s="195"/>
      <c r="Q60" s="198">
        <v>320815.37000000005</v>
      </c>
      <c r="R60" s="196">
        <v>0</v>
      </c>
      <c r="S60" s="181">
        <v>0</v>
      </c>
      <c r="T60" s="111"/>
      <c r="U60" s="151"/>
      <c r="V60" s="195"/>
      <c r="W60" s="111"/>
      <c r="X60" s="195"/>
    </row>
    <row r="61" spans="1:24" x14ac:dyDescent="0.25">
      <c r="A61" s="161">
        <v>4113</v>
      </c>
      <c r="B61" s="132"/>
      <c r="C61" s="597">
        <v>874871.71</v>
      </c>
      <c r="D61" s="597">
        <v>0</v>
      </c>
      <c r="E61" s="597">
        <v>0</v>
      </c>
      <c r="F61" s="598">
        <v>1841245.76</v>
      </c>
      <c r="G61" s="598">
        <v>206178.44</v>
      </c>
      <c r="H61" s="598">
        <v>2150449.19</v>
      </c>
      <c r="I61" s="598">
        <v>0</v>
      </c>
      <c r="J61" s="598">
        <v>0</v>
      </c>
      <c r="K61" s="598">
        <v>631017.85</v>
      </c>
      <c r="L61" s="598">
        <v>5703762.9499999993</v>
      </c>
      <c r="M61" s="599">
        <v>129.55309999999997</v>
      </c>
      <c r="N61" s="600">
        <v>44026</v>
      </c>
      <c r="O61" s="489">
        <v>2</v>
      </c>
      <c r="P61" s="195"/>
      <c r="Q61" s="198">
        <v>5703762.9499999993</v>
      </c>
      <c r="R61" s="196">
        <v>0</v>
      </c>
      <c r="S61" s="181">
        <v>0</v>
      </c>
      <c r="T61" s="111"/>
      <c r="U61" s="151"/>
      <c r="V61" s="195"/>
      <c r="W61" s="111"/>
      <c r="X61" s="195"/>
    </row>
    <row r="62" spans="1:24" x14ac:dyDescent="0.25">
      <c r="A62" s="161">
        <v>4114</v>
      </c>
      <c r="B62" s="132"/>
      <c r="C62" s="597">
        <v>3210586.56</v>
      </c>
      <c r="D62" s="597">
        <v>539508.99</v>
      </c>
      <c r="E62" s="597">
        <v>661181.77</v>
      </c>
      <c r="F62" s="598">
        <v>13532583.640000001</v>
      </c>
      <c r="G62" s="598">
        <v>147920.36000000002</v>
      </c>
      <c r="H62" s="598">
        <v>9682086.0899999999</v>
      </c>
      <c r="I62" s="598">
        <v>0</v>
      </c>
      <c r="J62" s="598">
        <v>0</v>
      </c>
      <c r="K62" s="598">
        <v>304171.08</v>
      </c>
      <c r="L62" s="598">
        <v>28078038.489999998</v>
      </c>
      <c r="M62" s="599">
        <v>129.55309999999997</v>
      </c>
      <c r="N62" s="600">
        <v>216730</v>
      </c>
      <c r="O62" s="489">
        <v>13</v>
      </c>
      <c r="P62" s="195"/>
      <c r="Q62" s="198">
        <v>28078038.489999998</v>
      </c>
      <c r="R62" s="196">
        <v>0</v>
      </c>
      <c r="S62" s="181">
        <v>0</v>
      </c>
      <c r="T62" s="111"/>
      <c r="U62" s="151"/>
      <c r="V62" s="195"/>
      <c r="W62" s="111"/>
      <c r="X62" s="195"/>
    </row>
    <row r="63" spans="1:24" x14ac:dyDescent="0.25">
      <c r="A63" s="161">
        <v>4115</v>
      </c>
      <c r="B63" s="132"/>
      <c r="C63" s="597">
        <v>1607024.1400000001</v>
      </c>
      <c r="D63" s="597">
        <v>531634.82999999996</v>
      </c>
      <c r="E63" s="597">
        <v>2148.6799999999998</v>
      </c>
      <c r="F63" s="598">
        <v>3599135.37</v>
      </c>
      <c r="G63" s="598">
        <v>394606.06</v>
      </c>
      <c r="H63" s="598">
        <v>2096242.82</v>
      </c>
      <c r="I63" s="598">
        <v>0</v>
      </c>
      <c r="J63" s="598">
        <v>0</v>
      </c>
      <c r="K63" s="598">
        <v>27417.100000000002</v>
      </c>
      <c r="L63" s="598">
        <v>8258209</v>
      </c>
      <c r="M63" s="599">
        <v>27.066800000000001</v>
      </c>
      <c r="N63" s="600">
        <v>305105</v>
      </c>
      <c r="O63" s="489">
        <v>4</v>
      </c>
      <c r="P63" s="195"/>
      <c r="Q63" s="198">
        <v>8258208.9999999991</v>
      </c>
      <c r="R63" s="196">
        <v>0</v>
      </c>
      <c r="S63" s="181">
        <v>0</v>
      </c>
      <c r="T63" s="111"/>
      <c r="U63" s="151"/>
      <c r="V63" s="195"/>
      <c r="W63" s="111"/>
      <c r="X63" s="195"/>
    </row>
    <row r="64" spans="1:24" x14ac:dyDescent="0.25">
      <c r="A64" s="161">
        <v>4116</v>
      </c>
      <c r="B64" s="132" t="s">
        <v>1583</v>
      </c>
      <c r="C64" s="597">
        <v>3557159.596354303</v>
      </c>
      <c r="D64" s="597">
        <v>173087.49405091387</v>
      </c>
      <c r="E64" s="597">
        <v>2043.3999919479504</v>
      </c>
      <c r="F64" s="598">
        <v>3216620.47</v>
      </c>
      <c r="G64" s="598">
        <v>10134526.58</v>
      </c>
      <c r="H64" s="598">
        <v>6778329.4199999999</v>
      </c>
      <c r="I64" s="598"/>
      <c r="J64" s="598"/>
      <c r="K64" s="598">
        <v>13416.662802835284</v>
      </c>
      <c r="L64" s="598">
        <v>23875183.623200003</v>
      </c>
      <c r="M64" s="599">
        <v>90.452699999999993</v>
      </c>
      <c r="N64" s="600">
        <v>263952</v>
      </c>
      <c r="O64" s="489">
        <v>13</v>
      </c>
      <c r="P64" s="195"/>
      <c r="Q64" s="198">
        <v>25924979.653199997</v>
      </c>
      <c r="R64" s="196">
        <v>-2049796.0299999937</v>
      </c>
      <c r="S64" s="181">
        <v>-7.9066447010575858E-2</v>
      </c>
      <c r="T64" s="182"/>
      <c r="U64" s="182" t="s">
        <v>1798</v>
      </c>
      <c r="V64" s="195"/>
      <c r="W64" s="111"/>
      <c r="X64" s="195"/>
    </row>
    <row r="65" spans="1:24" x14ac:dyDescent="0.25">
      <c r="A65" s="161">
        <v>4116</v>
      </c>
      <c r="B65" s="132" t="s">
        <v>1584</v>
      </c>
      <c r="C65" s="597">
        <v>37462.123645696694</v>
      </c>
      <c r="D65" s="597">
        <v>1822.865949086103</v>
      </c>
      <c r="E65" s="597">
        <v>21.520008052049498</v>
      </c>
      <c r="F65" s="598"/>
      <c r="G65" s="598"/>
      <c r="H65" s="598"/>
      <c r="I65" s="598">
        <v>180588.95</v>
      </c>
      <c r="J65" s="598">
        <v>456827.96</v>
      </c>
      <c r="K65" s="598">
        <v>141.29719716471584</v>
      </c>
      <c r="L65" s="598">
        <v>676864.71679999959</v>
      </c>
      <c r="M65" s="599">
        <v>0.9526</v>
      </c>
      <c r="N65" s="600">
        <v>710545</v>
      </c>
      <c r="O65" s="489"/>
      <c r="P65" s="195"/>
      <c r="Q65" s="198">
        <v>676864.71679999959</v>
      </c>
      <c r="R65" s="196">
        <v>0</v>
      </c>
      <c r="S65" s="181">
        <v>0</v>
      </c>
      <c r="T65" s="111"/>
      <c r="U65" s="151"/>
      <c r="V65" s="195"/>
      <c r="W65" s="111"/>
      <c r="X65" s="195"/>
    </row>
    <row r="66" spans="1:24" x14ac:dyDescent="0.25">
      <c r="A66" s="161">
        <v>4117</v>
      </c>
      <c r="B66" s="132"/>
      <c r="C66" s="597">
        <v>1005508.84</v>
      </c>
      <c r="D66" s="597">
        <v>7083.96</v>
      </c>
      <c r="E66" s="597">
        <v>12857.19</v>
      </c>
      <c r="F66" s="598">
        <v>15332990.960000001</v>
      </c>
      <c r="G66" s="598">
        <v>693485.29</v>
      </c>
      <c r="H66" s="598">
        <v>19819154.559999999</v>
      </c>
      <c r="I66" s="598">
        <v>0</v>
      </c>
      <c r="J66" s="598">
        <v>0</v>
      </c>
      <c r="K66" s="598">
        <v>151161.80000000002</v>
      </c>
      <c r="L66" s="598">
        <v>37022242.599999994</v>
      </c>
      <c r="M66" s="599">
        <v>305.18490000000003</v>
      </c>
      <c r="N66" s="600">
        <v>121311</v>
      </c>
      <c r="O66" s="489">
        <v>5</v>
      </c>
      <c r="P66" s="195"/>
      <c r="Q66" s="198">
        <v>9312471.540000001</v>
      </c>
      <c r="R66" s="196">
        <v>27709771.059999995</v>
      </c>
      <c r="S66" s="181">
        <v>2.975554979253122</v>
      </c>
      <c r="T66" s="182"/>
      <c r="U66" s="182" t="s">
        <v>1799</v>
      </c>
      <c r="V66" s="195"/>
      <c r="W66" s="111"/>
      <c r="X66" s="195"/>
    </row>
    <row r="67" spans="1:24" x14ac:dyDescent="0.25">
      <c r="A67" s="161">
        <v>4118</v>
      </c>
      <c r="B67" s="132" t="s">
        <v>1691</v>
      </c>
      <c r="C67" s="597">
        <v>5517481.6640701368</v>
      </c>
      <c r="D67" s="597">
        <v>131133.91412493581</v>
      </c>
      <c r="E67" s="597">
        <v>2204.3147870035195</v>
      </c>
      <c r="F67" s="598">
        <v>17463595.319707122</v>
      </c>
      <c r="G67" s="598">
        <v>239219.19952343524</v>
      </c>
      <c r="H67" s="598">
        <v>14140591.13921465</v>
      </c>
      <c r="I67" s="598">
        <v>0</v>
      </c>
      <c r="J67" s="598">
        <v>0</v>
      </c>
      <c r="K67" s="598">
        <v>184126.43952002205</v>
      </c>
      <c r="L67" s="598">
        <v>37678351.990947306</v>
      </c>
      <c r="M67" s="599">
        <v>155.75350000000003</v>
      </c>
      <c r="N67" s="600">
        <v>241910</v>
      </c>
      <c r="O67" s="489">
        <v>16</v>
      </c>
      <c r="P67" s="195"/>
      <c r="Q67" s="198">
        <v>32187631.04882234</v>
      </c>
      <c r="R67" s="196">
        <v>5490720.9421249665</v>
      </c>
      <c r="S67" s="181">
        <v>0.17058481047569529</v>
      </c>
      <c r="T67" s="182" t="s">
        <v>1800</v>
      </c>
      <c r="U67" s="151" t="s">
        <v>1801</v>
      </c>
      <c r="V67" s="195"/>
      <c r="W67" s="111"/>
      <c r="X67" s="195"/>
    </row>
    <row r="68" spans="1:24" x14ac:dyDescent="0.25">
      <c r="A68" s="161">
        <v>4119</v>
      </c>
      <c r="B68" s="132"/>
      <c r="C68" s="597">
        <v>2099779.5099999998</v>
      </c>
      <c r="D68" s="597">
        <v>71859.649999999994</v>
      </c>
      <c r="E68" s="597">
        <v>100.89</v>
      </c>
      <c r="F68" s="598">
        <v>7928455.71</v>
      </c>
      <c r="G68" s="598">
        <v>85176.26</v>
      </c>
      <c r="H68" s="598">
        <v>14846644.51</v>
      </c>
      <c r="I68" s="598">
        <v>0</v>
      </c>
      <c r="J68" s="598">
        <v>0</v>
      </c>
      <c r="K68" s="598">
        <v>52430.62</v>
      </c>
      <c r="L68" s="598">
        <v>25084447.150000002</v>
      </c>
      <c r="M68" s="599">
        <v>137.6463</v>
      </c>
      <c r="N68" s="600">
        <v>182238</v>
      </c>
      <c r="O68" s="489">
        <v>9</v>
      </c>
      <c r="P68" s="195"/>
      <c r="Q68" s="198">
        <v>31929157.939999998</v>
      </c>
      <c r="R68" s="196">
        <v>-6844710.7899999954</v>
      </c>
      <c r="S68" s="181">
        <v>-0.21437179154120833</v>
      </c>
      <c r="T68" s="182" t="s">
        <v>1802</v>
      </c>
      <c r="U68" s="151" t="s">
        <v>1803</v>
      </c>
      <c r="V68" s="195"/>
      <c r="W68" s="111"/>
      <c r="X68" s="195"/>
    </row>
    <row r="69" spans="1:24" x14ac:dyDescent="0.25">
      <c r="A69" s="161">
        <v>4120</v>
      </c>
      <c r="B69" s="132"/>
      <c r="C69" s="597">
        <v>4270254.47</v>
      </c>
      <c r="D69" s="597">
        <v>298149.87</v>
      </c>
      <c r="E69" s="597">
        <v>3380</v>
      </c>
      <c r="F69" s="598">
        <v>6078503.1399999997</v>
      </c>
      <c r="G69" s="598">
        <v>880665.23</v>
      </c>
      <c r="H69" s="598">
        <v>5638404.1699999999</v>
      </c>
      <c r="I69" s="598">
        <v>256.07</v>
      </c>
      <c r="J69" s="598">
        <v>0</v>
      </c>
      <c r="K69" s="598">
        <v>33420.090000000004</v>
      </c>
      <c r="L69" s="598">
        <v>17203033.040000003</v>
      </c>
      <c r="M69" s="599">
        <v>124.6726</v>
      </c>
      <c r="N69" s="600">
        <v>137986</v>
      </c>
      <c r="O69" s="489">
        <v>14</v>
      </c>
      <c r="P69" s="195"/>
      <c r="Q69" s="198">
        <v>17630357.300000001</v>
      </c>
      <c r="R69" s="196">
        <v>-427324.25999999791</v>
      </c>
      <c r="S69" s="181">
        <v>-2.4237980701616202E-2</v>
      </c>
      <c r="T69" s="111"/>
      <c r="U69" s="151"/>
      <c r="V69" s="195"/>
      <c r="W69" s="111"/>
      <c r="X69" s="195"/>
    </row>
    <row r="70" spans="1:24" x14ac:dyDescent="0.25">
      <c r="A70" s="161">
        <v>4121</v>
      </c>
      <c r="B70" s="132"/>
      <c r="C70" s="597">
        <v>353928.47000000003</v>
      </c>
      <c r="D70" s="597">
        <v>0</v>
      </c>
      <c r="E70" s="597">
        <v>0</v>
      </c>
      <c r="F70" s="598">
        <v>2001171</v>
      </c>
      <c r="G70" s="598">
        <v>186227.08000000002</v>
      </c>
      <c r="H70" s="598">
        <v>2052409.28</v>
      </c>
      <c r="I70" s="598">
        <v>0</v>
      </c>
      <c r="J70" s="598">
        <v>0</v>
      </c>
      <c r="K70" s="598">
        <v>143697.42000000001</v>
      </c>
      <c r="L70" s="598">
        <v>4737433.25</v>
      </c>
      <c r="M70" s="599">
        <v>135.41370000000001</v>
      </c>
      <c r="N70" s="600">
        <v>34985</v>
      </c>
      <c r="O70" s="489">
        <v>2</v>
      </c>
      <c r="P70" s="195"/>
      <c r="Q70" s="198">
        <v>4689560.21</v>
      </c>
      <c r="R70" s="196">
        <v>47873.040000000037</v>
      </c>
      <c r="S70" s="181">
        <v>1.0208428478627019E-2</v>
      </c>
      <c r="T70" s="111"/>
      <c r="U70" s="151"/>
      <c r="V70" s="195"/>
      <c r="W70" s="111"/>
      <c r="X70" s="195"/>
    </row>
    <row r="71" spans="1:24" x14ac:dyDescent="0.25">
      <c r="A71" s="161">
        <v>4125</v>
      </c>
      <c r="B71" s="132"/>
      <c r="C71" s="597">
        <v>11414611.949999999</v>
      </c>
      <c r="D71" s="597">
        <v>1769771.2900000003</v>
      </c>
      <c r="E71" s="597">
        <v>1918.1100000000001</v>
      </c>
      <c r="F71" s="598">
        <v>31301974.59</v>
      </c>
      <c r="G71" s="598">
        <v>492122.97000000003</v>
      </c>
      <c r="H71" s="598">
        <v>13806093.699999999</v>
      </c>
      <c r="I71" s="598">
        <v>0</v>
      </c>
      <c r="J71" s="598">
        <v>0</v>
      </c>
      <c r="K71" s="598">
        <v>1781163.24</v>
      </c>
      <c r="L71" s="598">
        <v>60567655.850000001</v>
      </c>
      <c r="M71" s="599">
        <v>414.74720000000002</v>
      </c>
      <c r="N71" s="600">
        <v>146035</v>
      </c>
      <c r="O71" s="489">
        <v>15</v>
      </c>
      <c r="P71" s="195"/>
      <c r="Q71" s="198">
        <v>60567655.850000001</v>
      </c>
      <c r="R71" s="196">
        <v>0</v>
      </c>
      <c r="S71" s="181">
        <v>0</v>
      </c>
      <c r="T71" s="111"/>
      <c r="U71" s="151"/>
      <c r="V71" s="195"/>
      <c r="W71" s="111"/>
      <c r="X71" s="195"/>
    </row>
    <row r="72" spans="1:24" x14ac:dyDescent="0.25">
      <c r="A72" s="161">
        <v>4127</v>
      </c>
      <c r="B72" s="132"/>
      <c r="C72" s="597">
        <v>19842.47</v>
      </c>
      <c r="D72" s="597">
        <v>0</v>
      </c>
      <c r="E72" s="597">
        <v>0</v>
      </c>
      <c r="F72" s="598">
        <v>647655.18000000005</v>
      </c>
      <c r="G72" s="598">
        <v>0</v>
      </c>
      <c r="H72" s="598">
        <v>549802.78</v>
      </c>
      <c r="I72" s="598">
        <v>0</v>
      </c>
      <c r="J72" s="598">
        <v>0</v>
      </c>
      <c r="K72" s="598">
        <v>5205.42</v>
      </c>
      <c r="L72" s="598">
        <v>1222505.8500000001</v>
      </c>
      <c r="M72" s="599">
        <v>85.088799999999992</v>
      </c>
      <c r="N72" s="600">
        <v>14367</v>
      </c>
      <c r="O72" s="489">
        <v>4</v>
      </c>
      <c r="P72" s="195"/>
      <c r="Q72" s="198">
        <v>1222505.8500000001</v>
      </c>
      <c r="R72" s="196">
        <v>0</v>
      </c>
      <c r="S72" s="181">
        <v>0</v>
      </c>
      <c r="T72" s="111"/>
      <c r="U72" s="151"/>
      <c r="V72" s="195"/>
      <c r="W72" s="111"/>
      <c r="X72" s="195"/>
    </row>
    <row r="73" spans="1:24" x14ac:dyDescent="0.25">
      <c r="A73" s="161">
        <v>4135</v>
      </c>
      <c r="B73" s="132" t="s">
        <v>1691</v>
      </c>
      <c r="C73" s="597">
        <v>1783804.844808185</v>
      </c>
      <c r="D73" s="597">
        <v>0</v>
      </c>
      <c r="E73" s="597">
        <v>0</v>
      </c>
      <c r="F73" s="598">
        <v>9196931.3379978891</v>
      </c>
      <c r="G73" s="598">
        <v>2406295.9417583831</v>
      </c>
      <c r="H73" s="598">
        <v>6685421.8328429181</v>
      </c>
      <c r="I73" s="598">
        <v>0</v>
      </c>
      <c r="J73" s="598">
        <v>0</v>
      </c>
      <c r="K73" s="598">
        <v>97780.041298108306</v>
      </c>
      <c r="L73" s="598">
        <v>20170233.998705488</v>
      </c>
      <c r="M73" s="599">
        <v>206.1454</v>
      </c>
      <c r="N73" s="600">
        <v>97845</v>
      </c>
      <c r="O73" s="489">
        <v>6</v>
      </c>
      <c r="P73" s="195"/>
      <c r="Q73" s="198">
        <v>18816966.8893671</v>
      </c>
      <c r="R73" s="196">
        <v>1353267.1093383878</v>
      </c>
      <c r="S73" s="181">
        <v>7.1917388030431129E-2</v>
      </c>
      <c r="T73" s="111"/>
      <c r="U73" s="151" t="s">
        <v>1804</v>
      </c>
      <c r="V73" s="491"/>
      <c r="W73" s="111"/>
      <c r="X73" s="195"/>
    </row>
    <row r="74" spans="1:24" x14ac:dyDescent="0.25">
      <c r="A74" s="161">
        <v>4144</v>
      </c>
      <c r="B74" s="132"/>
      <c r="C74" s="597">
        <v>9993.51</v>
      </c>
      <c r="D74" s="597">
        <v>0</v>
      </c>
      <c r="E74" s="597">
        <v>0</v>
      </c>
      <c r="F74" s="598">
        <v>473674.37</v>
      </c>
      <c r="G74" s="598">
        <v>0</v>
      </c>
      <c r="H74" s="598">
        <v>429215.12</v>
      </c>
      <c r="I74" s="598">
        <v>0</v>
      </c>
      <c r="J74" s="598">
        <v>0</v>
      </c>
      <c r="K74" s="598">
        <v>1023.2900000000001</v>
      </c>
      <c r="L74" s="598">
        <v>913906.29</v>
      </c>
      <c r="M74" s="599">
        <v>30.635900000000003</v>
      </c>
      <c r="N74" s="600">
        <v>29831</v>
      </c>
      <c r="O74" s="489">
        <v>2</v>
      </c>
      <c r="P74" s="195"/>
      <c r="Q74" s="198">
        <v>913906.29</v>
      </c>
      <c r="R74" s="196">
        <v>0</v>
      </c>
      <c r="S74" s="181">
        <v>0</v>
      </c>
      <c r="T74" s="111"/>
      <c r="U74" s="151"/>
      <c r="V74" s="195"/>
      <c r="W74" s="111"/>
      <c r="X74" s="195"/>
    </row>
    <row r="75" spans="1:24" x14ac:dyDescent="0.25">
      <c r="A75" s="161">
        <v>4147</v>
      </c>
      <c r="B75" s="132" t="s">
        <v>86</v>
      </c>
      <c r="C75" s="597">
        <v>3855187.64</v>
      </c>
      <c r="D75" s="597">
        <v>0</v>
      </c>
      <c r="E75" s="597">
        <v>1880.02</v>
      </c>
      <c r="F75" s="598">
        <v>2767069.92</v>
      </c>
      <c r="G75" s="598">
        <v>0</v>
      </c>
      <c r="H75" s="598">
        <v>1983886.92</v>
      </c>
      <c r="I75" s="598">
        <v>0</v>
      </c>
      <c r="J75" s="598">
        <v>0</v>
      </c>
      <c r="K75" s="598">
        <v>145186.74</v>
      </c>
      <c r="L75" s="598">
        <v>8753211.2400000002</v>
      </c>
      <c r="M75" s="599">
        <v>27.483199999999997</v>
      </c>
      <c r="N75" s="600">
        <v>318493</v>
      </c>
      <c r="O75" s="489">
        <v>1</v>
      </c>
      <c r="P75" s="195"/>
      <c r="Q75" s="198">
        <v>10009813.9</v>
      </c>
      <c r="R75" s="196">
        <v>-1256602.6600000001</v>
      </c>
      <c r="S75" s="181">
        <v>-0.12553706517960339</v>
      </c>
      <c r="T75" s="182" t="s">
        <v>1805</v>
      </c>
      <c r="U75" s="151" t="s">
        <v>1788</v>
      </c>
      <c r="V75" s="195"/>
      <c r="W75" s="111"/>
      <c r="X75" s="195"/>
    </row>
    <row r="76" spans="1:24" x14ac:dyDescent="0.25">
      <c r="A76" s="161">
        <v>4153</v>
      </c>
      <c r="B76" s="132"/>
      <c r="C76" s="597">
        <v>309032.19</v>
      </c>
      <c r="D76" s="597">
        <v>0</v>
      </c>
      <c r="E76" s="597">
        <v>0</v>
      </c>
      <c r="F76" s="598">
        <v>60375.01</v>
      </c>
      <c r="G76" s="598">
        <v>810005.9</v>
      </c>
      <c r="H76" s="598">
        <v>308138.48</v>
      </c>
      <c r="I76" s="598">
        <v>0</v>
      </c>
      <c r="J76" s="598">
        <v>0</v>
      </c>
      <c r="K76" s="598">
        <v>23687.21</v>
      </c>
      <c r="L76" s="598">
        <v>1511238.79</v>
      </c>
      <c r="M76" s="599">
        <v>13.1274</v>
      </c>
      <c r="N76" s="600">
        <v>115121</v>
      </c>
      <c r="O76" s="489">
        <v>1</v>
      </c>
      <c r="P76" s="195"/>
      <c r="Q76" s="198">
        <v>1511238.79</v>
      </c>
      <c r="R76" s="196">
        <v>0</v>
      </c>
      <c r="S76" s="181">
        <v>0</v>
      </c>
      <c r="T76" s="111"/>
      <c r="U76" s="151"/>
      <c r="V76" s="195"/>
      <c r="W76" s="111"/>
      <c r="X76" s="195"/>
    </row>
    <row r="77" spans="1:24" x14ac:dyDescent="0.25">
      <c r="A77" s="161">
        <v>4156</v>
      </c>
      <c r="B77" s="132"/>
      <c r="C77" s="597">
        <v>12025290.050000001</v>
      </c>
      <c r="D77" s="597">
        <v>0</v>
      </c>
      <c r="E77" s="597">
        <v>0</v>
      </c>
      <c r="F77" s="598">
        <v>2262699.96</v>
      </c>
      <c r="G77" s="598">
        <v>6476819.3899999997</v>
      </c>
      <c r="H77" s="598">
        <v>2971325.74</v>
      </c>
      <c r="I77" s="598">
        <v>0</v>
      </c>
      <c r="J77" s="598">
        <v>0</v>
      </c>
      <c r="K77" s="598">
        <v>38262.090000000004</v>
      </c>
      <c r="L77" s="598">
        <v>23774397.23</v>
      </c>
      <c r="M77" s="599">
        <v>29.492999999999999</v>
      </c>
      <c r="N77" s="600">
        <v>806103</v>
      </c>
      <c r="O77" s="489">
        <v>3</v>
      </c>
      <c r="P77" s="195"/>
      <c r="Q77" s="198">
        <v>23308712.390000004</v>
      </c>
      <c r="R77" s="196">
        <v>465684.83999999613</v>
      </c>
      <c r="S77" s="181">
        <v>1.997900322455326E-2</v>
      </c>
      <c r="T77" s="111"/>
      <c r="U77" s="151"/>
      <c r="V77" s="195"/>
      <c r="W77" s="111"/>
      <c r="X77" s="195"/>
    </row>
    <row r="78" spans="1:24" x14ac:dyDescent="0.25">
      <c r="A78" s="161">
        <v>4157</v>
      </c>
      <c r="B78" s="132"/>
      <c r="C78" s="597">
        <v>105605.40000000001</v>
      </c>
      <c r="D78" s="597">
        <v>18610.490000000002</v>
      </c>
      <c r="E78" s="597">
        <v>0</v>
      </c>
      <c r="F78" s="598">
        <v>1994780.51</v>
      </c>
      <c r="G78" s="598">
        <v>0</v>
      </c>
      <c r="H78" s="598">
        <v>3584786.21</v>
      </c>
      <c r="I78" s="598">
        <v>0</v>
      </c>
      <c r="J78" s="598">
        <v>0</v>
      </c>
      <c r="K78" s="598">
        <v>537026.46</v>
      </c>
      <c r="L78" s="598">
        <v>6240809.0699999994</v>
      </c>
      <c r="M78" s="599">
        <v>20.572199999999999</v>
      </c>
      <c r="N78" s="600">
        <v>303361</v>
      </c>
      <c r="O78" s="489">
        <v>1</v>
      </c>
      <c r="P78" s="195"/>
      <c r="Q78" s="198">
        <v>6240809.0699999994</v>
      </c>
      <c r="R78" s="196">
        <v>0</v>
      </c>
      <c r="S78" s="181">
        <v>0</v>
      </c>
      <c r="T78" s="111"/>
      <c r="U78" s="151"/>
      <c r="V78" s="195"/>
      <c r="W78" s="111"/>
      <c r="X78" s="195"/>
    </row>
    <row r="79" spans="1:24" x14ac:dyDescent="0.25">
      <c r="A79" s="161">
        <v>4166</v>
      </c>
      <c r="B79" s="132"/>
      <c r="C79" s="597">
        <v>9034.39</v>
      </c>
      <c r="D79" s="597">
        <v>0</v>
      </c>
      <c r="E79" s="597">
        <v>0</v>
      </c>
      <c r="F79" s="598">
        <v>164050.6</v>
      </c>
      <c r="G79" s="598">
        <v>0</v>
      </c>
      <c r="H79" s="598">
        <v>136430.68</v>
      </c>
      <c r="I79" s="598">
        <v>0</v>
      </c>
      <c r="J79" s="598">
        <v>0</v>
      </c>
      <c r="K79" s="598">
        <v>0</v>
      </c>
      <c r="L79" s="598">
        <v>309515.67</v>
      </c>
      <c r="M79" s="599">
        <v>9.0272000000000006</v>
      </c>
      <c r="N79" s="600">
        <v>34287</v>
      </c>
      <c r="O79" s="489">
        <v>2</v>
      </c>
      <c r="P79" s="195"/>
      <c r="Q79" s="198">
        <v>309515.67</v>
      </c>
      <c r="R79" s="196">
        <v>0</v>
      </c>
      <c r="S79" s="181">
        <v>0</v>
      </c>
      <c r="T79" s="111"/>
      <c r="U79" s="151"/>
      <c r="V79" s="195"/>
      <c r="W79" s="111"/>
      <c r="X79" s="195"/>
    </row>
    <row r="80" spans="1:24" x14ac:dyDescent="0.25">
      <c r="A80" s="161">
        <v>4168</v>
      </c>
      <c r="B80" s="132"/>
      <c r="C80" s="597">
        <v>4331.1900000000005</v>
      </c>
      <c r="D80" s="597">
        <v>0</v>
      </c>
      <c r="E80" s="597">
        <v>0</v>
      </c>
      <c r="F80" s="598">
        <v>262365.32</v>
      </c>
      <c r="G80" s="598">
        <v>0</v>
      </c>
      <c r="H80" s="598">
        <v>526630.69000000006</v>
      </c>
      <c r="I80" s="598">
        <v>0</v>
      </c>
      <c r="J80" s="598">
        <v>0</v>
      </c>
      <c r="K80" s="598">
        <v>37889.78</v>
      </c>
      <c r="L80" s="598">
        <v>831216.9800000001</v>
      </c>
      <c r="M80" s="599">
        <v>6.5039999999999996</v>
      </c>
      <c r="N80" s="600">
        <v>127801</v>
      </c>
      <c r="O80" s="489">
        <v>1</v>
      </c>
      <c r="P80" s="195"/>
      <c r="Q80" s="198">
        <v>831216.98</v>
      </c>
      <c r="R80" s="196">
        <v>0</v>
      </c>
      <c r="S80" s="181">
        <v>0</v>
      </c>
      <c r="T80" s="111"/>
      <c r="U80" s="151"/>
      <c r="V80" s="195"/>
      <c r="W80" s="111"/>
      <c r="X80" s="195"/>
    </row>
    <row r="81" spans="1:24" x14ac:dyDescent="0.25">
      <c r="A81" s="161">
        <v>4169</v>
      </c>
      <c r="B81" s="132"/>
      <c r="C81" s="597">
        <v>3565382.17</v>
      </c>
      <c r="D81" s="597">
        <v>0</v>
      </c>
      <c r="E81" s="597">
        <v>2701.36</v>
      </c>
      <c r="F81" s="598">
        <v>8725005.1899999995</v>
      </c>
      <c r="G81" s="598">
        <v>398445.75</v>
      </c>
      <c r="H81" s="598">
        <v>6065937.5199999996</v>
      </c>
      <c r="I81" s="598">
        <v>0</v>
      </c>
      <c r="J81" s="598">
        <v>0</v>
      </c>
      <c r="K81" s="598">
        <v>106152.06</v>
      </c>
      <c r="L81" s="598">
        <v>18863624.049999997</v>
      </c>
      <c r="M81" s="599">
        <v>297.62279999999993</v>
      </c>
      <c r="N81" s="600">
        <v>63381</v>
      </c>
      <c r="O81" s="489">
        <v>9</v>
      </c>
      <c r="P81" s="195"/>
      <c r="Q81" s="198">
        <v>18687125.359999999</v>
      </c>
      <c r="R81" s="196">
        <v>176498.68999999762</v>
      </c>
      <c r="S81" s="181">
        <v>9.4449353017020954E-3</v>
      </c>
      <c r="T81" s="111"/>
      <c r="U81" s="151"/>
      <c r="V81" s="195"/>
      <c r="W81" s="111"/>
      <c r="X81" s="195"/>
    </row>
    <row r="82" spans="1:24" x14ac:dyDescent="0.25">
      <c r="A82" s="161">
        <v>4189</v>
      </c>
      <c r="B82" s="132"/>
      <c r="C82" s="597">
        <v>78247.820000000007</v>
      </c>
      <c r="D82" s="597">
        <v>0</v>
      </c>
      <c r="E82" s="597">
        <v>0</v>
      </c>
      <c r="F82" s="598">
        <v>1521458.25</v>
      </c>
      <c r="G82" s="598">
        <v>0</v>
      </c>
      <c r="H82" s="598">
        <v>1397143.6600000001</v>
      </c>
      <c r="I82" s="598">
        <v>0</v>
      </c>
      <c r="J82" s="598">
        <v>0</v>
      </c>
      <c r="K82" s="598">
        <v>0</v>
      </c>
      <c r="L82" s="598">
        <v>2996849.7300000004</v>
      </c>
      <c r="M82" s="599">
        <v>6.4975000000000005</v>
      </c>
      <c r="N82" s="600">
        <v>461231</v>
      </c>
      <c r="O82" s="489">
        <v>2</v>
      </c>
      <c r="P82" s="195"/>
      <c r="Q82" s="198">
        <v>2996849.73</v>
      </c>
      <c r="R82" s="196">
        <v>0</v>
      </c>
      <c r="S82" s="181">
        <v>0</v>
      </c>
      <c r="T82" s="111"/>
      <c r="U82" s="151"/>
      <c r="V82" s="195"/>
      <c r="W82" s="111"/>
      <c r="X82" s="195"/>
    </row>
    <row r="83" spans="1:24" x14ac:dyDescent="0.25">
      <c r="A83" s="161">
        <v>4193</v>
      </c>
      <c r="B83" s="132"/>
      <c r="C83" s="597">
        <v>0</v>
      </c>
      <c r="D83" s="597">
        <v>0</v>
      </c>
      <c r="E83" s="597">
        <v>0</v>
      </c>
      <c r="F83" s="598">
        <v>4152835.97</v>
      </c>
      <c r="G83" s="598">
        <v>64888.060000000005</v>
      </c>
      <c r="H83" s="598">
        <v>2461080.46</v>
      </c>
      <c r="I83" s="598">
        <v>0</v>
      </c>
      <c r="J83" s="598">
        <v>0</v>
      </c>
      <c r="K83" s="598">
        <v>0</v>
      </c>
      <c r="L83" s="598">
        <v>6678804.4900000002</v>
      </c>
      <c r="M83" s="599">
        <v>4.6568000000000005</v>
      </c>
      <c r="N83" s="600">
        <v>1434205</v>
      </c>
      <c r="O83" s="489">
        <v>1</v>
      </c>
      <c r="P83" s="195"/>
      <c r="Q83" s="198">
        <v>6678804.4900000002</v>
      </c>
      <c r="R83" s="196">
        <v>0</v>
      </c>
      <c r="S83" s="181">
        <v>0</v>
      </c>
      <c r="T83" s="111"/>
      <c r="U83" s="151"/>
      <c r="V83" s="195"/>
      <c r="W83" s="111"/>
      <c r="X83" s="195"/>
    </row>
    <row r="84" spans="1:24" x14ac:dyDescent="0.25">
      <c r="A84" s="161">
        <v>4756</v>
      </c>
      <c r="B84" s="132"/>
      <c r="C84" s="597">
        <v>1079576.73</v>
      </c>
      <c r="D84" s="597">
        <v>0</v>
      </c>
      <c r="E84" s="597">
        <v>0</v>
      </c>
      <c r="F84" s="598">
        <v>6958865.29</v>
      </c>
      <c r="G84" s="598">
        <v>568180.1</v>
      </c>
      <c r="H84" s="598">
        <v>4604528.13</v>
      </c>
      <c r="I84" s="598">
        <v>0</v>
      </c>
      <c r="J84" s="598">
        <v>0</v>
      </c>
      <c r="K84" s="598">
        <v>119281.33</v>
      </c>
      <c r="L84" s="605">
        <v>13330431.58</v>
      </c>
      <c r="M84" s="599">
        <v>120.3068</v>
      </c>
      <c r="N84" s="600">
        <v>110804</v>
      </c>
      <c r="O84" s="489">
        <v>3</v>
      </c>
      <c r="P84" s="195"/>
      <c r="Q84" s="199">
        <v>13330431.58</v>
      </c>
      <c r="R84" s="196">
        <v>0</v>
      </c>
      <c r="S84" s="181">
        <v>0</v>
      </c>
      <c r="T84" s="111"/>
      <c r="U84" s="151"/>
      <c r="V84" s="195"/>
      <c r="W84" s="111"/>
      <c r="X84" s="195"/>
    </row>
    <row r="85" spans="1:24" x14ac:dyDescent="0.25">
      <c r="A85" s="161">
        <v>4708</v>
      </c>
      <c r="B85" s="161"/>
      <c r="C85" s="597">
        <v>0</v>
      </c>
      <c r="D85" s="597">
        <v>0</v>
      </c>
      <c r="E85" s="597">
        <v>0</v>
      </c>
      <c r="F85" s="598">
        <v>13746933.359999999</v>
      </c>
      <c r="G85" s="598">
        <v>30818084.09</v>
      </c>
      <c r="H85" s="598">
        <v>19251106.649999999</v>
      </c>
      <c r="I85" s="598">
        <v>0</v>
      </c>
      <c r="J85" s="598">
        <v>0</v>
      </c>
      <c r="K85" s="598">
        <v>0</v>
      </c>
      <c r="L85" s="605">
        <v>63816124.100000001</v>
      </c>
      <c r="M85" s="599">
        <v>25.7</v>
      </c>
      <c r="N85" s="600">
        <v>2483118</v>
      </c>
      <c r="O85" s="489">
        <v>1</v>
      </c>
      <c r="P85" s="195" t="s">
        <v>87</v>
      </c>
      <c r="Q85" s="199">
        <v>63856281.300000004</v>
      </c>
      <c r="R85" s="196">
        <v>-40157.20000000298</v>
      </c>
      <c r="S85" s="181">
        <v>-6.2886843991649677E-4</v>
      </c>
      <c r="T85" s="111"/>
      <c r="U85" s="151"/>
      <c r="V85" s="195"/>
      <c r="W85" s="111"/>
      <c r="X85" s="195"/>
    </row>
    <row r="86" spans="1:24" x14ac:dyDescent="0.25">
      <c r="A86" s="161">
        <v>4644</v>
      </c>
      <c r="B86" s="161"/>
      <c r="C86" s="597"/>
      <c r="D86" s="597">
        <v>0</v>
      </c>
      <c r="E86" s="597">
        <v>0</v>
      </c>
      <c r="F86" s="598">
        <v>27679225.5</v>
      </c>
      <c r="G86" s="598">
        <v>2721999.36</v>
      </c>
      <c r="H86" s="598">
        <v>13931303.82</v>
      </c>
      <c r="I86" s="598">
        <v>0</v>
      </c>
      <c r="J86" s="598">
        <v>0</v>
      </c>
      <c r="K86" s="598">
        <v>89385747.430000007</v>
      </c>
      <c r="L86" s="605">
        <v>133718276.11000001</v>
      </c>
      <c r="M86" s="599">
        <v>26.39</v>
      </c>
      <c r="N86" s="600">
        <v>5067006</v>
      </c>
      <c r="O86" s="489">
        <v>1</v>
      </c>
      <c r="P86" s="195" t="s">
        <v>87</v>
      </c>
      <c r="Q86" s="203">
        <v>138964991.94999999</v>
      </c>
      <c r="R86" s="196">
        <v>-5246715.8399999738</v>
      </c>
      <c r="S86" s="181">
        <v>-3.7755666131278232E-2</v>
      </c>
      <c r="T86" s="204" t="s">
        <v>1806</v>
      </c>
      <c r="U86" s="151"/>
      <c r="V86" s="195"/>
      <c r="W86" s="111"/>
      <c r="X86" s="195"/>
    </row>
    <row r="87" spans="1:24" x14ac:dyDescent="0.25">
      <c r="A87" s="216">
        <v>5015</v>
      </c>
      <c r="B87" s="151" t="s">
        <v>1807</v>
      </c>
      <c r="C87" s="597" t="s">
        <v>1776</v>
      </c>
      <c r="D87" s="597" t="s">
        <v>1776</v>
      </c>
      <c r="E87" s="597" t="s">
        <v>1776</v>
      </c>
      <c r="F87" s="598">
        <v>0</v>
      </c>
      <c r="G87" s="598">
        <v>0</v>
      </c>
      <c r="H87" s="598">
        <v>0</v>
      </c>
      <c r="I87" s="598">
        <v>0</v>
      </c>
      <c r="J87" s="598">
        <v>0</v>
      </c>
      <c r="K87" s="598">
        <v>4090.1600000000003</v>
      </c>
      <c r="L87" s="605">
        <v>4090</v>
      </c>
      <c r="M87" s="607" t="s">
        <v>1540</v>
      </c>
      <c r="N87" s="600"/>
      <c r="O87" s="138"/>
      <c r="P87" s="195"/>
      <c r="Q87" s="180"/>
      <c r="R87" s="195"/>
      <c r="S87" s="181"/>
      <c r="T87" s="111"/>
      <c r="U87" s="151"/>
      <c r="V87" s="195"/>
      <c r="W87" s="111"/>
      <c r="X87" s="195"/>
    </row>
    <row r="88" spans="1:24" x14ac:dyDescent="0.25">
      <c r="A88" s="216">
        <v>5053</v>
      </c>
      <c r="B88" s="151" t="s">
        <v>1808</v>
      </c>
      <c r="C88" s="597" t="s">
        <v>1776</v>
      </c>
      <c r="D88" s="597" t="s">
        <v>1776</v>
      </c>
      <c r="E88" s="597" t="s">
        <v>1776</v>
      </c>
      <c r="F88" s="598">
        <v>0</v>
      </c>
      <c r="G88" s="598">
        <v>0</v>
      </c>
      <c r="H88" s="598">
        <v>0</v>
      </c>
      <c r="I88" s="598">
        <v>0</v>
      </c>
      <c r="J88" s="598">
        <v>0</v>
      </c>
      <c r="K88" s="598">
        <v>13555.04</v>
      </c>
      <c r="L88" s="598">
        <v>13555</v>
      </c>
      <c r="M88" s="607" t="s">
        <v>1540</v>
      </c>
      <c r="N88" s="600"/>
      <c r="O88" s="138"/>
      <c r="P88" s="195"/>
      <c r="Q88" s="180"/>
      <c r="R88" s="195"/>
      <c r="S88" s="181"/>
      <c r="T88" s="111"/>
      <c r="U88" s="151"/>
      <c r="V88" s="195"/>
      <c r="W88" s="111"/>
      <c r="X88" s="195"/>
    </row>
    <row r="89" spans="1:24" x14ac:dyDescent="0.25">
      <c r="A89" s="216">
        <v>5083</v>
      </c>
      <c r="B89" s="151" t="s">
        <v>108</v>
      </c>
      <c r="C89" s="597" t="s">
        <v>1776</v>
      </c>
      <c r="D89" s="597" t="s">
        <v>1776</v>
      </c>
      <c r="E89" s="597" t="s">
        <v>1776</v>
      </c>
      <c r="F89" s="598">
        <v>0</v>
      </c>
      <c r="G89" s="598">
        <v>0</v>
      </c>
      <c r="H89" s="598">
        <v>0</v>
      </c>
      <c r="I89" s="598">
        <v>10.16</v>
      </c>
      <c r="J89" s="598">
        <v>0</v>
      </c>
      <c r="K89" s="598">
        <v>0</v>
      </c>
      <c r="L89" s="608">
        <v>10</v>
      </c>
      <c r="M89" s="607" t="s">
        <v>1540</v>
      </c>
      <c r="N89" s="600"/>
      <c r="O89" s="138"/>
      <c r="P89" s="195"/>
      <c r="Q89" s="180"/>
      <c r="R89" s="195"/>
      <c r="S89" s="181"/>
      <c r="T89" s="111"/>
      <c r="U89" s="151"/>
      <c r="V89" s="195"/>
      <c r="W89" s="111"/>
      <c r="X89" s="195"/>
    </row>
    <row r="90" spans="1:24" x14ac:dyDescent="0.25">
      <c r="A90" s="132"/>
      <c r="B90" s="135"/>
      <c r="C90" s="597"/>
      <c r="D90" s="597"/>
      <c r="E90" s="597"/>
      <c r="F90" s="598"/>
      <c r="G90" s="598"/>
      <c r="H90" s="598"/>
      <c r="I90" s="598"/>
      <c r="J90" s="598"/>
      <c r="K90" s="598"/>
      <c r="L90" s="598"/>
      <c r="M90" s="600"/>
      <c r="N90" s="600"/>
      <c r="O90" s="138"/>
      <c r="P90" s="195"/>
      <c r="Q90" s="180"/>
      <c r="R90" s="195"/>
      <c r="S90" s="181"/>
      <c r="T90" s="111"/>
      <c r="U90" s="151"/>
      <c r="V90" s="195"/>
      <c r="W90" s="111"/>
      <c r="X90" s="195"/>
    </row>
    <row r="91" spans="1:24" x14ac:dyDescent="0.25">
      <c r="A91" s="496" t="s">
        <v>88</v>
      </c>
      <c r="B91" s="201"/>
      <c r="C91" s="602">
        <f>ROUND(SUM(C47:C89),0)</f>
        <v>72199616</v>
      </c>
      <c r="D91" s="602">
        <f>ROUND(SUM(D47:D89),0)</f>
        <v>7183099</v>
      </c>
      <c r="E91" s="602">
        <f>ROUND(SUM(E47:E89),0)</f>
        <v>788912</v>
      </c>
      <c r="F91" s="603">
        <f>ROUND(SUM(F47:F89),0)</f>
        <v>328936531</v>
      </c>
      <c r="G91" s="603">
        <f>ROUND(SUM(G47:G89),0)</f>
        <v>61341969</v>
      </c>
      <c r="H91" s="603">
        <f>(SUM(H47:H89))</f>
        <v>222653788.40205756</v>
      </c>
      <c r="I91" s="603">
        <f>ROUND(SUM(I47:I89),0)</f>
        <v>182441</v>
      </c>
      <c r="J91" s="603">
        <f>ROUND(SUM(J47:J89),0)</f>
        <v>716988</v>
      </c>
      <c r="K91" s="603">
        <f>ROUND(SUM(K47:K89),0)</f>
        <v>96770909</v>
      </c>
      <c r="L91" s="603">
        <f>ROUND(SUM(L47:L89),0)</f>
        <v>790774254</v>
      </c>
      <c r="M91" s="602">
        <f>ROUND(SUM(M47:M86),0)</f>
        <v>3564</v>
      </c>
      <c r="N91" s="600">
        <f>ROUND(SUM(N47:N86),0)</f>
        <v>26911166</v>
      </c>
      <c r="O91" s="138">
        <f>SUM(O47:O86)</f>
        <v>192</v>
      </c>
      <c r="P91" s="195"/>
      <c r="Q91" s="180"/>
      <c r="R91" s="195"/>
      <c r="S91" s="181"/>
      <c r="T91" s="111"/>
      <c r="U91" s="490"/>
      <c r="V91" s="195"/>
      <c r="W91" s="111"/>
      <c r="X91" s="195"/>
    </row>
    <row r="92" spans="1:24" ht="15.75" x14ac:dyDescent="0.25">
      <c r="A92" s="205"/>
      <c r="B92" s="132"/>
      <c r="C92" s="609"/>
      <c r="D92" s="609"/>
      <c r="E92" s="609"/>
      <c r="F92" s="610"/>
      <c r="G92" s="610"/>
      <c r="H92" s="610"/>
      <c r="I92" s="610"/>
      <c r="J92" s="610"/>
      <c r="K92" s="610"/>
      <c r="L92" s="610"/>
      <c r="M92" s="600"/>
      <c r="N92" s="611"/>
      <c r="O92" s="206"/>
      <c r="P92" s="195"/>
      <c r="Q92" s="180"/>
      <c r="R92" s="195"/>
      <c r="S92" s="181"/>
      <c r="T92" s="111"/>
      <c r="U92" s="151"/>
      <c r="V92" s="195"/>
      <c r="W92" s="111"/>
      <c r="X92" s="195"/>
    </row>
    <row r="93" spans="1:24" ht="15.75" x14ac:dyDescent="0.25">
      <c r="A93" s="205"/>
      <c r="B93" s="132"/>
      <c r="C93" s="609"/>
      <c r="D93" s="609"/>
      <c r="E93" s="609"/>
      <c r="F93" s="610"/>
      <c r="G93" s="610"/>
      <c r="H93" s="610"/>
      <c r="I93" s="610"/>
      <c r="J93" s="610"/>
      <c r="K93" s="610"/>
      <c r="L93" s="610"/>
      <c r="M93" s="611"/>
      <c r="N93" s="611"/>
      <c r="O93" s="206"/>
      <c r="P93" s="195"/>
      <c r="Q93" s="180"/>
      <c r="R93" s="195"/>
      <c r="S93" s="181"/>
      <c r="T93" s="111"/>
      <c r="U93" s="151"/>
      <c r="V93" s="195"/>
      <c r="W93" s="111"/>
      <c r="X93" s="195"/>
    </row>
    <row r="94" spans="1:24" ht="15.75" x14ac:dyDescent="0.25">
      <c r="A94" s="205"/>
      <c r="B94" s="132" t="s">
        <v>89</v>
      </c>
      <c r="C94" s="609"/>
      <c r="D94" s="609"/>
      <c r="E94" s="609"/>
      <c r="F94" s="610"/>
      <c r="G94" s="610"/>
      <c r="H94" s="610"/>
      <c r="I94" s="610"/>
      <c r="J94" s="610"/>
      <c r="K94" s="610"/>
      <c r="L94" s="610"/>
      <c r="M94" s="611"/>
      <c r="N94" s="611"/>
      <c r="O94" s="206"/>
      <c r="P94" s="195"/>
      <c r="Q94" s="180"/>
      <c r="R94" s="195"/>
      <c r="S94" s="181"/>
      <c r="T94" s="111"/>
      <c r="U94" s="151"/>
      <c r="V94" s="195"/>
      <c r="W94" s="111"/>
      <c r="X94" s="195"/>
    </row>
    <row r="95" spans="1:24" ht="15.75" x14ac:dyDescent="0.25">
      <c r="A95" s="205"/>
      <c r="B95" s="132"/>
      <c r="C95" s="609"/>
      <c r="D95" s="609"/>
      <c r="E95" s="609"/>
      <c r="F95" s="610"/>
      <c r="G95" s="610"/>
      <c r="H95" s="610"/>
      <c r="I95" s="610"/>
      <c r="J95" s="610"/>
      <c r="K95" s="610"/>
      <c r="L95" s="610"/>
      <c r="M95" s="611"/>
      <c r="N95" s="611"/>
      <c r="O95" s="206"/>
      <c r="P95" s="195"/>
      <c r="Q95" s="180"/>
      <c r="R95" s="195"/>
      <c r="S95" s="181"/>
      <c r="T95" s="111"/>
      <c r="U95" s="151"/>
      <c r="V95" s="195"/>
      <c r="W95" s="111"/>
      <c r="X95" s="195"/>
    </row>
    <row r="96" spans="1:24" x14ac:dyDescent="0.25">
      <c r="A96" s="494" t="s">
        <v>90</v>
      </c>
      <c r="B96" s="163"/>
      <c r="C96" s="597"/>
      <c r="D96" s="597"/>
      <c r="E96" s="597"/>
      <c r="F96" s="598"/>
      <c r="G96" s="598"/>
      <c r="H96" s="598"/>
      <c r="I96" s="598"/>
      <c r="J96" s="598"/>
      <c r="K96" s="598"/>
      <c r="L96" s="598"/>
      <c r="M96" s="600"/>
      <c r="N96" s="600"/>
      <c r="O96" s="138"/>
      <c r="P96" s="195"/>
      <c r="Q96" s="180"/>
      <c r="R96" s="195"/>
      <c r="S96" s="181"/>
      <c r="T96" s="111"/>
      <c r="U96" s="151"/>
      <c r="V96" s="195"/>
      <c r="W96" s="111"/>
      <c r="X96" s="195"/>
    </row>
    <row r="97" spans="1:24" x14ac:dyDescent="0.25">
      <c r="A97" s="132"/>
      <c r="B97" s="135"/>
      <c r="C97" s="597"/>
      <c r="D97" s="597"/>
      <c r="E97" s="597"/>
      <c r="F97" s="598"/>
      <c r="G97" s="598"/>
      <c r="H97" s="598"/>
      <c r="I97" s="598"/>
      <c r="J97" s="598"/>
      <c r="K97" s="598"/>
      <c r="L97" s="598"/>
      <c r="M97" s="600"/>
      <c r="N97" s="600"/>
      <c r="O97" s="138"/>
      <c r="P97" s="195"/>
      <c r="Q97" s="180"/>
      <c r="R97" s="195"/>
      <c r="S97" s="181"/>
      <c r="T97" s="111"/>
      <c r="U97" s="151"/>
      <c r="V97" s="195"/>
      <c r="W97" s="111"/>
      <c r="X97" s="195"/>
    </row>
    <row r="98" spans="1:24" x14ac:dyDescent="0.25">
      <c r="A98" s="161">
        <v>4759</v>
      </c>
      <c r="B98" s="132"/>
      <c r="C98" s="597">
        <v>33310</v>
      </c>
      <c r="D98" s="597">
        <v>0</v>
      </c>
      <c r="E98" s="597">
        <v>0</v>
      </c>
      <c r="F98" s="598">
        <v>0</v>
      </c>
      <c r="G98" s="598">
        <v>2000559.98</v>
      </c>
      <c r="H98" s="598">
        <v>331263.41000000003</v>
      </c>
      <c r="I98" s="598">
        <v>0</v>
      </c>
      <c r="J98" s="598">
        <v>0</v>
      </c>
      <c r="K98" s="598">
        <v>4845.05</v>
      </c>
      <c r="L98" s="601">
        <v>2369978.44</v>
      </c>
      <c r="M98" s="599">
        <v>53.021099999999997</v>
      </c>
      <c r="N98" s="600">
        <v>44699</v>
      </c>
      <c r="O98" s="489">
        <v>1</v>
      </c>
      <c r="P98" s="195"/>
      <c r="Q98" s="180">
        <v>2369978.44</v>
      </c>
      <c r="R98" s="196">
        <v>0</v>
      </c>
      <c r="S98" s="181">
        <v>0</v>
      </c>
      <c r="T98" s="111"/>
      <c r="U98" s="151"/>
      <c r="V98" s="195"/>
      <c r="W98" s="111"/>
      <c r="X98" s="195"/>
    </row>
    <row r="99" spans="1:24" x14ac:dyDescent="0.25">
      <c r="A99" s="132"/>
      <c r="B99" s="135"/>
      <c r="C99" s="597"/>
      <c r="D99" s="597"/>
      <c r="E99" s="597"/>
      <c r="F99" s="598"/>
      <c r="G99" s="598"/>
      <c r="H99" s="598"/>
      <c r="I99" s="598"/>
      <c r="J99" s="598"/>
      <c r="K99" s="598"/>
      <c r="L99" s="598"/>
      <c r="M99" s="600"/>
      <c r="N99" s="600"/>
      <c r="O99" s="138"/>
      <c r="P99" s="195"/>
      <c r="Q99" s="180"/>
      <c r="R99" s="195"/>
      <c r="S99" s="181"/>
      <c r="T99" s="111"/>
      <c r="U99" s="151"/>
      <c r="V99" s="195"/>
      <c r="W99" s="111"/>
      <c r="X99" s="195"/>
    </row>
    <row r="100" spans="1:24" x14ac:dyDescent="0.25">
      <c r="A100" s="496" t="s">
        <v>4</v>
      </c>
      <c r="B100" s="201"/>
      <c r="C100" s="602">
        <v>33310</v>
      </c>
      <c r="D100" s="602">
        <v>0</v>
      </c>
      <c r="E100" s="602">
        <v>0</v>
      </c>
      <c r="F100" s="603">
        <v>0</v>
      </c>
      <c r="G100" s="603">
        <v>2000560</v>
      </c>
      <c r="H100" s="603">
        <v>331263.41000000003</v>
      </c>
      <c r="I100" s="603">
        <v>0</v>
      </c>
      <c r="J100" s="603">
        <v>0</v>
      </c>
      <c r="K100" s="603">
        <v>4845</v>
      </c>
      <c r="L100" s="603">
        <v>2369978</v>
      </c>
      <c r="M100" s="600">
        <v>53.021099999999997</v>
      </c>
      <c r="N100" s="600">
        <v>44699</v>
      </c>
      <c r="O100" s="138">
        <v>1</v>
      </c>
      <c r="P100" s="195"/>
      <c r="Q100" s="180"/>
      <c r="R100" s="195"/>
      <c r="S100" s="181"/>
      <c r="T100" s="111"/>
      <c r="U100" s="490"/>
      <c r="V100" s="195"/>
      <c r="W100" s="111"/>
      <c r="X100" s="195"/>
    </row>
    <row r="101" spans="1:24" x14ac:dyDescent="0.25">
      <c r="A101" s="132"/>
      <c r="B101" s="132"/>
      <c r="C101" s="597"/>
      <c r="D101" s="597"/>
      <c r="E101" s="597"/>
      <c r="F101" s="598"/>
      <c r="G101" s="598"/>
      <c r="H101" s="598"/>
      <c r="I101" s="598"/>
      <c r="J101" s="598"/>
      <c r="K101" s="598"/>
      <c r="L101" s="598"/>
      <c r="M101" s="600"/>
      <c r="N101" s="600"/>
      <c r="O101" s="138"/>
      <c r="P101" s="195"/>
      <c r="Q101" s="180"/>
      <c r="R101" s="195"/>
      <c r="S101" s="181"/>
      <c r="T101" s="111"/>
      <c r="U101" s="151"/>
      <c r="V101" s="195"/>
      <c r="W101" s="111"/>
      <c r="X101" s="195"/>
    </row>
    <row r="102" spans="1:24" x14ac:dyDescent="0.25">
      <c r="A102" s="494" t="s">
        <v>91</v>
      </c>
      <c r="B102" s="163"/>
      <c r="C102" s="597"/>
      <c r="D102" s="597"/>
      <c r="E102" s="597"/>
      <c r="F102" s="598"/>
      <c r="G102" s="598"/>
      <c r="H102" s="598"/>
      <c r="I102" s="598"/>
      <c r="J102" s="598"/>
      <c r="K102" s="598"/>
      <c r="L102" s="598"/>
      <c r="M102" s="599"/>
      <c r="N102" s="600"/>
      <c r="O102" s="138"/>
      <c r="P102" s="195"/>
      <c r="Q102" s="180"/>
      <c r="R102" s="195"/>
      <c r="S102" s="181"/>
      <c r="T102" s="111"/>
      <c r="U102" s="151"/>
      <c r="V102" s="195"/>
      <c r="W102" s="111"/>
      <c r="X102" s="195"/>
    </row>
    <row r="103" spans="1:24" x14ac:dyDescent="0.25">
      <c r="A103" s="132"/>
      <c r="B103" s="135"/>
      <c r="C103" s="597"/>
      <c r="D103" s="597"/>
      <c r="E103" s="597"/>
      <c r="F103" s="598"/>
      <c r="G103" s="598"/>
      <c r="H103" s="598"/>
      <c r="I103" s="598"/>
      <c r="J103" s="598"/>
      <c r="K103" s="598"/>
      <c r="L103" s="598"/>
      <c r="M103" s="599"/>
      <c r="N103" s="600"/>
      <c r="O103" s="138"/>
      <c r="P103" s="195"/>
      <c r="Q103" s="180"/>
      <c r="R103" s="195"/>
      <c r="S103" s="181"/>
      <c r="T103" s="111"/>
      <c r="U103" s="151"/>
      <c r="V103" s="195"/>
      <c r="W103" s="111"/>
      <c r="X103" s="195"/>
    </row>
    <row r="104" spans="1:24" x14ac:dyDescent="0.25">
      <c r="A104" s="132">
        <v>4105</v>
      </c>
      <c r="B104" s="132" t="s">
        <v>1583</v>
      </c>
      <c r="C104" s="597">
        <v>15245.786278638458</v>
      </c>
      <c r="D104" s="597">
        <v>536.82821859982096</v>
      </c>
      <c r="E104" s="597">
        <v>510.51826436167937</v>
      </c>
      <c r="F104" s="598">
        <v>9294.347061695511</v>
      </c>
      <c r="G104" s="598">
        <v>186904.04072070625</v>
      </c>
      <c r="H104" s="598">
        <v>75658.478339209454</v>
      </c>
      <c r="I104" s="598"/>
      <c r="J104" s="598"/>
      <c r="K104" s="598">
        <v>730.42803872123568</v>
      </c>
      <c r="L104" s="598">
        <v>288880.42692193243</v>
      </c>
      <c r="M104" s="599">
        <v>2.3711000000000002</v>
      </c>
      <c r="N104" s="600">
        <v>121834</v>
      </c>
      <c r="O104" s="138"/>
      <c r="P104" s="195"/>
      <c r="Q104" s="180"/>
      <c r="R104" s="195"/>
      <c r="S104" s="181"/>
      <c r="T104" s="111"/>
      <c r="U104" s="151"/>
      <c r="V104" s="195"/>
      <c r="W104" s="111"/>
      <c r="X104" s="195"/>
    </row>
    <row r="105" spans="1:24" x14ac:dyDescent="0.25">
      <c r="A105" s="161">
        <v>4106</v>
      </c>
      <c r="B105" s="132" t="s">
        <v>49</v>
      </c>
      <c r="C105" s="597">
        <v>202756.44663416146</v>
      </c>
      <c r="D105" s="597">
        <v>0</v>
      </c>
      <c r="E105" s="597">
        <v>0</v>
      </c>
      <c r="F105" s="598">
        <v>350.59793998877973</v>
      </c>
      <c r="G105" s="598">
        <v>1848864.7593689838</v>
      </c>
      <c r="H105" s="598">
        <v>1674859.3732244496</v>
      </c>
      <c r="I105" s="598"/>
      <c r="J105" s="598"/>
      <c r="K105" s="598">
        <v>0</v>
      </c>
      <c r="L105" s="598">
        <v>3726831.1771675833</v>
      </c>
      <c r="M105" s="599">
        <v>20.861599999999999</v>
      </c>
      <c r="N105" s="600">
        <v>178646</v>
      </c>
      <c r="O105" s="489">
        <v>12</v>
      </c>
      <c r="P105" s="195"/>
      <c r="Q105" s="199">
        <v>3740523.0344587727</v>
      </c>
      <c r="R105" s="196">
        <v>-13691.857291189488</v>
      </c>
      <c r="S105" s="181">
        <v>-3.6604125051646896E-3</v>
      </c>
      <c r="T105" s="111"/>
      <c r="U105" s="151"/>
      <c r="V105" s="195"/>
      <c r="W105" s="111"/>
      <c r="X105" s="195"/>
    </row>
    <row r="106" spans="1:24" x14ac:dyDescent="0.25">
      <c r="A106" s="161">
        <v>4135</v>
      </c>
      <c r="B106" s="132" t="s">
        <v>92</v>
      </c>
      <c r="C106" s="597">
        <v>428120.98519181513</v>
      </c>
      <c r="D106" s="597">
        <v>0</v>
      </c>
      <c r="E106" s="597">
        <v>0</v>
      </c>
      <c r="F106" s="598">
        <v>2207303.8520021108</v>
      </c>
      <c r="G106" s="598">
        <v>577521.57824161695</v>
      </c>
      <c r="H106" s="598">
        <v>1604530.5571570823</v>
      </c>
      <c r="I106" s="598">
        <v>0</v>
      </c>
      <c r="J106" s="598">
        <v>0</v>
      </c>
      <c r="K106" s="598">
        <v>23467.638701891708</v>
      </c>
      <c r="L106" s="598">
        <v>4840944.6112945164</v>
      </c>
      <c r="M106" s="599">
        <v>49.4758</v>
      </c>
      <c r="N106" s="600">
        <v>97845</v>
      </c>
      <c r="O106" s="489">
        <v>1</v>
      </c>
      <c r="P106" s="195"/>
      <c r="Q106" s="199">
        <v>4516154.5706329057</v>
      </c>
      <c r="R106" s="196">
        <v>324790.04066161066</v>
      </c>
      <c r="S106" s="181">
        <v>7.1917388030430907E-2</v>
      </c>
      <c r="T106" s="111"/>
      <c r="U106" s="151" t="s">
        <v>1804</v>
      </c>
      <c r="V106" s="195"/>
      <c r="W106" s="111"/>
      <c r="X106" s="195"/>
    </row>
    <row r="107" spans="1:24" x14ac:dyDescent="0.25">
      <c r="A107" s="161">
        <v>4731</v>
      </c>
      <c r="B107" s="132"/>
      <c r="C107" s="597">
        <v>0</v>
      </c>
      <c r="D107" s="597">
        <v>0</v>
      </c>
      <c r="E107" s="597">
        <v>0</v>
      </c>
      <c r="F107" s="598">
        <v>0</v>
      </c>
      <c r="G107" s="598">
        <v>112574.29000000001</v>
      </c>
      <c r="H107" s="598">
        <v>40738.639999999999</v>
      </c>
      <c r="I107" s="598">
        <v>0</v>
      </c>
      <c r="J107" s="598">
        <v>0</v>
      </c>
      <c r="K107" s="598">
        <v>0</v>
      </c>
      <c r="L107" s="598">
        <v>153312.93</v>
      </c>
      <c r="M107" s="599">
        <v>6.3408000000000007</v>
      </c>
      <c r="N107" s="600">
        <v>24179</v>
      </c>
      <c r="O107" s="489">
        <v>1</v>
      </c>
      <c r="P107" s="195"/>
      <c r="Q107" s="199">
        <v>153312.93</v>
      </c>
      <c r="R107" s="196">
        <v>0</v>
      </c>
      <c r="S107" s="181">
        <v>0</v>
      </c>
      <c r="T107" s="111"/>
      <c r="U107" s="151"/>
      <c r="V107" s="195"/>
      <c r="W107" s="111"/>
      <c r="X107" s="195"/>
    </row>
    <row r="108" spans="1:24" x14ac:dyDescent="0.25">
      <c r="A108" s="161">
        <v>4732</v>
      </c>
      <c r="B108" s="132"/>
      <c r="C108" s="597">
        <v>0</v>
      </c>
      <c r="D108" s="597">
        <v>0</v>
      </c>
      <c r="E108" s="597">
        <v>0</v>
      </c>
      <c r="F108" s="598">
        <v>0</v>
      </c>
      <c r="G108" s="598">
        <v>237244.76</v>
      </c>
      <c r="H108" s="598">
        <v>87312.19</v>
      </c>
      <c r="I108" s="598">
        <v>0</v>
      </c>
      <c r="J108" s="598">
        <v>0</v>
      </c>
      <c r="K108" s="598">
        <v>0</v>
      </c>
      <c r="L108" s="598">
        <v>324556.95</v>
      </c>
      <c r="M108" s="599">
        <v>4.4584999999999999</v>
      </c>
      <c r="N108" s="600">
        <v>72795</v>
      </c>
      <c r="O108" s="489">
        <v>1</v>
      </c>
      <c r="P108" s="195"/>
      <c r="Q108" s="199">
        <v>324556.95</v>
      </c>
      <c r="R108" s="196">
        <v>0</v>
      </c>
      <c r="S108" s="181">
        <v>0</v>
      </c>
      <c r="T108" s="111"/>
      <c r="U108" s="151"/>
      <c r="V108" s="195"/>
      <c r="W108" s="111"/>
      <c r="X108" s="195"/>
    </row>
    <row r="109" spans="1:24" x14ac:dyDescent="0.25">
      <c r="A109" s="161">
        <v>4735</v>
      </c>
      <c r="B109" s="132" t="s">
        <v>1691</v>
      </c>
      <c r="C109" s="597">
        <v>47.260340248643239</v>
      </c>
      <c r="D109" s="597">
        <v>0</v>
      </c>
      <c r="E109" s="597">
        <v>0</v>
      </c>
      <c r="F109" s="598">
        <v>4007.7043100727456</v>
      </c>
      <c r="G109" s="598">
        <v>52450.932778568946</v>
      </c>
      <c r="H109" s="598">
        <v>18395.258583965202</v>
      </c>
      <c r="I109" s="598">
        <v>0</v>
      </c>
      <c r="J109" s="598">
        <v>0</v>
      </c>
      <c r="K109" s="598">
        <v>0</v>
      </c>
      <c r="L109" s="598">
        <v>74901.156012855528</v>
      </c>
      <c r="M109" s="599">
        <v>4.4584999999999999</v>
      </c>
      <c r="N109" s="600">
        <v>16800</v>
      </c>
      <c r="O109" s="489">
        <v>1</v>
      </c>
      <c r="P109" s="195"/>
      <c r="Q109" s="199">
        <v>74780.843505310739</v>
      </c>
      <c r="R109" s="196">
        <v>120.3125075447897</v>
      </c>
      <c r="S109" s="181">
        <v>1.6088680189365601E-3</v>
      </c>
      <c r="T109" s="111"/>
      <c r="U109" s="151"/>
      <c r="V109" s="195"/>
      <c r="W109" s="111"/>
      <c r="X109" s="195"/>
    </row>
    <row r="110" spans="1:24" x14ac:dyDescent="0.25">
      <c r="A110" s="161">
        <v>4750</v>
      </c>
      <c r="B110" s="132" t="s">
        <v>93</v>
      </c>
      <c r="C110" s="597">
        <v>14060673.419393618</v>
      </c>
      <c r="D110" s="597">
        <v>2848.2770962078107</v>
      </c>
      <c r="E110" s="597">
        <v>421783.53875959927</v>
      </c>
      <c r="F110" s="598">
        <v>3903979.9326901464</v>
      </c>
      <c r="G110" s="598">
        <v>88758753.769130126</v>
      </c>
      <c r="H110" s="598">
        <v>50167836.142144412</v>
      </c>
      <c r="I110" s="598"/>
      <c r="J110" s="598"/>
      <c r="K110" s="598">
        <v>1837204.0470814519</v>
      </c>
      <c r="L110" s="598">
        <v>159153079.12629554</v>
      </c>
      <c r="M110" s="599">
        <v>1640.72165</v>
      </c>
      <c r="N110" s="600">
        <v>97002</v>
      </c>
      <c r="O110" s="489">
        <v>105</v>
      </c>
      <c r="P110" s="195"/>
      <c r="Q110" s="199">
        <v>154302899.27935147</v>
      </c>
      <c r="R110" s="196">
        <v>4850179.8469440639</v>
      </c>
      <c r="S110" s="181">
        <v>3.1432849736434676E-2</v>
      </c>
      <c r="T110" s="111"/>
      <c r="U110" s="151" t="s">
        <v>1809</v>
      </c>
      <c r="V110" s="195"/>
      <c r="W110" s="111"/>
      <c r="X110" s="195"/>
    </row>
    <row r="111" spans="1:24" x14ac:dyDescent="0.25">
      <c r="A111" s="161">
        <v>4750</v>
      </c>
      <c r="B111" s="132" t="s">
        <v>94</v>
      </c>
      <c r="C111" s="597">
        <v>119254.91024163617</v>
      </c>
      <c r="D111" s="597">
        <v>24.157522141369757</v>
      </c>
      <c r="E111" s="597">
        <v>3577.3363448437817</v>
      </c>
      <c r="F111" s="598"/>
      <c r="G111" s="598"/>
      <c r="H111" s="598"/>
      <c r="I111" s="598">
        <v>2929262.7</v>
      </c>
      <c r="J111" s="598">
        <v>13306603.300000001</v>
      </c>
      <c r="K111" s="598">
        <v>15582.155789784212</v>
      </c>
      <c r="L111" s="598">
        <v>16374304.559898406</v>
      </c>
      <c r="M111" s="612">
        <v>13.915700000000243</v>
      </c>
      <c r="N111" s="600">
        <v>1176678</v>
      </c>
      <c r="O111" s="489"/>
      <c r="P111" s="195"/>
      <c r="Q111" s="199">
        <v>12140418.37943811</v>
      </c>
      <c r="R111" s="196">
        <v>4233886.1804602966</v>
      </c>
      <c r="S111" s="181">
        <v>0.34874302088559905</v>
      </c>
      <c r="T111" s="182" t="s">
        <v>1810</v>
      </c>
      <c r="U111" s="151" t="s">
        <v>1811</v>
      </c>
      <c r="V111" s="195"/>
      <c r="W111" s="111"/>
      <c r="X111" s="195"/>
    </row>
    <row r="112" spans="1:24" x14ac:dyDescent="0.25">
      <c r="A112" s="161">
        <v>4750</v>
      </c>
      <c r="B112" s="132" t="s">
        <v>1812</v>
      </c>
      <c r="C112" s="597"/>
      <c r="D112" s="597"/>
      <c r="E112" s="597"/>
      <c r="F112" s="598"/>
      <c r="G112" s="598"/>
      <c r="H112" s="598"/>
      <c r="I112" s="598"/>
      <c r="J112" s="598"/>
      <c r="K112" s="598"/>
      <c r="L112" s="598" t="s">
        <v>1813</v>
      </c>
      <c r="M112" s="599">
        <v>6.0187499999999998</v>
      </c>
      <c r="N112" s="600"/>
      <c r="O112" s="489"/>
      <c r="P112" s="195"/>
      <c r="Q112" s="199"/>
      <c r="R112" s="195"/>
      <c r="S112" s="181"/>
      <c r="T112" s="182"/>
      <c r="U112" s="151"/>
      <c r="V112" s="195"/>
      <c r="W112" s="111"/>
      <c r="X112" s="195"/>
    </row>
    <row r="113" spans="1:24" x14ac:dyDescent="0.25">
      <c r="A113" s="161">
        <v>4750</v>
      </c>
      <c r="B113" s="132" t="s">
        <v>1814</v>
      </c>
      <c r="C113" s="597"/>
      <c r="D113" s="597"/>
      <c r="E113" s="597"/>
      <c r="F113" s="598"/>
      <c r="G113" s="598"/>
      <c r="H113" s="598"/>
      <c r="I113" s="598"/>
      <c r="J113" s="598"/>
      <c r="K113" s="598"/>
      <c r="L113" s="598" t="s">
        <v>1813</v>
      </c>
      <c r="M113" s="599">
        <v>0.12</v>
      </c>
      <c r="N113" s="600"/>
      <c r="O113" s="489"/>
      <c r="P113" s="207"/>
      <c r="Q113" s="199"/>
      <c r="R113" s="207"/>
      <c r="S113" s="181"/>
      <c r="T113" s="182"/>
      <c r="U113" s="151"/>
      <c r="V113" s="195"/>
      <c r="W113" s="111"/>
      <c r="X113" s="195"/>
    </row>
    <row r="114" spans="1:24" x14ac:dyDescent="0.25">
      <c r="A114" s="161">
        <v>4781</v>
      </c>
      <c r="B114" s="132"/>
      <c r="C114" s="597">
        <v>1277.33</v>
      </c>
      <c r="D114" s="597">
        <v>0</v>
      </c>
      <c r="E114" s="597">
        <v>0</v>
      </c>
      <c r="F114" s="598">
        <v>98306.880000000005</v>
      </c>
      <c r="G114" s="598">
        <v>43204.47</v>
      </c>
      <c r="H114" s="598">
        <v>94967.69</v>
      </c>
      <c r="I114" s="598">
        <v>0</v>
      </c>
      <c r="J114" s="598">
        <v>0</v>
      </c>
      <c r="K114" s="598">
        <v>1376.41</v>
      </c>
      <c r="L114" s="598">
        <v>239132.78</v>
      </c>
      <c r="M114" s="599">
        <v>29.019699999999997</v>
      </c>
      <c r="N114" s="600">
        <v>8240</v>
      </c>
      <c r="O114" s="489">
        <v>1</v>
      </c>
      <c r="P114" s="195"/>
      <c r="Q114" s="199">
        <v>239132.78</v>
      </c>
      <c r="R114" s="196">
        <v>0</v>
      </c>
      <c r="S114" s="181">
        <v>0</v>
      </c>
      <c r="T114" s="111"/>
      <c r="U114" s="151"/>
      <c r="V114" s="195"/>
      <c r="W114" s="111"/>
      <c r="X114" s="195"/>
    </row>
    <row r="115" spans="1:24" x14ac:dyDescent="0.25">
      <c r="A115" s="161">
        <v>4782</v>
      </c>
      <c r="B115" s="132"/>
      <c r="C115" s="597">
        <v>165196.31</v>
      </c>
      <c r="D115" s="597">
        <v>0</v>
      </c>
      <c r="E115" s="597">
        <v>0</v>
      </c>
      <c r="F115" s="598">
        <v>327794.67</v>
      </c>
      <c r="G115" s="598">
        <v>91897.83</v>
      </c>
      <c r="H115" s="598">
        <v>580044.74</v>
      </c>
      <c r="I115" s="598">
        <v>0</v>
      </c>
      <c r="J115" s="598">
        <v>0</v>
      </c>
      <c r="K115" s="598">
        <v>21669.13</v>
      </c>
      <c r="L115" s="601">
        <v>1186602.6799999997</v>
      </c>
      <c r="M115" s="599">
        <v>100.80329999999999</v>
      </c>
      <c r="N115" s="600">
        <v>11771</v>
      </c>
      <c r="O115" s="489">
        <v>1</v>
      </c>
      <c r="P115" s="195"/>
      <c r="Q115" s="199">
        <v>1194349.6799999997</v>
      </c>
      <c r="R115" s="196">
        <v>-7747</v>
      </c>
      <c r="S115" s="181">
        <v>-6.486375079030493E-3</v>
      </c>
      <c r="T115" s="111"/>
      <c r="U115" s="151"/>
      <c r="V115" s="195"/>
      <c r="W115" s="111"/>
      <c r="X115" s="195"/>
    </row>
    <row r="116" spans="1:24" x14ac:dyDescent="0.25">
      <c r="A116" s="132" t="s">
        <v>1497</v>
      </c>
      <c r="B116" s="135"/>
      <c r="C116" s="597"/>
      <c r="D116" s="597"/>
      <c r="E116" s="597"/>
      <c r="F116" s="598"/>
      <c r="G116" s="598"/>
      <c r="H116" s="598"/>
      <c r="I116" s="598"/>
      <c r="J116" s="598"/>
      <c r="K116" s="598"/>
      <c r="L116" s="598"/>
      <c r="M116" s="600"/>
      <c r="N116" s="600"/>
      <c r="O116" s="138"/>
      <c r="P116" s="195"/>
      <c r="Q116" s="180"/>
      <c r="R116" s="195"/>
      <c r="S116" s="181"/>
      <c r="T116" s="111"/>
      <c r="U116" s="151"/>
      <c r="V116" s="195"/>
      <c r="W116" s="111"/>
      <c r="X116" s="195"/>
    </row>
    <row r="117" spans="1:24" x14ac:dyDescent="0.25">
      <c r="A117" s="496" t="s">
        <v>19</v>
      </c>
      <c r="B117" s="201"/>
      <c r="C117" s="602">
        <f>ROUND(SUM(C104:C115),0)</f>
        <v>14992572</v>
      </c>
      <c r="D117" s="602">
        <f>ROUND(SUM(D104:D115),0)</f>
        <v>3409</v>
      </c>
      <c r="E117" s="602">
        <f>ROUND(SUM(E104:E115),0)</f>
        <v>425871</v>
      </c>
      <c r="F117" s="603">
        <f>ROUND(SUM(F104:F115),0)</f>
        <v>6551038</v>
      </c>
      <c r="G117" s="603">
        <f>ROUND(SUM(G104:G115),0)</f>
        <v>91909416</v>
      </c>
      <c r="H117" s="603">
        <f>(SUM(H104:H115))</f>
        <v>54344343.069449119</v>
      </c>
      <c r="I117" s="603">
        <f>ROUND(SUM(I104:I115),0)</f>
        <v>2929263</v>
      </c>
      <c r="J117" s="603">
        <f>ROUND(SUM(J104:J115),0)</f>
        <v>13306603</v>
      </c>
      <c r="K117" s="603">
        <f>ROUND(SUM(K104:K115),0)</f>
        <v>1900030</v>
      </c>
      <c r="L117" s="603">
        <f>ROUND(SUM(L104:L115),0)</f>
        <v>186362546</v>
      </c>
      <c r="M117" s="600">
        <f>SUM(M104:M115)</f>
        <v>1878.5654000000002</v>
      </c>
      <c r="N117" s="600">
        <f>ROUND(L117/M117,0)</f>
        <v>99205</v>
      </c>
      <c r="O117" s="138">
        <f>SUM(O104:O115)</f>
        <v>123</v>
      </c>
      <c r="P117" s="195"/>
      <c r="Q117" s="180"/>
      <c r="R117" s="195"/>
      <c r="S117" s="181"/>
      <c r="T117" s="111"/>
      <c r="U117" s="490"/>
      <c r="V117" s="195"/>
      <c r="W117" s="111"/>
      <c r="X117" s="195"/>
    </row>
    <row r="118" spans="1:24" x14ac:dyDescent="0.25">
      <c r="A118" s="132"/>
      <c r="B118" s="163"/>
      <c r="C118" s="600"/>
      <c r="D118" s="600"/>
      <c r="E118" s="600"/>
      <c r="F118" s="605"/>
      <c r="G118" s="605"/>
      <c r="H118" s="605"/>
      <c r="I118" s="605"/>
      <c r="J118" s="605"/>
      <c r="K118" s="605"/>
      <c r="L118" s="605"/>
      <c r="M118" s="600"/>
      <c r="N118" s="600"/>
      <c r="O118" s="138"/>
      <c r="P118" s="207"/>
      <c r="Q118" s="180"/>
      <c r="R118" s="207"/>
      <c r="S118" s="181"/>
      <c r="T118" s="111"/>
      <c r="U118" s="151"/>
      <c r="V118" s="195"/>
      <c r="W118" s="111"/>
      <c r="X118" s="195"/>
    </row>
    <row r="119" spans="1:24" x14ac:dyDescent="0.25">
      <c r="A119" s="494" t="s">
        <v>95</v>
      </c>
      <c r="B119" s="163"/>
      <c r="C119" s="597"/>
      <c r="D119" s="597"/>
      <c r="E119" s="597"/>
      <c r="F119" s="598"/>
      <c r="G119" s="598"/>
      <c r="H119" s="598"/>
      <c r="I119" s="598"/>
      <c r="J119" s="598"/>
      <c r="K119" s="598"/>
      <c r="L119" s="598"/>
      <c r="M119" s="599"/>
      <c r="N119" s="600"/>
      <c r="O119" s="138"/>
      <c r="P119" s="195"/>
      <c r="Q119" s="180"/>
      <c r="R119" s="195"/>
      <c r="S119" s="181"/>
      <c r="T119" s="111"/>
      <c r="U119" s="151"/>
      <c r="V119" s="195"/>
      <c r="W119" s="111"/>
      <c r="X119" s="195"/>
    </row>
    <row r="120" spans="1:24" x14ac:dyDescent="0.25">
      <c r="A120" s="132"/>
      <c r="B120" s="132"/>
      <c r="C120" s="597"/>
      <c r="D120" s="597"/>
      <c r="E120" s="597"/>
      <c r="F120" s="598"/>
      <c r="G120" s="598"/>
      <c r="H120" s="598"/>
      <c r="I120" s="598"/>
      <c r="J120" s="598"/>
      <c r="K120" s="598"/>
      <c r="L120" s="598"/>
      <c r="M120" s="599"/>
      <c r="N120" s="600"/>
      <c r="O120" s="138"/>
      <c r="P120" s="195"/>
      <c r="Q120" s="180"/>
      <c r="R120" s="195"/>
      <c r="S120" s="181"/>
      <c r="T120" s="111"/>
      <c r="U120" s="151"/>
      <c r="V120" s="195"/>
      <c r="W120" s="111"/>
      <c r="X120" s="195"/>
    </row>
    <row r="121" spans="1:24" x14ac:dyDescent="0.25">
      <c r="A121" s="161">
        <v>4105</v>
      </c>
      <c r="B121" s="132" t="s">
        <v>1583</v>
      </c>
      <c r="C121" s="597">
        <v>29897030.615300942</v>
      </c>
      <c r="D121" s="597">
        <v>1052721.6762263076</v>
      </c>
      <c r="E121" s="597">
        <v>1001127.7805118562</v>
      </c>
      <c r="F121" s="598">
        <v>18226241.242938302</v>
      </c>
      <c r="G121" s="598">
        <v>366519359.86927933</v>
      </c>
      <c r="H121" s="598">
        <v>148366493.00166076</v>
      </c>
      <c r="I121" s="598"/>
      <c r="J121" s="598"/>
      <c r="K121" s="598">
        <v>1432371.4787029827</v>
      </c>
      <c r="L121" s="598">
        <v>566495345.66462052</v>
      </c>
      <c r="M121" s="599">
        <v>4649.7339000000002</v>
      </c>
      <c r="N121" s="600">
        <v>121834</v>
      </c>
      <c r="O121" s="489">
        <v>800</v>
      </c>
      <c r="P121" s="195"/>
      <c r="Q121" s="180">
        <v>555841482.45405352</v>
      </c>
      <c r="R121" s="196">
        <v>10653863.210566998</v>
      </c>
      <c r="S121" s="181">
        <v>1.916708908361775E-2</v>
      </c>
      <c r="T121" s="111"/>
      <c r="U121" s="151"/>
      <c r="V121" s="195"/>
      <c r="W121" s="111"/>
      <c r="X121" s="195"/>
    </row>
    <row r="122" spans="1:24" x14ac:dyDescent="0.25">
      <c r="A122" s="161">
        <v>4105</v>
      </c>
      <c r="B122" s="132" t="s">
        <v>1584</v>
      </c>
      <c r="C122" s="597">
        <v>2078120.0718496942</v>
      </c>
      <c r="D122" s="597">
        <v>73173.890530704244</v>
      </c>
      <c r="E122" s="597">
        <v>69587.637713534888</v>
      </c>
      <c r="F122" s="598"/>
      <c r="G122" s="598"/>
      <c r="H122" s="598"/>
      <c r="I122" s="598">
        <v>39832966.92051816</v>
      </c>
      <c r="J122" s="598">
        <v>161607375.37858102</v>
      </c>
      <c r="K122" s="598">
        <v>99563.062249877286</v>
      </c>
      <c r="L122" s="598">
        <v>203760786.96144298</v>
      </c>
      <c r="M122" s="599">
        <v>323.19950000000006</v>
      </c>
      <c r="N122" s="600">
        <v>630449</v>
      </c>
      <c r="O122" s="489"/>
      <c r="P122" s="195">
        <v>323.6814</v>
      </c>
      <c r="Q122" s="180">
        <v>197353432.75594658</v>
      </c>
      <c r="R122" s="196">
        <v>6407354.2054964006</v>
      </c>
      <c r="S122" s="181">
        <v>3.2466393495267587E-2</v>
      </c>
      <c r="T122" s="111"/>
      <c r="U122" s="151"/>
      <c r="V122" s="195"/>
      <c r="W122" s="111"/>
      <c r="X122" s="195"/>
    </row>
    <row r="123" spans="1:24" x14ac:dyDescent="0.25">
      <c r="A123" s="161">
        <v>4105</v>
      </c>
      <c r="B123" s="132" t="s">
        <v>1815</v>
      </c>
      <c r="C123" s="597">
        <v>12198.686570719445</v>
      </c>
      <c r="D123" s="597">
        <v>429.53502438850325</v>
      </c>
      <c r="E123" s="597">
        <v>408.48351024713344</v>
      </c>
      <c r="F123" s="598"/>
      <c r="G123" s="598"/>
      <c r="H123" s="598"/>
      <c r="I123" s="598">
        <v>233821.84948184338</v>
      </c>
      <c r="J123" s="598">
        <v>948644.76141901151</v>
      </c>
      <c r="K123" s="598">
        <v>584.44100841884699</v>
      </c>
      <c r="L123" s="598">
        <v>1196087.7570146287</v>
      </c>
      <c r="M123" s="599">
        <v>1.8972</v>
      </c>
      <c r="N123" s="600"/>
      <c r="O123" s="489"/>
      <c r="P123" s="195"/>
      <c r="Q123" s="180"/>
      <c r="R123" s="196"/>
      <c r="S123" s="181"/>
      <c r="T123" s="111"/>
      <c r="U123" s="151"/>
      <c r="V123" s="195"/>
      <c r="W123" s="111"/>
      <c r="X123" s="195"/>
    </row>
    <row r="124" spans="1:24" x14ac:dyDescent="0.25">
      <c r="A124" s="161">
        <v>4105</v>
      </c>
      <c r="B124" s="132" t="s">
        <v>1816</v>
      </c>
      <c r="C124" s="597"/>
      <c r="D124" s="597"/>
      <c r="E124" s="597"/>
      <c r="F124" s="598"/>
      <c r="G124" s="598"/>
      <c r="H124" s="598"/>
      <c r="I124" s="598"/>
      <c r="J124" s="598"/>
      <c r="K124" s="598"/>
      <c r="L124" s="599" t="s">
        <v>1813</v>
      </c>
      <c r="M124" s="599">
        <v>10.8</v>
      </c>
      <c r="N124" s="600"/>
      <c r="O124" s="489"/>
      <c r="P124" s="207">
        <v>-0.48189999999993915</v>
      </c>
      <c r="Q124" s="180"/>
      <c r="R124" s="195"/>
      <c r="S124" s="181"/>
      <c r="T124" s="111"/>
      <c r="U124" s="151"/>
      <c r="V124" s="195"/>
      <c r="W124" s="111"/>
      <c r="X124" s="195"/>
    </row>
    <row r="125" spans="1:24" x14ac:dyDescent="0.25">
      <c r="A125" s="161">
        <v>4105</v>
      </c>
      <c r="B125" s="132" t="s">
        <v>1817</v>
      </c>
      <c r="C125" s="597"/>
      <c r="D125" s="597"/>
      <c r="E125" s="597"/>
      <c r="F125" s="598"/>
      <c r="G125" s="598"/>
      <c r="H125" s="598"/>
      <c r="I125" s="598"/>
      <c r="J125" s="598"/>
      <c r="K125" s="598"/>
      <c r="L125" s="599" t="s">
        <v>1813</v>
      </c>
      <c r="M125" s="599">
        <v>0.76719999999999999</v>
      </c>
      <c r="N125" s="600"/>
      <c r="O125" s="489"/>
      <c r="P125" s="195"/>
      <c r="Q125" s="180"/>
      <c r="R125" s="195"/>
      <c r="S125" s="181"/>
      <c r="T125" s="111"/>
      <c r="U125" s="151"/>
      <c r="V125" s="195"/>
      <c r="W125" s="111"/>
      <c r="X125" s="195"/>
    </row>
    <row r="126" spans="1:24" x14ac:dyDescent="0.25">
      <c r="A126" s="161">
        <v>4105</v>
      </c>
      <c r="B126" s="132" t="s">
        <v>1818</v>
      </c>
      <c r="C126" s="597"/>
      <c r="D126" s="597"/>
      <c r="E126" s="597"/>
      <c r="F126" s="598"/>
      <c r="G126" s="598"/>
      <c r="H126" s="598"/>
      <c r="I126" s="598"/>
      <c r="J126" s="598"/>
      <c r="K126" s="598"/>
      <c r="L126" s="599" t="s">
        <v>1813</v>
      </c>
      <c r="M126" s="599">
        <v>6.2</v>
      </c>
      <c r="N126" s="600"/>
      <c r="O126" s="489"/>
      <c r="P126" s="195">
        <v>4958.7864</v>
      </c>
      <c r="Q126" s="180"/>
      <c r="R126" s="207"/>
      <c r="S126" s="181"/>
      <c r="T126" s="111"/>
      <c r="U126" s="151"/>
      <c r="V126" s="195"/>
      <c r="W126" s="111"/>
      <c r="X126" s="195"/>
    </row>
    <row r="127" spans="1:24" x14ac:dyDescent="0.25">
      <c r="A127" s="161">
        <v>4105</v>
      </c>
      <c r="B127" s="132" t="s">
        <v>1819</v>
      </c>
      <c r="C127" s="597"/>
      <c r="D127" s="597"/>
      <c r="E127" s="597"/>
      <c r="F127" s="598"/>
      <c r="G127" s="598"/>
      <c r="H127" s="598"/>
      <c r="I127" s="598"/>
      <c r="J127" s="598"/>
      <c r="K127" s="598"/>
      <c r="L127" s="599" t="s">
        <v>1813</v>
      </c>
      <c r="M127" s="599">
        <v>0.64810000000000001</v>
      </c>
      <c r="N127" s="600"/>
      <c r="O127" s="489"/>
      <c r="P127" s="207">
        <v>18.415300000000002</v>
      </c>
      <c r="Q127" s="180"/>
      <c r="R127" s="207"/>
      <c r="S127" s="181"/>
      <c r="T127" s="111"/>
      <c r="U127" s="151"/>
      <c r="V127" s="195"/>
      <c r="W127" s="111"/>
      <c r="X127" s="195"/>
    </row>
    <row r="128" spans="1:24" x14ac:dyDescent="0.25">
      <c r="A128" s="161">
        <v>4106</v>
      </c>
      <c r="B128" s="132" t="s">
        <v>93</v>
      </c>
      <c r="C128" s="597">
        <v>304843.19398389698</v>
      </c>
      <c r="D128" s="597">
        <v>0</v>
      </c>
      <c r="E128" s="597">
        <v>0</v>
      </c>
      <c r="F128" s="598">
        <v>527.12206001122024</v>
      </c>
      <c r="G128" s="598">
        <v>2779757.9206310157</v>
      </c>
      <c r="H128" s="598">
        <v>2518141.7867755503</v>
      </c>
      <c r="I128" s="598"/>
      <c r="J128" s="598"/>
      <c r="K128" s="598">
        <v>0</v>
      </c>
      <c r="L128" s="598">
        <v>5603270.0234504743</v>
      </c>
      <c r="M128" s="599">
        <v>31.365299999999998</v>
      </c>
      <c r="N128" s="600">
        <v>178646</v>
      </c>
      <c r="O128" s="489">
        <v>41</v>
      </c>
      <c r="P128" s="195">
        <v>4977.2016999999996</v>
      </c>
      <c r="Q128" s="180">
        <v>5638468.7540753428</v>
      </c>
      <c r="R128" s="196">
        <v>-35198.730624868535</v>
      </c>
      <c r="S128" s="181">
        <v>-6.2426045368129124E-3</v>
      </c>
      <c r="T128" s="111"/>
      <c r="U128" s="151"/>
      <c r="V128" s="195"/>
      <c r="W128" s="111"/>
      <c r="X128" s="195"/>
    </row>
    <row r="129" spans="1:24" x14ac:dyDescent="0.25">
      <c r="A129" s="161">
        <v>4106</v>
      </c>
      <c r="B129" s="132" t="s">
        <v>94</v>
      </c>
      <c r="C129" s="597">
        <v>55521.459381941509</v>
      </c>
      <c r="D129" s="597">
        <v>0</v>
      </c>
      <c r="E129" s="597">
        <v>0</v>
      </c>
      <c r="F129" s="598"/>
      <c r="G129" s="598"/>
      <c r="H129" s="598"/>
      <c r="I129" s="598">
        <v>1292809.1600000001</v>
      </c>
      <c r="J129" s="598">
        <v>3036715.91</v>
      </c>
      <c r="K129" s="598">
        <v>0</v>
      </c>
      <c r="L129" s="598">
        <v>4385046.529381942</v>
      </c>
      <c r="M129" s="599">
        <v>5.7126000000000001</v>
      </c>
      <c r="N129" s="600">
        <v>767610</v>
      </c>
      <c r="O129" s="489"/>
      <c r="P129" s="195"/>
      <c r="Q129" s="180">
        <v>4470474.501465885</v>
      </c>
      <c r="R129" s="196">
        <v>-85427.972083942965</v>
      </c>
      <c r="S129" s="181">
        <v>-1.9109374643772381E-2</v>
      </c>
      <c r="T129" s="111"/>
      <c r="U129" s="151"/>
      <c r="V129" s="195"/>
      <c r="W129" s="111"/>
      <c r="X129" s="195"/>
    </row>
    <row r="130" spans="1:24" x14ac:dyDescent="0.25">
      <c r="A130" s="161">
        <v>4118</v>
      </c>
      <c r="B130" s="132" t="s">
        <v>1691</v>
      </c>
      <c r="C130" s="597">
        <v>138881.54592986332</v>
      </c>
      <c r="D130" s="597">
        <v>3300.7958750641924</v>
      </c>
      <c r="E130" s="597">
        <v>55.485212996480314</v>
      </c>
      <c r="F130" s="598">
        <v>439579.37029287789</v>
      </c>
      <c r="G130" s="598">
        <v>6021.4304765647494</v>
      </c>
      <c r="H130" s="598">
        <v>355935.42078535003</v>
      </c>
      <c r="I130" s="598"/>
      <c r="J130" s="598"/>
      <c r="K130" s="598">
        <v>4634.6804799779538</v>
      </c>
      <c r="L130" s="598">
        <v>948408.72905269463</v>
      </c>
      <c r="M130" s="599">
        <v>3.9204999999999997</v>
      </c>
      <c r="N130" s="600">
        <v>241910</v>
      </c>
      <c r="O130" s="489">
        <v>2</v>
      </c>
      <c r="P130" s="195"/>
      <c r="Q130" s="180">
        <v>810200.78436288924</v>
      </c>
      <c r="R130" s="196">
        <v>138207.94468980539</v>
      </c>
      <c r="S130" s="181">
        <v>0.17058480731845593</v>
      </c>
      <c r="T130" s="182" t="s">
        <v>1800</v>
      </c>
      <c r="U130" s="151" t="s">
        <v>1820</v>
      </c>
      <c r="V130" s="195"/>
      <c r="W130" s="111"/>
      <c r="X130" s="195"/>
    </row>
    <row r="131" spans="1:24" x14ac:dyDescent="0.25">
      <c r="A131" s="161">
        <v>4124</v>
      </c>
      <c r="B131" s="132"/>
      <c r="C131" s="597">
        <v>485.44</v>
      </c>
      <c r="D131" s="597">
        <v>0</v>
      </c>
      <c r="E131" s="597">
        <v>0</v>
      </c>
      <c r="F131" s="598">
        <v>48889.82</v>
      </c>
      <c r="G131" s="598">
        <v>312250.51</v>
      </c>
      <c r="H131" s="598">
        <v>202021.82</v>
      </c>
      <c r="I131" s="598">
        <v>1342.72</v>
      </c>
      <c r="J131" s="598">
        <v>68591.12</v>
      </c>
      <c r="K131" s="598">
        <v>0</v>
      </c>
      <c r="L131" s="598">
        <v>633581.43000000005</v>
      </c>
      <c r="M131" s="613">
        <v>0</v>
      </c>
      <c r="N131" s="600">
        <v>0</v>
      </c>
      <c r="O131" s="489">
        <v>0</v>
      </c>
      <c r="P131" s="195"/>
      <c r="Q131" s="180">
        <v>633581.43000000005</v>
      </c>
      <c r="R131" s="196">
        <v>0</v>
      </c>
      <c r="S131" s="181">
        <v>0</v>
      </c>
      <c r="T131" s="111"/>
      <c r="U131" s="151"/>
      <c r="V131" s="195"/>
      <c r="W131" s="111"/>
      <c r="X131" s="195"/>
    </row>
    <row r="132" spans="1:24" x14ac:dyDescent="0.25">
      <c r="A132" s="161">
        <v>4128</v>
      </c>
      <c r="B132" s="132" t="s">
        <v>96</v>
      </c>
      <c r="C132" s="597">
        <v>0</v>
      </c>
      <c r="D132" s="597">
        <v>0</v>
      </c>
      <c r="E132" s="597">
        <v>0</v>
      </c>
      <c r="F132" s="598">
        <v>0</v>
      </c>
      <c r="G132" s="598">
        <v>1240.3900000000001</v>
      </c>
      <c r="H132" s="598">
        <v>1276.8900000000001</v>
      </c>
      <c r="I132" s="598">
        <v>0</v>
      </c>
      <c r="J132" s="598">
        <v>0</v>
      </c>
      <c r="K132" s="598">
        <v>0</v>
      </c>
      <c r="L132" s="598">
        <v>2517.2800000000002</v>
      </c>
      <c r="M132" s="613">
        <v>0</v>
      </c>
      <c r="N132" s="600">
        <v>0</v>
      </c>
      <c r="O132" s="489">
        <v>0</v>
      </c>
      <c r="P132" s="195"/>
      <c r="Q132" s="180">
        <v>2517.2800000000002</v>
      </c>
      <c r="R132" s="196">
        <v>0</v>
      </c>
      <c r="S132" s="181">
        <v>0</v>
      </c>
      <c r="T132" s="111"/>
      <c r="U132" s="151"/>
      <c r="V132" s="195"/>
      <c r="W132" s="111"/>
      <c r="X132" s="195"/>
    </row>
    <row r="133" spans="1:24" x14ac:dyDescent="0.25">
      <c r="A133" s="161">
        <v>4129</v>
      </c>
      <c r="B133" s="132"/>
      <c r="C133" s="597">
        <v>38460.07</v>
      </c>
      <c r="D133" s="597">
        <v>0</v>
      </c>
      <c r="E133" s="597">
        <v>0</v>
      </c>
      <c r="F133" s="598">
        <v>345086.64</v>
      </c>
      <c r="G133" s="598">
        <v>1085413.8</v>
      </c>
      <c r="H133" s="598">
        <v>744432.25</v>
      </c>
      <c r="I133" s="598">
        <v>0</v>
      </c>
      <c r="J133" s="598">
        <v>0</v>
      </c>
      <c r="K133" s="598">
        <v>0</v>
      </c>
      <c r="L133" s="598">
        <v>2213392.7599999998</v>
      </c>
      <c r="M133" s="599">
        <v>88.583299999999994</v>
      </c>
      <c r="N133" s="600">
        <v>24987</v>
      </c>
      <c r="O133" s="489">
        <v>2</v>
      </c>
      <c r="P133" s="195"/>
      <c r="Q133" s="180">
        <v>2069005.02</v>
      </c>
      <c r="R133" s="196">
        <v>144387.73999999976</v>
      </c>
      <c r="S133" s="181">
        <v>6.9786075241131895E-2</v>
      </c>
      <c r="T133" s="111"/>
      <c r="U133" s="151"/>
      <c r="V133" s="195"/>
      <c r="W133" s="111"/>
      <c r="X133" s="195"/>
    </row>
    <row r="134" spans="1:24" x14ac:dyDescent="0.25">
      <c r="A134" s="161">
        <v>4132</v>
      </c>
      <c r="B134" s="132"/>
      <c r="C134" s="597">
        <v>3146.16</v>
      </c>
      <c r="D134" s="597">
        <v>0</v>
      </c>
      <c r="E134" s="597">
        <v>0</v>
      </c>
      <c r="F134" s="598">
        <v>60500.200000000004</v>
      </c>
      <c r="G134" s="598">
        <v>0</v>
      </c>
      <c r="H134" s="598">
        <v>37257.47</v>
      </c>
      <c r="I134" s="598">
        <v>0</v>
      </c>
      <c r="J134" s="598">
        <v>0</v>
      </c>
      <c r="K134" s="598">
        <v>40795.49</v>
      </c>
      <c r="L134" s="598">
        <v>141699.32</v>
      </c>
      <c r="M134" s="599">
        <v>3.7956000000000003</v>
      </c>
      <c r="N134" s="600">
        <v>37333</v>
      </c>
      <c r="O134" s="489">
        <v>2</v>
      </c>
      <c r="P134" s="195"/>
      <c r="Q134" s="180">
        <v>141699.32</v>
      </c>
      <c r="R134" s="196">
        <v>0</v>
      </c>
      <c r="S134" s="181">
        <v>0</v>
      </c>
      <c r="T134" s="111"/>
      <c r="U134" s="151"/>
      <c r="V134" s="195"/>
      <c r="W134" s="111"/>
      <c r="X134" s="195"/>
    </row>
    <row r="135" spans="1:24" x14ac:dyDescent="0.25">
      <c r="A135" s="161">
        <v>4133</v>
      </c>
      <c r="B135" s="132"/>
      <c r="C135" s="597">
        <v>53165.17</v>
      </c>
      <c r="D135" s="597">
        <v>0</v>
      </c>
      <c r="E135" s="597">
        <v>0</v>
      </c>
      <c r="F135" s="598">
        <v>7515.75</v>
      </c>
      <c r="G135" s="598">
        <v>3257095.54</v>
      </c>
      <c r="H135" s="598">
        <v>340110.97000000003</v>
      </c>
      <c r="I135" s="598">
        <v>0</v>
      </c>
      <c r="J135" s="598">
        <v>0</v>
      </c>
      <c r="K135" s="598">
        <v>11454.69</v>
      </c>
      <c r="L135" s="598">
        <v>3669342.12</v>
      </c>
      <c r="M135" s="599">
        <v>37.867599999999996</v>
      </c>
      <c r="N135" s="600">
        <v>96899</v>
      </c>
      <c r="O135" s="489">
        <v>1</v>
      </c>
      <c r="P135" s="195"/>
      <c r="Q135" s="180">
        <v>3213813.02</v>
      </c>
      <c r="R135" s="196">
        <v>455529.10000000009</v>
      </c>
      <c r="S135" s="181">
        <v>0.14174100894021513</v>
      </c>
      <c r="T135" s="182" t="s">
        <v>1821</v>
      </c>
      <c r="U135" s="151" t="s">
        <v>1822</v>
      </c>
      <c r="V135" s="195"/>
      <c r="W135" s="111"/>
      <c r="X135" s="195"/>
    </row>
    <row r="136" spans="1:24" x14ac:dyDescent="0.25">
      <c r="A136" s="161">
        <v>4139</v>
      </c>
      <c r="B136" s="132"/>
      <c r="C136" s="597">
        <v>516.81000000000006</v>
      </c>
      <c r="D136" s="597">
        <v>0</v>
      </c>
      <c r="E136" s="597">
        <v>0</v>
      </c>
      <c r="F136" s="598">
        <v>0</v>
      </c>
      <c r="G136" s="598">
        <v>130596.29000000001</v>
      </c>
      <c r="H136" s="598">
        <v>96083.08</v>
      </c>
      <c r="I136" s="598">
        <v>0</v>
      </c>
      <c r="J136" s="598">
        <v>0</v>
      </c>
      <c r="K136" s="598">
        <v>0</v>
      </c>
      <c r="L136" s="598">
        <v>227196.18</v>
      </c>
      <c r="M136" s="599">
        <v>2.3069000000000002</v>
      </c>
      <c r="N136" s="600">
        <v>98485</v>
      </c>
      <c r="O136" s="489">
        <v>1</v>
      </c>
      <c r="P136" s="195"/>
      <c r="Q136" s="180">
        <v>114469.60999999999</v>
      </c>
      <c r="R136" s="196">
        <v>112726.57</v>
      </c>
      <c r="S136" s="181">
        <v>0.98477290173348209</v>
      </c>
      <c r="T136" s="182" t="s">
        <v>1823</v>
      </c>
      <c r="U136" s="151" t="s">
        <v>1822</v>
      </c>
      <c r="V136" s="195"/>
      <c r="W136" s="111"/>
      <c r="X136" s="195"/>
    </row>
    <row r="137" spans="1:24" x14ac:dyDescent="0.25">
      <c r="A137" s="161">
        <v>4142</v>
      </c>
      <c r="B137" s="132"/>
      <c r="C137" s="597">
        <v>25409.4</v>
      </c>
      <c r="D137" s="597">
        <v>0</v>
      </c>
      <c r="E137" s="597">
        <v>0</v>
      </c>
      <c r="F137" s="598">
        <v>0</v>
      </c>
      <c r="G137" s="598">
        <v>2453840.39</v>
      </c>
      <c r="H137" s="598">
        <v>85829.66</v>
      </c>
      <c r="I137" s="598">
        <v>0</v>
      </c>
      <c r="J137" s="598">
        <v>0</v>
      </c>
      <c r="K137" s="598">
        <v>0</v>
      </c>
      <c r="L137" s="598">
        <v>2565079.4500000002</v>
      </c>
      <c r="M137" s="599">
        <v>31.899699999999999</v>
      </c>
      <c r="N137" s="600">
        <v>80411</v>
      </c>
      <c r="O137" s="489">
        <v>1</v>
      </c>
      <c r="P137" s="195"/>
      <c r="Q137" s="180">
        <v>2385986.54</v>
      </c>
      <c r="R137" s="196">
        <v>179092.91000000015</v>
      </c>
      <c r="S137" s="181">
        <v>7.5060318655443936E-2</v>
      </c>
      <c r="T137" s="111"/>
      <c r="U137" s="151"/>
      <c r="V137" s="195"/>
      <c r="W137" s="111"/>
      <c r="X137" s="195"/>
    </row>
    <row r="138" spans="1:24" x14ac:dyDescent="0.25">
      <c r="A138" s="161">
        <v>4149</v>
      </c>
      <c r="B138" s="132"/>
      <c r="C138" s="597">
        <v>232</v>
      </c>
      <c r="D138" s="597">
        <v>0</v>
      </c>
      <c r="E138" s="597">
        <v>0</v>
      </c>
      <c r="F138" s="598">
        <v>0</v>
      </c>
      <c r="G138" s="598">
        <v>60362.97</v>
      </c>
      <c r="H138" s="598">
        <v>26752.440000000002</v>
      </c>
      <c r="I138" s="598">
        <v>0</v>
      </c>
      <c r="J138" s="598">
        <v>0</v>
      </c>
      <c r="K138" s="598">
        <v>1092.9100000000001</v>
      </c>
      <c r="L138" s="598">
        <v>88440.320000000007</v>
      </c>
      <c r="M138" s="599">
        <v>3.9923999999999999</v>
      </c>
      <c r="N138" s="600">
        <v>22152</v>
      </c>
      <c r="O138" s="489">
        <v>1</v>
      </c>
      <c r="P138" s="195"/>
      <c r="Q138" s="180">
        <v>88440.320000000007</v>
      </c>
      <c r="R138" s="196">
        <v>0</v>
      </c>
      <c r="S138" s="181">
        <v>0</v>
      </c>
      <c r="T138" s="111"/>
      <c r="U138" s="151"/>
      <c r="V138" s="195"/>
      <c r="W138" s="111"/>
      <c r="X138" s="195"/>
    </row>
    <row r="139" spans="1:24" x14ac:dyDescent="0.25">
      <c r="A139" s="161">
        <v>4705</v>
      </c>
      <c r="B139" s="132" t="s">
        <v>1583</v>
      </c>
      <c r="C139" s="597">
        <v>242709.56005883732</v>
      </c>
      <c r="D139" s="597">
        <v>3288.7334174950147</v>
      </c>
      <c r="E139" s="597">
        <v>0</v>
      </c>
      <c r="F139" s="598">
        <v>0</v>
      </c>
      <c r="G139" s="598">
        <v>2992713.17</v>
      </c>
      <c r="H139" s="598">
        <v>1329196.82</v>
      </c>
      <c r="I139" s="598">
        <v>0</v>
      </c>
      <c r="J139" s="598">
        <v>0</v>
      </c>
      <c r="K139" s="598">
        <v>35774.673227107647</v>
      </c>
      <c r="L139" s="598">
        <v>4603682.9567034403</v>
      </c>
      <c r="M139" s="599">
        <v>105.29199999999999</v>
      </c>
      <c r="N139" s="600">
        <v>43723</v>
      </c>
      <c r="O139" s="489">
        <v>10</v>
      </c>
      <c r="P139" s="195"/>
      <c r="Q139" s="180">
        <v>4470642.022190854</v>
      </c>
      <c r="R139" s="196">
        <v>133040.93451258633</v>
      </c>
      <c r="S139" s="181">
        <v>2.9758798367709449E-2</v>
      </c>
      <c r="T139" s="111"/>
      <c r="U139" s="151"/>
      <c r="V139" s="195"/>
      <c r="W139" s="111"/>
      <c r="X139" s="195"/>
    </row>
    <row r="140" spans="1:24" x14ac:dyDescent="0.25">
      <c r="A140" s="161">
        <v>4705</v>
      </c>
      <c r="B140" s="132" t="s">
        <v>1584</v>
      </c>
      <c r="C140" s="597">
        <v>505.27994116264443</v>
      </c>
      <c r="D140" s="597">
        <v>6.8465825049852533</v>
      </c>
      <c r="E140" s="597">
        <v>0</v>
      </c>
      <c r="F140" s="598"/>
      <c r="G140" s="598"/>
      <c r="H140" s="598"/>
      <c r="I140" s="598">
        <v>0</v>
      </c>
      <c r="J140" s="598">
        <v>0</v>
      </c>
      <c r="K140" s="598">
        <v>74.476772892356465</v>
      </c>
      <c r="L140" s="598">
        <v>586.60329655998623</v>
      </c>
      <c r="M140" s="599">
        <v>0.21920000000000001</v>
      </c>
      <c r="N140" s="600">
        <v>2676</v>
      </c>
      <c r="O140" s="489"/>
      <c r="P140" s="195"/>
      <c r="Q140" s="180">
        <v>587.24780914537064</v>
      </c>
      <c r="R140" s="196">
        <v>-0.6445125853844047</v>
      </c>
      <c r="S140" s="181">
        <v>-1.0975138184378119E-3</v>
      </c>
      <c r="T140" s="111"/>
      <c r="U140" s="151"/>
      <c r="V140" s="195"/>
      <c r="W140" s="111"/>
      <c r="X140" s="195"/>
    </row>
    <row r="141" spans="1:24" x14ac:dyDescent="0.25">
      <c r="A141" s="161">
        <v>4730</v>
      </c>
      <c r="B141" s="132"/>
      <c r="C141" s="597">
        <v>10584.86</v>
      </c>
      <c r="D141" s="597">
        <v>0</v>
      </c>
      <c r="E141" s="597">
        <v>0</v>
      </c>
      <c r="F141" s="598">
        <v>0</v>
      </c>
      <c r="G141" s="598">
        <v>362698.87</v>
      </c>
      <c r="H141" s="598">
        <v>298966.5</v>
      </c>
      <c r="I141" s="598">
        <v>0</v>
      </c>
      <c r="J141" s="598">
        <v>0</v>
      </c>
      <c r="K141" s="598">
        <v>0</v>
      </c>
      <c r="L141" s="598">
        <v>672250.23</v>
      </c>
      <c r="M141" s="599">
        <v>7.2159000000000004</v>
      </c>
      <c r="N141" s="600">
        <v>93162</v>
      </c>
      <c r="O141" s="489">
        <v>1</v>
      </c>
      <c r="P141" s="195"/>
      <c r="Q141" s="180">
        <v>672250.23</v>
      </c>
      <c r="R141" s="196">
        <v>0</v>
      </c>
      <c r="S141" s="181">
        <v>0</v>
      </c>
      <c r="T141" s="111"/>
      <c r="U141" s="151"/>
      <c r="V141" s="195"/>
      <c r="W141" s="111"/>
      <c r="X141" s="195"/>
    </row>
    <row r="142" spans="1:24" x14ac:dyDescent="0.25">
      <c r="A142" s="161">
        <v>4735</v>
      </c>
      <c r="B142" s="132" t="s">
        <v>97</v>
      </c>
      <c r="C142" s="597">
        <v>90.439659751356771</v>
      </c>
      <c r="D142" s="597">
        <v>0</v>
      </c>
      <c r="E142" s="597">
        <v>0</v>
      </c>
      <c r="F142" s="598">
        <v>7669.3356899272549</v>
      </c>
      <c r="G142" s="598">
        <v>100372.62722143103</v>
      </c>
      <c r="H142" s="598">
        <v>35202.051416034788</v>
      </c>
      <c r="I142" s="598">
        <v>0</v>
      </c>
      <c r="J142" s="598">
        <v>0</v>
      </c>
      <c r="K142" s="598">
        <v>0</v>
      </c>
      <c r="L142" s="598">
        <v>143334.45398714443</v>
      </c>
      <c r="M142" s="599">
        <v>8.532</v>
      </c>
      <c r="N142" s="600">
        <v>16800</v>
      </c>
      <c r="O142" s="489">
        <v>2</v>
      </c>
      <c r="P142" s="195"/>
      <c r="Q142" s="180">
        <v>143454.76649468928</v>
      </c>
      <c r="R142" s="196">
        <v>-120.3125075448479</v>
      </c>
      <c r="S142" s="181">
        <v>-8.3867905183410141E-4</v>
      </c>
      <c r="T142" s="111"/>
      <c r="U142" s="151"/>
      <c r="V142" s="195"/>
      <c r="W142" s="111"/>
      <c r="X142" s="195"/>
    </row>
    <row r="143" spans="1:24" x14ac:dyDescent="0.25">
      <c r="A143" s="161">
        <v>4750</v>
      </c>
      <c r="B143" s="132" t="s">
        <v>98</v>
      </c>
      <c r="C143" s="597">
        <v>145506.81036474666</v>
      </c>
      <c r="D143" s="597">
        <v>29.475381650819575</v>
      </c>
      <c r="E143" s="597">
        <v>4364.8248955569252</v>
      </c>
      <c r="F143" s="598">
        <v>40400.317309853257</v>
      </c>
      <c r="G143" s="598">
        <v>918519.5308698829</v>
      </c>
      <c r="H143" s="598">
        <v>519161.60785558593</v>
      </c>
      <c r="I143" s="598"/>
      <c r="J143" s="598"/>
      <c r="K143" s="598">
        <v>19012.297128764021</v>
      </c>
      <c r="L143" s="605">
        <v>1646994.8638060405</v>
      </c>
      <c r="M143" s="599">
        <v>16.978999999999999</v>
      </c>
      <c r="N143" s="600">
        <v>97002</v>
      </c>
      <c r="O143" s="489">
        <v>3</v>
      </c>
      <c r="P143" s="195"/>
      <c r="Q143" s="180">
        <v>1241986.451210404</v>
      </c>
      <c r="R143" s="196">
        <v>405008.41259563644</v>
      </c>
      <c r="S143" s="181">
        <v>0.32609728729401755</v>
      </c>
      <c r="T143" s="182" t="s">
        <v>1810</v>
      </c>
      <c r="U143" s="457" t="s">
        <v>1824</v>
      </c>
      <c r="V143" s="195"/>
      <c r="W143" s="111"/>
      <c r="X143" s="195"/>
    </row>
    <row r="144" spans="1:24" x14ac:dyDescent="0.25">
      <c r="A144" s="143"/>
      <c r="B144" s="143"/>
      <c r="C144" s="623"/>
      <c r="D144" s="623"/>
      <c r="E144" s="623"/>
      <c r="F144" s="614"/>
      <c r="G144" s="614"/>
      <c r="H144" s="614"/>
      <c r="I144" s="614"/>
      <c r="J144" s="614"/>
      <c r="K144" s="614"/>
      <c r="L144" s="614"/>
      <c r="M144" s="606"/>
      <c r="N144" s="606"/>
      <c r="O144" s="195"/>
      <c r="P144" s="195"/>
      <c r="Q144" s="180"/>
      <c r="R144" s="195"/>
      <c r="S144" s="181"/>
      <c r="T144" s="111"/>
      <c r="U144" s="151"/>
      <c r="V144" s="195"/>
      <c r="W144" s="111"/>
      <c r="X144" s="195"/>
    </row>
    <row r="145" spans="1:24" x14ac:dyDescent="0.25">
      <c r="A145" s="496" t="s">
        <v>99</v>
      </c>
      <c r="B145" s="200"/>
      <c r="C145" s="602">
        <f>ROUND(SUM(C121:C144),0)</f>
        <v>33007408</v>
      </c>
      <c r="D145" s="602">
        <f>ROUND(SUM(D121:D144),0)</f>
        <v>1132951</v>
      </c>
      <c r="E145" s="602">
        <f>ROUND(SUM(E121:E144),0)</f>
        <v>1075544</v>
      </c>
      <c r="F145" s="603">
        <f>ROUND(SUM(F121:F144),0)</f>
        <v>19176410</v>
      </c>
      <c r="G145" s="603">
        <f>ROUND(SUM(G121:G144),0)</f>
        <v>380980243</v>
      </c>
      <c r="H145" s="603">
        <f>(SUM(H121:H144))</f>
        <v>154956861.76849326</v>
      </c>
      <c r="I145" s="603">
        <f>ROUND(SUM(I121:I144),0)</f>
        <v>41360941</v>
      </c>
      <c r="J145" s="603">
        <f>ROUND(SUM(J121:J144),0)</f>
        <v>165661327</v>
      </c>
      <c r="K145" s="603">
        <f>ROUND(SUM(K121:K144),0)</f>
        <v>1645358</v>
      </c>
      <c r="L145" s="603">
        <f>ROUND(SUM(L121:L144),0)</f>
        <v>798997044</v>
      </c>
      <c r="M145" s="600">
        <f>SUM(M121:M143)</f>
        <v>5340.9279000000015</v>
      </c>
      <c r="N145" s="600">
        <f>ROUND(L145/M145,0)</f>
        <v>149599</v>
      </c>
      <c r="O145" s="138">
        <f>SUM(O121:O143)</f>
        <v>867</v>
      </c>
      <c r="P145" s="195"/>
      <c r="Q145" s="180"/>
      <c r="R145" s="195"/>
      <c r="S145" s="181"/>
      <c r="T145" s="111"/>
      <c r="U145" s="490"/>
      <c r="V145" s="195"/>
      <c r="W145" s="111"/>
      <c r="X145" s="195"/>
    </row>
    <row r="146" spans="1:24" x14ac:dyDescent="0.25">
      <c r="A146" s="132"/>
      <c r="B146" s="132"/>
      <c r="C146" s="597"/>
      <c r="D146" s="597"/>
      <c r="E146" s="597"/>
      <c r="F146" s="598"/>
      <c r="G146" s="598"/>
      <c r="H146" s="598"/>
      <c r="I146" s="598"/>
      <c r="J146" s="598"/>
      <c r="K146" s="598"/>
      <c r="L146" s="598"/>
      <c r="M146" s="600"/>
      <c r="N146" s="600"/>
      <c r="O146" s="138"/>
      <c r="P146" s="195"/>
      <c r="Q146" s="180"/>
      <c r="R146" s="195"/>
      <c r="S146" s="181"/>
      <c r="T146" s="111"/>
      <c r="U146" s="151"/>
      <c r="V146" s="195"/>
      <c r="W146" s="111"/>
      <c r="X146" s="195"/>
    </row>
    <row r="147" spans="1:24" ht="15.75" thickBot="1" x14ac:dyDescent="0.3">
      <c r="A147" s="219" t="s">
        <v>100</v>
      </c>
      <c r="B147" s="132"/>
      <c r="C147" s="624">
        <f>ROUND(C14+C43+C91+C100+C117+C145,0)</f>
        <v>169296850</v>
      </c>
      <c r="D147" s="624">
        <f>ROUND(D14+D43+D91+D100+D117+D145,0)</f>
        <v>8423884</v>
      </c>
      <c r="E147" s="624">
        <f>ROUND(E14+E43+E91+E100+E117+E145,0)</f>
        <v>2334163</v>
      </c>
      <c r="F147" s="625">
        <f>ROUND(F14+F43+F91+F100+F117+F145,0)</f>
        <v>593318280</v>
      </c>
      <c r="G147" s="625">
        <f>ROUND(G14+G43+G91+G100+G117+G145,0)</f>
        <v>538469762</v>
      </c>
      <c r="H147" s="625">
        <f>H14+H43+H91+H100+H117+H145</f>
        <v>613506398.64999998</v>
      </c>
      <c r="I147" s="625">
        <f>ROUND(I14+I43+I91+I100+I117+I145,0)</f>
        <v>44472645</v>
      </c>
      <c r="J147" s="625">
        <f>ROUND(J14+J43+J91+J100+J117+J145,0)</f>
        <v>180836578</v>
      </c>
      <c r="K147" s="625">
        <f>ROUND(K14+K43+K91+K100+K117+K145,0)</f>
        <v>113855098</v>
      </c>
      <c r="L147" s="625">
        <f>ROUND(L14+L43+L91+L100+L117+L145,0)</f>
        <v>2264513661</v>
      </c>
      <c r="M147" s="600">
        <f>SUM(M14+M43+M91+M100+M117+M145)</f>
        <v>12731.416900000002</v>
      </c>
      <c r="N147" s="600">
        <f>ROUND(L147/M147,0)</f>
        <v>177868</v>
      </c>
      <c r="O147" s="138">
        <f>SUM(O14+O43+O91+O100+O117+O145)</f>
        <v>1207</v>
      </c>
      <c r="P147" s="195"/>
      <c r="Q147" s="180"/>
      <c r="R147" s="195"/>
      <c r="S147" s="181"/>
      <c r="T147" s="111"/>
      <c r="U147" s="151"/>
      <c r="V147" s="195"/>
      <c r="W147" s="111"/>
      <c r="X147" s="195"/>
    </row>
    <row r="148" spans="1:24" ht="15.75" thickTop="1" x14ac:dyDescent="0.25">
      <c r="A148" s="132"/>
      <c r="B148" s="132" t="s">
        <v>89</v>
      </c>
      <c r="C148" s="600"/>
      <c r="D148" s="600"/>
      <c r="E148" s="600"/>
      <c r="F148" s="605"/>
      <c r="G148" s="605"/>
      <c r="H148" s="605"/>
      <c r="I148" s="605"/>
      <c r="J148" s="605"/>
      <c r="K148" s="605"/>
      <c r="L148" s="605"/>
      <c r="M148" s="600"/>
      <c r="N148" s="600"/>
      <c r="O148" s="138"/>
      <c r="P148" s="195"/>
      <c r="Q148" s="180"/>
      <c r="R148" s="195"/>
      <c r="S148" s="181"/>
      <c r="T148" s="111"/>
      <c r="U148" s="151"/>
      <c r="V148" s="195"/>
      <c r="W148" s="111"/>
      <c r="X148" s="195"/>
    </row>
    <row r="149" spans="1:24" x14ac:dyDescent="0.25">
      <c r="A149" s="132"/>
      <c r="B149" s="143"/>
      <c r="C149" s="623"/>
      <c r="D149" s="623"/>
      <c r="E149" s="623"/>
      <c r="F149" s="614"/>
      <c r="G149" s="614"/>
      <c r="H149" s="614"/>
      <c r="I149" s="614"/>
      <c r="J149" s="614"/>
      <c r="K149" s="614"/>
      <c r="L149" s="614"/>
      <c r="M149" s="600"/>
      <c r="N149" s="600"/>
      <c r="O149" s="138"/>
      <c r="P149" s="195"/>
      <c r="Q149" s="180"/>
      <c r="R149" s="195"/>
      <c r="S149" s="181"/>
      <c r="T149" s="111"/>
      <c r="U149" s="151"/>
      <c r="V149" s="195"/>
      <c r="W149" s="111"/>
      <c r="X149" s="195"/>
    </row>
    <row r="150" spans="1:24" x14ac:dyDescent="0.25">
      <c r="A150" s="132"/>
      <c r="B150" s="132" t="s">
        <v>1825</v>
      </c>
      <c r="C150" s="600">
        <v>169095712</v>
      </c>
      <c r="D150" s="600">
        <v>8926648</v>
      </c>
      <c r="E150" s="600">
        <v>2604680</v>
      </c>
      <c r="F150" s="605">
        <v>667092548</v>
      </c>
      <c r="G150" s="605">
        <v>509623685</v>
      </c>
      <c r="H150" s="605">
        <v>610616959</v>
      </c>
      <c r="I150" s="605">
        <v>41087270</v>
      </c>
      <c r="J150" s="605">
        <v>172482750</v>
      </c>
      <c r="K150" s="615">
        <v>31912656</v>
      </c>
      <c r="L150" s="616">
        <v>2466550800</v>
      </c>
      <c r="M150" s="600"/>
      <c r="N150" s="600"/>
      <c r="O150" s="138"/>
      <c r="P150" s="195"/>
      <c r="Q150" s="180"/>
      <c r="R150" s="195"/>
      <c r="S150" s="181"/>
      <c r="T150" s="111"/>
      <c r="U150" s="151"/>
      <c r="V150" s="195"/>
      <c r="W150" s="111"/>
      <c r="X150" s="195"/>
    </row>
    <row r="151" spans="1:24" ht="15.75" thickBot="1" x14ac:dyDescent="0.3">
      <c r="A151" s="132"/>
      <c r="B151" s="143"/>
      <c r="C151" s="617">
        <v>185893</v>
      </c>
      <c r="D151" s="617">
        <v>-503301</v>
      </c>
      <c r="E151" s="617">
        <v>-271027</v>
      </c>
      <c r="F151" s="618">
        <v>-73783562</v>
      </c>
      <c r="G151" s="618">
        <v>28659173</v>
      </c>
      <c r="H151" s="618">
        <v>2813781.1716607809</v>
      </c>
      <c r="I151" s="618">
        <v>3385375</v>
      </c>
      <c r="J151" s="618">
        <v>8353828</v>
      </c>
      <c r="K151" s="618">
        <v>81941711</v>
      </c>
      <c r="L151" s="618">
        <v>50781871.171660781</v>
      </c>
      <c r="M151" s="600"/>
      <c r="N151" s="600"/>
      <c r="O151" s="138"/>
      <c r="P151" s="195"/>
      <c r="Q151" s="180"/>
      <c r="R151" s="195"/>
      <c r="S151" s="181"/>
      <c r="T151" s="111"/>
      <c r="U151" s="151"/>
      <c r="V151" s="195"/>
      <c r="W151" s="111"/>
      <c r="X151" s="195"/>
    </row>
    <row r="152" spans="1:24" ht="15.75" thickTop="1" x14ac:dyDescent="0.25">
      <c r="A152" s="132"/>
      <c r="B152" s="132"/>
      <c r="C152" s="600"/>
      <c r="D152" s="600"/>
      <c r="E152" s="600"/>
      <c r="F152" s="605"/>
      <c r="G152" s="605"/>
      <c r="H152" s="605"/>
      <c r="I152" s="605"/>
      <c r="J152" s="605"/>
      <c r="K152" s="605"/>
      <c r="L152" s="605"/>
      <c r="M152" s="600"/>
      <c r="N152" s="600"/>
      <c r="O152" s="138"/>
      <c r="P152" s="195"/>
      <c r="Q152" s="180"/>
      <c r="R152" s="195"/>
      <c r="S152" s="181"/>
      <c r="T152" s="111"/>
      <c r="U152" s="151"/>
      <c r="V152" s="195"/>
      <c r="W152" s="111"/>
      <c r="X152" s="195"/>
    </row>
    <row r="153" spans="1:24" x14ac:dyDescent="0.25">
      <c r="A153" s="132"/>
      <c r="B153" s="132"/>
      <c r="C153" s="600"/>
      <c r="D153" s="600"/>
      <c r="E153" s="600"/>
      <c r="F153" s="605"/>
      <c r="G153" s="605"/>
      <c r="H153" s="605"/>
      <c r="I153" s="605"/>
      <c r="J153" s="605"/>
      <c r="K153" s="605"/>
      <c r="L153" s="605"/>
      <c r="M153" s="600"/>
      <c r="N153" s="600"/>
      <c r="O153" s="138"/>
      <c r="P153" s="195"/>
      <c r="Q153" s="180"/>
      <c r="R153" s="195"/>
      <c r="S153" s="181"/>
      <c r="T153" s="111"/>
      <c r="U153" s="151"/>
      <c r="V153" s="195"/>
      <c r="W153" s="111"/>
      <c r="X153" s="195"/>
    </row>
    <row r="154" spans="1:24" x14ac:dyDescent="0.25">
      <c r="A154" s="132"/>
      <c r="B154" s="132"/>
      <c r="C154" s="623"/>
      <c r="D154" s="623"/>
      <c r="E154" s="623"/>
      <c r="F154" s="614"/>
      <c r="G154" s="614"/>
      <c r="H154" s="614"/>
      <c r="I154" s="614"/>
      <c r="J154" s="614"/>
      <c r="K154" s="614"/>
      <c r="L154" s="614"/>
      <c r="M154" s="606"/>
      <c r="N154" s="606"/>
      <c r="O154" s="195"/>
      <c r="P154" s="195"/>
      <c r="Q154" s="180"/>
      <c r="R154" s="195"/>
      <c r="S154" s="181"/>
      <c r="T154" s="111"/>
      <c r="U154" s="151"/>
      <c r="V154" s="195"/>
      <c r="W154" s="111"/>
      <c r="X154" s="195"/>
    </row>
    <row r="155" spans="1:24" x14ac:dyDescent="0.25">
      <c r="A155" s="132"/>
      <c r="B155" s="132"/>
      <c r="C155" s="600"/>
      <c r="D155" s="600"/>
      <c r="E155" s="600"/>
      <c r="F155" s="605"/>
      <c r="G155" s="605"/>
      <c r="H155" s="605"/>
      <c r="I155" s="605"/>
      <c r="J155" s="605"/>
      <c r="K155" s="605"/>
      <c r="L155" s="605"/>
      <c r="M155" s="600"/>
      <c r="N155" s="600"/>
      <c r="O155" s="138"/>
      <c r="P155" s="195"/>
      <c r="Q155" s="180"/>
      <c r="R155" s="195"/>
      <c r="S155" s="181"/>
      <c r="T155" s="111"/>
      <c r="U155" s="151"/>
      <c r="V155" s="195"/>
      <c r="W155" s="111"/>
      <c r="X155" s="195"/>
    </row>
    <row r="156" spans="1:24" ht="18.75" x14ac:dyDescent="0.3">
      <c r="A156" s="209" t="s">
        <v>109</v>
      </c>
      <c r="B156" s="132"/>
      <c r="C156" s="600"/>
      <c r="D156" s="600"/>
      <c r="E156" s="600"/>
      <c r="F156" s="605"/>
      <c r="G156" s="605"/>
      <c r="H156" s="605"/>
      <c r="I156" s="605"/>
      <c r="J156" s="605"/>
      <c r="K156" s="605"/>
      <c r="L156" s="614"/>
      <c r="M156" s="606"/>
      <c r="N156" s="600"/>
      <c r="O156" s="138"/>
      <c r="P156" s="195"/>
      <c r="Q156" s="180"/>
      <c r="R156" s="195"/>
      <c r="S156" s="181"/>
      <c r="T156" s="111"/>
      <c r="U156" s="151"/>
      <c r="V156" s="195"/>
      <c r="W156" s="111"/>
      <c r="X156" s="195"/>
    </row>
    <row r="157" spans="1:24" x14ac:dyDescent="0.25">
      <c r="A157" s="132">
        <v>4300</v>
      </c>
      <c r="B157" s="132" t="s">
        <v>833</v>
      </c>
      <c r="C157" s="597">
        <v>0</v>
      </c>
      <c r="D157" s="597">
        <v>131348.09</v>
      </c>
      <c r="E157" s="597">
        <v>14695.550000000001</v>
      </c>
      <c r="F157" s="598">
        <v>0</v>
      </c>
      <c r="G157" s="598">
        <v>2443528.17</v>
      </c>
      <c r="H157" s="598">
        <v>97454.83</v>
      </c>
      <c r="I157" s="598">
        <v>0</v>
      </c>
      <c r="J157" s="598">
        <v>0</v>
      </c>
      <c r="K157" s="598">
        <v>0</v>
      </c>
      <c r="L157" s="598">
        <v>2687027</v>
      </c>
      <c r="M157" s="600"/>
      <c r="N157" s="600"/>
      <c r="O157" s="138"/>
      <c r="P157" s="195"/>
      <c r="Q157" s="210">
        <v>1934069</v>
      </c>
      <c r="R157" s="196">
        <v>752958</v>
      </c>
      <c r="S157" s="181"/>
      <c r="T157" s="111"/>
      <c r="U157" s="151"/>
      <c r="V157" s="195"/>
      <c r="W157" s="111"/>
      <c r="X157" s="195"/>
    </row>
    <row r="158" spans="1:24" x14ac:dyDescent="0.25">
      <c r="A158" s="132">
        <v>4207</v>
      </c>
      <c r="B158" s="132" t="s">
        <v>1452</v>
      </c>
      <c r="C158" s="597">
        <v>0</v>
      </c>
      <c r="D158" s="597">
        <v>25798.080000000002</v>
      </c>
      <c r="E158" s="597">
        <v>0</v>
      </c>
      <c r="F158" s="598">
        <v>0</v>
      </c>
      <c r="G158" s="598">
        <v>0</v>
      </c>
      <c r="H158" s="598">
        <v>0</v>
      </c>
      <c r="I158" s="598">
        <v>0</v>
      </c>
      <c r="J158" s="598">
        <v>0</v>
      </c>
      <c r="K158" s="598">
        <v>0</v>
      </c>
      <c r="L158" s="598">
        <v>25798</v>
      </c>
      <c r="M158" s="600"/>
      <c r="N158" s="600"/>
      <c r="O158" s="138"/>
      <c r="P158" s="195"/>
      <c r="Q158" s="210">
        <v>25798</v>
      </c>
      <c r="R158" s="196">
        <v>0</v>
      </c>
      <c r="S158" s="181"/>
      <c r="T158" s="111"/>
      <c r="U158" s="151"/>
      <c r="V158" s="195"/>
      <c r="W158" s="111"/>
      <c r="X158" s="195"/>
    </row>
    <row r="159" spans="1:24" x14ac:dyDescent="0.25">
      <c r="A159" s="132">
        <v>4400</v>
      </c>
      <c r="B159" s="132" t="s">
        <v>834</v>
      </c>
      <c r="C159" s="597">
        <v>3127.1</v>
      </c>
      <c r="D159" s="597">
        <v>0</v>
      </c>
      <c r="E159" s="597">
        <v>12363.33</v>
      </c>
      <c r="F159" s="598">
        <v>0</v>
      </c>
      <c r="G159" s="598">
        <v>727618.76</v>
      </c>
      <c r="H159" s="598">
        <v>95686.92</v>
      </c>
      <c r="I159" s="598">
        <v>1437203.87</v>
      </c>
      <c r="J159" s="598">
        <v>2604511.86</v>
      </c>
      <c r="K159" s="598">
        <v>0</v>
      </c>
      <c r="L159" s="598">
        <v>4880512</v>
      </c>
      <c r="M159" s="600"/>
      <c r="N159" s="600"/>
      <c r="O159" s="138"/>
      <c r="P159" s="195"/>
      <c r="Q159" s="210">
        <v>5996740</v>
      </c>
      <c r="R159" s="196">
        <v>-1116228</v>
      </c>
      <c r="S159" s="211"/>
      <c r="T159" s="111"/>
      <c r="U159" s="151"/>
      <c r="V159" s="195"/>
      <c r="W159" s="111"/>
      <c r="X159" s="195"/>
    </row>
    <row r="160" spans="1:24" x14ac:dyDescent="0.25">
      <c r="A160" s="132">
        <v>4500</v>
      </c>
      <c r="B160" s="132" t="s">
        <v>835</v>
      </c>
      <c r="C160" s="597">
        <v>0</v>
      </c>
      <c r="D160" s="597">
        <v>41481.279999999999</v>
      </c>
      <c r="E160" s="597">
        <v>21656.5</v>
      </c>
      <c r="F160" s="598">
        <v>1780765.37</v>
      </c>
      <c r="G160" s="598">
        <v>196219.95</v>
      </c>
      <c r="H160" s="598">
        <v>812362.25</v>
      </c>
      <c r="I160" s="598">
        <v>0</v>
      </c>
      <c r="J160" s="598">
        <v>0</v>
      </c>
      <c r="K160" s="598">
        <v>37735.17</v>
      </c>
      <c r="L160" s="598">
        <v>2890221</v>
      </c>
      <c r="M160" s="606"/>
      <c r="N160" s="606"/>
      <c r="O160" s="195"/>
      <c r="P160" s="195"/>
      <c r="Q160" s="210">
        <v>1929330</v>
      </c>
      <c r="R160" s="196">
        <v>960891</v>
      </c>
      <c r="S160" s="181"/>
      <c r="T160" s="111"/>
      <c r="U160" s="151"/>
      <c r="V160" s="195"/>
      <c r="W160" s="111"/>
      <c r="X160" s="195"/>
    </row>
    <row r="161" spans="1:24" x14ac:dyDescent="0.25">
      <c r="A161" s="132">
        <v>4600</v>
      </c>
      <c r="B161" s="212" t="s">
        <v>1826</v>
      </c>
      <c r="C161" s="597">
        <v>0</v>
      </c>
      <c r="D161" s="597">
        <v>106617.96</v>
      </c>
      <c r="E161" s="597">
        <v>21514.78</v>
      </c>
      <c r="F161" s="598">
        <v>5961884.9400000004</v>
      </c>
      <c r="G161" s="598">
        <v>3620101.61</v>
      </c>
      <c r="H161" s="598">
        <v>3169131.87</v>
      </c>
      <c r="I161" s="598">
        <v>0</v>
      </c>
      <c r="J161" s="598">
        <v>0</v>
      </c>
      <c r="K161" s="598">
        <v>0</v>
      </c>
      <c r="L161" s="598">
        <v>12879251</v>
      </c>
      <c r="M161" s="606"/>
      <c r="N161" s="606"/>
      <c r="O161" s="195"/>
      <c r="P161" s="195"/>
      <c r="Q161" s="210">
        <v>14071944</v>
      </c>
      <c r="R161" s="196">
        <v>-1192693</v>
      </c>
      <c r="S161" s="181"/>
      <c r="T161" s="111"/>
      <c r="U161" s="151"/>
      <c r="V161" s="195"/>
      <c r="W161" s="111"/>
      <c r="X161" s="195"/>
    </row>
    <row r="162" spans="1:24" x14ac:dyDescent="0.25">
      <c r="A162" s="132">
        <v>4700</v>
      </c>
      <c r="B162" s="212" t="s">
        <v>128</v>
      </c>
      <c r="C162" s="597">
        <v>33304.81</v>
      </c>
      <c r="D162" s="597">
        <v>0</v>
      </c>
      <c r="E162" s="597">
        <v>1232.8700000000001</v>
      </c>
      <c r="F162" s="598">
        <v>0</v>
      </c>
      <c r="G162" s="598">
        <v>0</v>
      </c>
      <c r="H162" s="598">
        <v>0</v>
      </c>
      <c r="I162" s="598">
        <v>0</v>
      </c>
      <c r="J162" s="598">
        <v>0</v>
      </c>
      <c r="K162" s="598">
        <v>0</v>
      </c>
      <c r="L162" s="598">
        <v>34538</v>
      </c>
      <c r="M162" s="606"/>
      <c r="N162" s="606"/>
      <c r="O162" s="195"/>
      <c r="P162" s="195"/>
      <c r="Q162" s="210">
        <v>48692</v>
      </c>
      <c r="R162" s="196">
        <v>-14154</v>
      </c>
      <c r="S162" s="181"/>
      <c r="T162" s="111"/>
      <c r="U162" s="151"/>
      <c r="V162" s="195"/>
      <c r="W162" s="111"/>
      <c r="X162" s="195"/>
    </row>
    <row r="163" spans="1:24" x14ac:dyDescent="0.25">
      <c r="A163" s="132">
        <v>4820</v>
      </c>
      <c r="B163" s="212" t="s">
        <v>1827</v>
      </c>
      <c r="C163" s="597">
        <v>0</v>
      </c>
      <c r="D163" s="597">
        <v>0</v>
      </c>
      <c r="E163" s="597">
        <v>0</v>
      </c>
      <c r="F163" s="598">
        <v>0</v>
      </c>
      <c r="G163" s="598">
        <v>23.11</v>
      </c>
      <c r="H163" s="598">
        <v>0</v>
      </c>
      <c r="I163" s="598">
        <v>0</v>
      </c>
      <c r="J163" s="598">
        <v>0</v>
      </c>
      <c r="K163" s="598">
        <v>0</v>
      </c>
      <c r="L163" s="598"/>
      <c r="M163" s="606"/>
      <c r="N163" s="606"/>
      <c r="O163" s="195"/>
      <c r="P163" s="195"/>
      <c r="Q163" s="210"/>
      <c r="R163" s="195"/>
      <c r="S163" s="181"/>
      <c r="T163" s="111"/>
      <c r="U163" s="151"/>
      <c r="V163" s="195"/>
      <c r="W163" s="111"/>
      <c r="X163" s="195"/>
    </row>
    <row r="164" spans="1:24" x14ac:dyDescent="0.25">
      <c r="A164" s="132">
        <v>4800</v>
      </c>
      <c r="B164" s="132" t="s">
        <v>837</v>
      </c>
      <c r="C164" s="597">
        <v>2930.68</v>
      </c>
      <c r="D164" s="597">
        <v>32032.13</v>
      </c>
      <c r="E164" s="597">
        <v>3629.7200000000003</v>
      </c>
      <c r="F164" s="598">
        <v>0</v>
      </c>
      <c r="G164" s="598">
        <v>258202.61000000002</v>
      </c>
      <c r="H164" s="598">
        <v>0</v>
      </c>
      <c r="I164" s="598">
        <v>0</v>
      </c>
      <c r="J164" s="598">
        <v>0</v>
      </c>
      <c r="K164" s="598">
        <v>0</v>
      </c>
      <c r="L164" s="598">
        <v>296795</v>
      </c>
      <c r="M164" s="606"/>
      <c r="N164" s="606"/>
      <c r="O164" s="195"/>
      <c r="P164" s="195"/>
      <c r="Q164" s="210">
        <v>403674</v>
      </c>
      <c r="R164" s="196">
        <v>-106879</v>
      </c>
      <c r="S164" s="181"/>
      <c r="T164" s="111"/>
      <c r="U164" s="151"/>
      <c r="V164" s="195"/>
      <c r="W164" s="111"/>
      <c r="X164" s="195"/>
    </row>
    <row r="165" spans="1:24" x14ac:dyDescent="0.25">
      <c r="A165" s="132"/>
      <c r="B165" s="132"/>
      <c r="C165" s="602">
        <v>39363</v>
      </c>
      <c r="D165" s="602">
        <v>337278</v>
      </c>
      <c r="E165" s="602">
        <v>75093</v>
      </c>
      <c r="F165" s="603">
        <v>7742650</v>
      </c>
      <c r="G165" s="603">
        <v>7245694</v>
      </c>
      <c r="H165" s="603">
        <v>4174636</v>
      </c>
      <c r="I165" s="603">
        <v>1437204</v>
      </c>
      <c r="J165" s="603">
        <v>2604512</v>
      </c>
      <c r="K165" s="603">
        <v>37735</v>
      </c>
      <c r="L165" s="603">
        <v>23694142</v>
      </c>
      <c r="M165" s="600"/>
      <c r="N165" s="600"/>
      <c r="O165" s="138"/>
      <c r="P165" s="195"/>
      <c r="Q165" s="180"/>
      <c r="R165" s="195"/>
      <c r="S165" s="181"/>
      <c r="T165" s="111"/>
      <c r="U165" s="151"/>
      <c r="V165" s="195"/>
      <c r="W165" s="111"/>
      <c r="X165" s="195"/>
    </row>
    <row r="166" spans="1:24" x14ac:dyDescent="0.25">
      <c r="A166" s="132"/>
      <c r="B166" s="132"/>
      <c r="C166" s="600"/>
      <c r="D166" s="600"/>
      <c r="E166" s="600"/>
      <c r="F166" s="605"/>
      <c r="G166" s="605"/>
      <c r="H166" s="605"/>
      <c r="I166" s="605"/>
      <c r="J166" s="605"/>
      <c r="K166" s="605"/>
      <c r="L166" s="605"/>
      <c r="M166" s="600"/>
      <c r="N166" s="600"/>
      <c r="O166" s="138"/>
      <c r="P166" s="195"/>
      <c r="Q166" s="180"/>
      <c r="R166" s="195"/>
      <c r="S166" s="181"/>
      <c r="T166" s="111"/>
      <c r="U166" s="151"/>
      <c r="V166" s="195"/>
      <c r="W166" s="111"/>
      <c r="X166" s="195"/>
    </row>
    <row r="167" spans="1:24" ht="18.75" x14ac:dyDescent="0.3">
      <c r="A167" s="209" t="s">
        <v>838</v>
      </c>
      <c r="B167" s="132"/>
      <c r="C167" s="597"/>
      <c r="D167" s="597"/>
      <c r="E167" s="597"/>
      <c r="F167" s="598"/>
      <c r="G167" s="598"/>
      <c r="H167" s="598"/>
      <c r="I167" s="598"/>
      <c r="J167" s="598"/>
      <c r="K167" s="598"/>
      <c r="L167" s="598"/>
      <c r="M167" s="600"/>
      <c r="N167" s="600"/>
      <c r="O167" s="138"/>
      <c r="P167" s="195"/>
      <c r="Q167" s="180"/>
      <c r="R167" s="195"/>
      <c r="S167" s="181"/>
      <c r="T167" s="111"/>
      <c r="U167" s="151"/>
      <c r="V167" s="195"/>
      <c r="W167" s="111"/>
      <c r="X167" s="195"/>
    </row>
    <row r="168" spans="1:24" x14ac:dyDescent="0.25">
      <c r="A168" s="213">
        <v>1250</v>
      </c>
      <c r="B168" s="214" t="s">
        <v>1828</v>
      </c>
      <c r="C168" s="597" t="s">
        <v>1829</v>
      </c>
      <c r="D168" s="597" t="s">
        <v>1829</v>
      </c>
      <c r="E168" s="597" t="s">
        <v>1829</v>
      </c>
      <c r="F168" s="598">
        <v>0</v>
      </c>
      <c r="G168" s="598">
        <v>0</v>
      </c>
      <c r="H168" s="598">
        <v>0</v>
      </c>
      <c r="I168" s="598">
        <v>0</v>
      </c>
      <c r="J168" s="598">
        <v>0</v>
      </c>
      <c r="K168" s="598">
        <v>0</v>
      </c>
      <c r="L168" s="598">
        <v>0</v>
      </c>
      <c r="M168" s="600"/>
      <c r="N168" s="600"/>
      <c r="O168" s="138"/>
      <c r="P168" s="195"/>
      <c r="Q168" s="180"/>
      <c r="R168" s="195"/>
      <c r="S168" s="181"/>
      <c r="T168" s="111"/>
      <c r="U168" s="151"/>
      <c r="V168" s="195"/>
      <c r="W168" s="111"/>
      <c r="X168" s="195"/>
    </row>
    <row r="169" spans="1:24" x14ac:dyDescent="0.25">
      <c r="A169" s="213">
        <v>1320</v>
      </c>
      <c r="B169" s="214" t="s">
        <v>1830</v>
      </c>
      <c r="C169" s="597" t="s">
        <v>1829</v>
      </c>
      <c r="D169" s="597" t="s">
        <v>1829</v>
      </c>
      <c r="E169" s="597" t="s">
        <v>1829</v>
      </c>
      <c r="F169" s="598">
        <v>0</v>
      </c>
      <c r="G169" s="598">
        <v>0</v>
      </c>
      <c r="H169" s="598">
        <v>0</v>
      </c>
      <c r="I169" s="598">
        <v>0</v>
      </c>
      <c r="J169" s="598">
        <v>0</v>
      </c>
      <c r="K169" s="598">
        <v>0</v>
      </c>
      <c r="L169" s="598">
        <v>0</v>
      </c>
      <c r="M169" s="600"/>
      <c r="N169" s="600"/>
      <c r="O169" s="138"/>
      <c r="P169" s="195"/>
      <c r="Q169" s="180"/>
      <c r="R169" s="195"/>
      <c r="S169" s="181"/>
      <c r="T169" s="111"/>
      <c r="U169" s="151"/>
      <c r="V169" s="195"/>
      <c r="W169" s="111"/>
      <c r="X169" s="195"/>
    </row>
    <row r="170" spans="1:24" x14ac:dyDescent="0.25">
      <c r="A170" s="213">
        <v>1330</v>
      </c>
      <c r="B170" s="214" t="s">
        <v>1831</v>
      </c>
      <c r="C170" s="597" t="s">
        <v>1829</v>
      </c>
      <c r="D170" s="597" t="s">
        <v>1829</v>
      </c>
      <c r="E170" s="597" t="s">
        <v>1829</v>
      </c>
      <c r="F170" s="598">
        <v>0</v>
      </c>
      <c r="G170" s="598">
        <v>0</v>
      </c>
      <c r="H170" s="598">
        <v>0</v>
      </c>
      <c r="I170" s="598">
        <v>0</v>
      </c>
      <c r="J170" s="598">
        <v>0</v>
      </c>
      <c r="K170" s="598">
        <v>0</v>
      </c>
      <c r="L170" s="598">
        <v>0</v>
      </c>
      <c r="M170" s="600"/>
      <c r="N170" s="600"/>
      <c r="O170" s="138"/>
      <c r="P170" s="195"/>
      <c r="Q170" s="180"/>
      <c r="R170" s="195"/>
      <c r="S170" s="181"/>
      <c r="T170" s="111"/>
      <c r="U170" s="151"/>
      <c r="V170" s="195"/>
      <c r="W170" s="111"/>
      <c r="X170" s="195"/>
    </row>
    <row r="171" spans="1:24" x14ac:dyDescent="0.25">
      <c r="A171" s="213">
        <v>1451</v>
      </c>
      <c r="B171" s="214" t="s">
        <v>1832</v>
      </c>
      <c r="C171" s="597" t="s">
        <v>1829</v>
      </c>
      <c r="D171" s="597" t="s">
        <v>1829</v>
      </c>
      <c r="E171" s="597" t="s">
        <v>1829</v>
      </c>
      <c r="F171" s="598">
        <v>0</v>
      </c>
      <c r="G171" s="598">
        <v>0</v>
      </c>
      <c r="H171" s="598">
        <v>0</v>
      </c>
      <c r="I171" s="598">
        <v>0</v>
      </c>
      <c r="J171" s="598">
        <v>0</v>
      </c>
      <c r="K171" s="598">
        <v>0</v>
      </c>
      <c r="L171" s="598">
        <v>0</v>
      </c>
      <c r="M171" s="600"/>
      <c r="N171" s="600"/>
      <c r="O171" s="138"/>
      <c r="P171" s="195"/>
      <c r="Q171" s="180"/>
      <c r="R171" s="195"/>
      <c r="S171" s="181"/>
      <c r="T171" s="111"/>
      <c r="U171" s="151"/>
      <c r="V171" s="195"/>
      <c r="W171" s="111"/>
      <c r="X171" s="195"/>
    </row>
    <row r="172" spans="1:24" x14ac:dyDescent="0.25">
      <c r="A172" s="213">
        <v>1808</v>
      </c>
      <c r="B172" s="214" t="s">
        <v>1833</v>
      </c>
      <c r="C172" s="597" t="s">
        <v>1829</v>
      </c>
      <c r="D172" s="597" t="s">
        <v>1829</v>
      </c>
      <c r="E172" s="597" t="s">
        <v>1829</v>
      </c>
      <c r="F172" s="598">
        <v>0</v>
      </c>
      <c r="G172" s="598">
        <v>0</v>
      </c>
      <c r="H172" s="598">
        <v>0</v>
      </c>
      <c r="I172" s="598">
        <v>0</v>
      </c>
      <c r="J172" s="598">
        <v>0</v>
      </c>
      <c r="K172" s="598">
        <v>0</v>
      </c>
      <c r="L172" s="598">
        <v>0</v>
      </c>
      <c r="M172" s="600"/>
      <c r="N172" s="600"/>
      <c r="O172" s="138"/>
      <c r="P172" s="195"/>
      <c r="Q172" s="180"/>
      <c r="R172" s="195"/>
      <c r="S172" s="181"/>
      <c r="T172" s="111"/>
      <c r="U172" s="151"/>
      <c r="V172" s="195"/>
      <c r="W172" s="111"/>
      <c r="X172" s="195"/>
    </row>
    <row r="173" spans="1:24" x14ac:dyDescent="0.25">
      <c r="A173" s="213">
        <v>1809</v>
      </c>
      <c r="B173" s="214" t="s">
        <v>1834</v>
      </c>
      <c r="C173" s="597" t="s">
        <v>1829</v>
      </c>
      <c r="D173" s="597" t="s">
        <v>1829</v>
      </c>
      <c r="E173" s="597" t="s">
        <v>1829</v>
      </c>
      <c r="F173" s="598">
        <v>0</v>
      </c>
      <c r="G173" s="598">
        <v>0</v>
      </c>
      <c r="H173" s="598">
        <v>0</v>
      </c>
      <c r="I173" s="598">
        <v>0</v>
      </c>
      <c r="J173" s="598">
        <v>0</v>
      </c>
      <c r="K173" s="598">
        <v>0</v>
      </c>
      <c r="L173" s="598">
        <v>0</v>
      </c>
      <c r="M173" s="600"/>
      <c r="N173" s="600"/>
      <c r="O173" s="138"/>
      <c r="P173" s="195"/>
      <c r="Q173" s="180"/>
      <c r="R173" s="195"/>
      <c r="S173" s="181"/>
      <c r="T173" s="111"/>
      <c r="U173" s="151"/>
      <c r="V173" s="195"/>
      <c r="W173" s="111"/>
      <c r="X173" s="195"/>
    </row>
    <row r="174" spans="1:24" x14ac:dyDescent="0.25">
      <c r="A174" s="213">
        <v>1810</v>
      </c>
      <c r="B174" s="214" t="s">
        <v>1835</v>
      </c>
      <c r="C174" s="597" t="s">
        <v>1829</v>
      </c>
      <c r="D174" s="597" t="s">
        <v>1829</v>
      </c>
      <c r="E174" s="597" t="s">
        <v>1829</v>
      </c>
      <c r="F174" s="598">
        <v>0</v>
      </c>
      <c r="G174" s="598">
        <v>0</v>
      </c>
      <c r="H174" s="598">
        <v>0</v>
      </c>
      <c r="I174" s="598">
        <v>0</v>
      </c>
      <c r="J174" s="598">
        <v>0</v>
      </c>
      <c r="K174" s="598">
        <v>0</v>
      </c>
      <c r="L174" s="598">
        <v>0</v>
      </c>
      <c r="M174" s="600"/>
      <c r="N174" s="600"/>
      <c r="O174" s="138"/>
      <c r="P174" s="195"/>
      <c r="Q174" s="180"/>
      <c r="R174" s="195"/>
      <c r="S174" s="181"/>
      <c r="T174" s="111"/>
      <c r="U174" s="151"/>
      <c r="V174" s="195"/>
      <c r="W174" s="111"/>
      <c r="X174" s="195"/>
    </row>
    <row r="175" spans="1:24" x14ac:dyDescent="0.25">
      <c r="A175" s="213">
        <v>1812</v>
      </c>
      <c r="B175" s="214" t="s">
        <v>1836</v>
      </c>
      <c r="C175" s="597" t="s">
        <v>1829</v>
      </c>
      <c r="D175" s="597" t="s">
        <v>1829</v>
      </c>
      <c r="E175" s="597" t="s">
        <v>1829</v>
      </c>
      <c r="F175" s="598">
        <v>0</v>
      </c>
      <c r="G175" s="598">
        <v>0</v>
      </c>
      <c r="H175" s="598">
        <v>0</v>
      </c>
      <c r="I175" s="598">
        <v>0</v>
      </c>
      <c r="J175" s="598">
        <v>0</v>
      </c>
      <c r="K175" s="598">
        <v>0</v>
      </c>
      <c r="L175" s="598">
        <v>0</v>
      </c>
      <c r="M175" s="600"/>
      <c r="N175" s="600"/>
      <c r="O175" s="138"/>
      <c r="P175" s="195"/>
      <c r="Q175" s="180"/>
      <c r="R175" s="195"/>
      <c r="S175" s="181"/>
      <c r="T175" s="111"/>
      <c r="U175" s="151"/>
      <c r="V175" s="195"/>
      <c r="W175" s="111"/>
      <c r="X175" s="195"/>
    </row>
    <row r="176" spans="1:24" x14ac:dyDescent="0.25">
      <c r="A176" s="213">
        <v>1818</v>
      </c>
      <c r="B176" s="214" t="s">
        <v>1837</v>
      </c>
      <c r="C176" s="597" t="s">
        <v>1829</v>
      </c>
      <c r="D176" s="597" t="s">
        <v>1829</v>
      </c>
      <c r="E176" s="597" t="s">
        <v>1829</v>
      </c>
      <c r="F176" s="598">
        <v>0</v>
      </c>
      <c r="G176" s="598">
        <v>0</v>
      </c>
      <c r="H176" s="598">
        <v>0</v>
      </c>
      <c r="I176" s="598">
        <v>0</v>
      </c>
      <c r="J176" s="598">
        <v>0</v>
      </c>
      <c r="K176" s="598">
        <v>0</v>
      </c>
      <c r="L176" s="598">
        <v>0</v>
      </c>
      <c r="M176" s="600"/>
      <c r="N176" s="600"/>
      <c r="O176" s="138"/>
      <c r="P176" s="195"/>
      <c r="Q176" s="180"/>
      <c r="R176" s="195"/>
      <c r="S176" s="181"/>
      <c r="T176" s="111"/>
      <c r="U176" s="151"/>
      <c r="V176" s="195"/>
      <c r="W176" s="111"/>
      <c r="X176" s="195"/>
    </row>
    <row r="177" spans="1:24" x14ac:dyDescent="0.25">
      <c r="A177" s="213">
        <v>1824</v>
      </c>
      <c r="B177" s="214" t="s">
        <v>1838</v>
      </c>
      <c r="C177" s="597" t="s">
        <v>1829</v>
      </c>
      <c r="D177" s="597" t="s">
        <v>1829</v>
      </c>
      <c r="E177" s="597" t="s">
        <v>1829</v>
      </c>
      <c r="F177" s="598">
        <v>0</v>
      </c>
      <c r="G177" s="598">
        <v>0</v>
      </c>
      <c r="H177" s="598">
        <v>0</v>
      </c>
      <c r="I177" s="598">
        <v>0</v>
      </c>
      <c r="J177" s="598">
        <v>0</v>
      </c>
      <c r="K177" s="598">
        <v>0</v>
      </c>
      <c r="L177" s="598">
        <v>0</v>
      </c>
      <c r="M177" s="600"/>
      <c r="N177" s="600"/>
      <c r="O177" s="138"/>
      <c r="P177" s="195"/>
      <c r="Q177" s="180"/>
      <c r="R177" s="195"/>
      <c r="S177" s="181"/>
      <c r="T177" s="111"/>
      <c r="U177" s="151"/>
      <c r="V177" s="195"/>
      <c r="W177" s="111"/>
      <c r="X177" s="195"/>
    </row>
    <row r="178" spans="1:24" x14ac:dyDescent="0.25">
      <c r="A178" s="213">
        <v>1839</v>
      </c>
      <c r="B178" s="214" t="s">
        <v>1839</v>
      </c>
      <c r="C178" s="597" t="s">
        <v>1829</v>
      </c>
      <c r="D178" s="597" t="s">
        <v>1829</v>
      </c>
      <c r="E178" s="597" t="s">
        <v>1829</v>
      </c>
      <c r="F178" s="598">
        <v>0</v>
      </c>
      <c r="G178" s="598">
        <v>0</v>
      </c>
      <c r="H178" s="598">
        <v>0</v>
      </c>
      <c r="I178" s="598">
        <v>0</v>
      </c>
      <c r="J178" s="598">
        <v>0</v>
      </c>
      <c r="K178" s="598">
        <v>0</v>
      </c>
      <c r="L178" s="598">
        <v>0</v>
      </c>
      <c r="M178" s="600"/>
      <c r="N178" s="600"/>
      <c r="O178" s="138"/>
      <c r="P178" s="195"/>
      <c r="Q178" s="180"/>
      <c r="R178" s="195"/>
      <c r="S178" s="181"/>
      <c r="T178" s="111"/>
      <c r="U178" s="151"/>
      <c r="V178" s="195"/>
      <c r="W178" s="111"/>
      <c r="X178" s="195"/>
    </row>
    <row r="179" spans="1:24" x14ac:dyDescent="0.25">
      <c r="A179" s="213">
        <v>1860</v>
      </c>
      <c r="B179" s="214" t="s">
        <v>839</v>
      </c>
      <c r="C179" s="597" t="s">
        <v>1829</v>
      </c>
      <c r="D179" s="597" t="s">
        <v>1829</v>
      </c>
      <c r="E179" s="597" t="s">
        <v>1829</v>
      </c>
      <c r="F179" s="598">
        <v>232240.58000000002</v>
      </c>
      <c r="G179" s="598">
        <v>0</v>
      </c>
      <c r="H179" s="598">
        <v>84726.59</v>
      </c>
      <c r="I179" s="598">
        <v>0</v>
      </c>
      <c r="J179" s="598">
        <v>0</v>
      </c>
      <c r="K179" s="598">
        <v>0</v>
      </c>
      <c r="L179" s="598">
        <v>316967</v>
      </c>
      <c r="M179" s="600"/>
      <c r="N179" s="600"/>
      <c r="O179" s="138"/>
      <c r="P179" s="195"/>
      <c r="Q179" s="180"/>
      <c r="R179" s="195"/>
      <c r="S179" s="181"/>
      <c r="T179" s="111"/>
      <c r="U179" s="151"/>
      <c r="V179" s="195"/>
      <c r="W179" s="111"/>
      <c r="X179" s="195"/>
    </row>
    <row r="180" spans="1:24" x14ac:dyDescent="0.25">
      <c r="A180" s="213">
        <v>1864</v>
      </c>
      <c r="B180" s="214" t="s">
        <v>840</v>
      </c>
      <c r="C180" s="597" t="s">
        <v>1829</v>
      </c>
      <c r="D180" s="597" t="s">
        <v>1829</v>
      </c>
      <c r="E180" s="597" t="s">
        <v>1829</v>
      </c>
      <c r="F180" s="598">
        <v>181544.74</v>
      </c>
      <c r="G180" s="598">
        <v>0</v>
      </c>
      <c r="H180" s="598">
        <v>96210.290000000008</v>
      </c>
      <c r="I180" s="598">
        <v>0</v>
      </c>
      <c r="J180" s="598">
        <v>0</v>
      </c>
      <c r="K180" s="598">
        <v>0</v>
      </c>
      <c r="L180" s="598">
        <v>277755</v>
      </c>
      <c r="M180" s="600"/>
      <c r="N180" s="600"/>
      <c r="O180" s="138"/>
      <c r="P180" s="195"/>
      <c r="Q180" s="180"/>
      <c r="R180" s="195"/>
      <c r="S180" s="181"/>
      <c r="T180" s="111"/>
      <c r="U180" s="151"/>
      <c r="V180" s="195"/>
      <c r="W180" s="111"/>
      <c r="X180" s="195"/>
    </row>
    <row r="181" spans="1:24" x14ac:dyDescent="0.25">
      <c r="A181" s="213">
        <v>1866</v>
      </c>
      <c r="B181" s="214" t="s">
        <v>841</v>
      </c>
      <c r="C181" s="597" t="s">
        <v>1829</v>
      </c>
      <c r="D181" s="597" t="s">
        <v>1829</v>
      </c>
      <c r="E181" s="597" t="s">
        <v>1829</v>
      </c>
      <c r="F181" s="598">
        <v>253332.19</v>
      </c>
      <c r="G181" s="598">
        <v>0</v>
      </c>
      <c r="H181" s="598">
        <v>92248.5</v>
      </c>
      <c r="I181" s="598">
        <v>0</v>
      </c>
      <c r="J181" s="598">
        <v>0</v>
      </c>
      <c r="K181" s="598">
        <v>0</v>
      </c>
      <c r="L181" s="598">
        <v>345581</v>
      </c>
      <c r="M181" s="600"/>
      <c r="N181" s="600"/>
      <c r="O181" s="138"/>
      <c r="P181" s="195"/>
      <c r="Q181" s="180"/>
      <c r="R181" s="195"/>
      <c r="S181" s="181"/>
      <c r="T181" s="111"/>
      <c r="U181" s="151"/>
      <c r="V181" s="195"/>
      <c r="W181" s="111"/>
      <c r="X181" s="195"/>
    </row>
    <row r="182" spans="1:24" x14ac:dyDescent="0.25">
      <c r="A182" s="213">
        <v>1867</v>
      </c>
      <c r="B182" s="214" t="s">
        <v>1840</v>
      </c>
      <c r="C182" s="597" t="s">
        <v>1829</v>
      </c>
      <c r="D182" s="597" t="s">
        <v>1829</v>
      </c>
      <c r="E182" s="597" t="s">
        <v>1829</v>
      </c>
      <c r="F182" s="598">
        <v>0</v>
      </c>
      <c r="G182" s="598">
        <v>0</v>
      </c>
      <c r="H182" s="598">
        <v>0</v>
      </c>
      <c r="I182" s="598">
        <v>0</v>
      </c>
      <c r="J182" s="598">
        <v>0</v>
      </c>
      <c r="K182" s="598">
        <v>0</v>
      </c>
      <c r="L182" s="598">
        <v>0</v>
      </c>
      <c r="M182" s="600"/>
      <c r="N182" s="600"/>
      <c r="O182" s="138"/>
      <c r="P182" s="195"/>
      <c r="Q182" s="180"/>
      <c r="R182" s="195"/>
      <c r="S182" s="181"/>
      <c r="T182" s="111"/>
      <c r="U182" s="151"/>
      <c r="V182" s="195"/>
      <c r="W182" s="111"/>
      <c r="X182" s="195"/>
    </row>
    <row r="183" spans="1:24" x14ac:dyDescent="0.25">
      <c r="A183" s="213">
        <v>1869</v>
      </c>
      <c r="B183" s="214" t="s">
        <v>1841</v>
      </c>
      <c r="C183" s="597" t="s">
        <v>1829</v>
      </c>
      <c r="D183" s="597" t="s">
        <v>1829</v>
      </c>
      <c r="E183" s="597" t="s">
        <v>1829</v>
      </c>
      <c r="F183" s="598">
        <v>0</v>
      </c>
      <c r="G183" s="598">
        <v>0</v>
      </c>
      <c r="H183" s="598">
        <v>0</v>
      </c>
      <c r="I183" s="598">
        <v>0</v>
      </c>
      <c r="J183" s="598">
        <v>0</v>
      </c>
      <c r="K183" s="598">
        <v>0</v>
      </c>
      <c r="L183" s="598">
        <v>0</v>
      </c>
      <c r="M183" s="600"/>
      <c r="N183" s="600"/>
      <c r="O183" s="138"/>
      <c r="P183" s="195"/>
      <c r="Q183" s="180"/>
      <c r="R183" s="195"/>
      <c r="S183" s="181"/>
      <c r="T183" s="111"/>
      <c r="U183" s="151"/>
      <c r="V183" s="195"/>
      <c r="W183" s="111"/>
      <c r="X183" s="195"/>
    </row>
    <row r="184" spans="1:24" x14ac:dyDescent="0.25">
      <c r="A184" s="213">
        <v>1999</v>
      </c>
      <c r="B184" s="214" t="s">
        <v>1842</v>
      </c>
      <c r="C184" s="597" t="s">
        <v>1829</v>
      </c>
      <c r="D184" s="597" t="s">
        <v>1829</v>
      </c>
      <c r="E184" s="597" t="s">
        <v>1829</v>
      </c>
      <c r="F184" s="598">
        <v>0</v>
      </c>
      <c r="G184" s="598">
        <v>0</v>
      </c>
      <c r="H184" s="598">
        <v>0</v>
      </c>
      <c r="I184" s="598">
        <v>0</v>
      </c>
      <c r="J184" s="598">
        <v>0</v>
      </c>
      <c r="K184" s="598">
        <v>0</v>
      </c>
      <c r="L184" s="598">
        <v>0</v>
      </c>
      <c r="M184" s="600"/>
      <c r="N184" s="600"/>
      <c r="O184" s="138"/>
      <c r="P184" s="195"/>
      <c r="Q184" s="180"/>
      <c r="R184" s="195"/>
      <c r="S184" s="181"/>
      <c r="T184" s="111"/>
      <c r="U184" s="151"/>
      <c r="V184" s="195"/>
      <c r="W184" s="111"/>
      <c r="X184" s="195"/>
    </row>
    <row r="185" spans="1:24" x14ac:dyDescent="0.25">
      <c r="A185" s="213">
        <v>2150</v>
      </c>
      <c r="B185" s="214" t="s">
        <v>1843</v>
      </c>
      <c r="C185" s="597" t="s">
        <v>1829</v>
      </c>
      <c r="D185" s="597" t="s">
        <v>1829</v>
      </c>
      <c r="E185" s="597" t="s">
        <v>1829</v>
      </c>
      <c r="F185" s="598">
        <v>0</v>
      </c>
      <c r="G185" s="598">
        <v>0</v>
      </c>
      <c r="H185" s="598">
        <v>0</v>
      </c>
      <c r="I185" s="598">
        <v>0</v>
      </c>
      <c r="J185" s="598">
        <v>0</v>
      </c>
      <c r="K185" s="598">
        <v>0</v>
      </c>
      <c r="L185" s="598">
        <v>0</v>
      </c>
      <c r="M185" s="600"/>
      <c r="N185" s="600"/>
      <c r="O185" s="138"/>
      <c r="P185" s="195"/>
      <c r="Q185" s="180"/>
      <c r="R185" s="195"/>
      <c r="S185" s="181"/>
      <c r="T185" s="111"/>
      <c r="U185" s="151"/>
      <c r="V185" s="195"/>
      <c r="W185" s="111"/>
      <c r="X185" s="195"/>
    </row>
    <row r="186" spans="1:24" x14ac:dyDescent="0.25">
      <c r="A186" s="213">
        <v>2202</v>
      </c>
      <c r="B186" s="214" t="s">
        <v>1844</v>
      </c>
      <c r="C186" s="597" t="s">
        <v>1829</v>
      </c>
      <c r="D186" s="597" t="s">
        <v>1829</v>
      </c>
      <c r="E186" s="597" t="s">
        <v>1829</v>
      </c>
      <c r="F186" s="598">
        <v>0</v>
      </c>
      <c r="G186" s="598">
        <v>0</v>
      </c>
      <c r="H186" s="598">
        <v>0</v>
      </c>
      <c r="I186" s="598">
        <v>0</v>
      </c>
      <c r="J186" s="598">
        <v>0</v>
      </c>
      <c r="K186" s="598">
        <v>0</v>
      </c>
      <c r="L186" s="598">
        <v>0</v>
      </c>
      <c r="M186" s="600"/>
      <c r="N186" s="600"/>
      <c r="O186" s="138"/>
      <c r="P186" s="195"/>
      <c r="Q186" s="180"/>
      <c r="R186" s="195"/>
      <c r="S186" s="181"/>
      <c r="T186" s="111"/>
      <c r="U186" s="151"/>
      <c r="V186" s="195"/>
      <c r="W186" s="111"/>
      <c r="X186" s="195"/>
    </row>
    <row r="187" spans="1:24" x14ac:dyDescent="0.25">
      <c r="A187" s="213">
        <v>2211</v>
      </c>
      <c r="B187" s="214" t="s">
        <v>1845</v>
      </c>
      <c r="C187" s="597" t="s">
        <v>1829</v>
      </c>
      <c r="D187" s="597" t="s">
        <v>1829</v>
      </c>
      <c r="E187" s="597" t="s">
        <v>1829</v>
      </c>
      <c r="F187" s="598">
        <v>0</v>
      </c>
      <c r="G187" s="598">
        <v>0</v>
      </c>
      <c r="H187" s="598">
        <v>0</v>
      </c>
      <c r="I187" s="598">
        <v>0</v>
      </c>
      <c r="J187" s="598">
        <v>0</v>
      </c>
      <c r="K187" s="598">
        <v>0</v>
      </c>
      <c r="L187" s="598">
        <v>0</v>
      </c>
      <c r="M187" s="600"/>
      <c r="N187" s="600"/>
      <c r="O187" s="138"/>
      <c r="P187" s="195"/>
      <c r="Q187" s="180"/>
      <c r="R187" s="195"/>
      <c r="S187" s="181"/>
      <c r="T187" s="111"/>
      <c r="U187" s="151"/>
      <c r="V187" s="195"/>
      <c r="W187" s="111"/>
      <c r="X187" s="195"/>
    </row>
    <row r="188" spans="1:24" x14ac:dyDescent="0.25">
      <c r="A188" s="213">
        <v>2212</v>
      </c>
      <c r="B188" s="214" t="s">
        <v>1846</v>
      </c>
      <c r="C188" s="597" t="s">
        <v>1829</v>
      </c>
      <c r="D188" s="597" t="s">
        <v>1829</v>
      </c>
      <c r="E188" s="597" t="s">
        <v>1829</v>
      </c>
      <c r="F188" s="598">
        <v>0</v>
      </c>
      <c r="G188" s="598">
        <v>0</v>
      </c>
      <c r="H188" s="598">
        <v>0</v>
      </c>
      <c r="I188" s="598">
        <v>0</v>
      </c>
      <c r="J188" s="598">
        <v>0</v>
      </c>
      <c r="K188" s="598">
        <v>0</v>
      </c>
      <c r="L188" s="598">
        <v>0</v>
      </c>
      <c r="M188" s="600"/>
      <c r="N188" s="600"/>
      <c r="O188" s="138"/>
      <c r="P188" s="195"/>
      <c r="Q188" s="180"/>
      <c r="R188" s="195"/>
      <c r="S188" s="181"/>
      <c r="T188" s="111"/>
      <c r="U188" s="151"/>
      <c r="V188" s="195"/>
      <c r="W188" s="111"/>
      <c r="X188" s="195"/>
    </row>
    <row r="189" spans="1:24" x14ac:dyDescent="0.25">
      <c r="A189" s="213">
        <v>2229</v>
      </c>
      <c r="B189" s="214" t="s">
        <v>1847</v>
      </c>
      <c r="C189" s="597" t="s">
        <v>1829</v>
      </c>
      <c r="D189" s="597" t="s">
        <v>1829</v>
      </c>
      <c r="E189" s="597" t="s">
        <v>1829</v>
      </c>
      <c r="F189" s="598">
        <v>0</v>
      </c>
      <c r="G189" s="598">
        <v>0</v>
      </c>
      <c r="H189" s="598">
        <v>0</v>
      </c>
      <c r="I189" s="598">
        <v>0</v>
      </c>
      <c r="J189" s="598">
        <v>0</v>
      </c>
      <c r="K189" s="598">
        <v>0</v>
      </c>
      <c r="L189" s="598">
        <v>0</v>
      </c>
      <c r="M189" s="600"/>
      <c r="N189" s="600"/>
      <c r="O189" s="138"/>
      <c r="P189" s="195"/>
      <c r="Q189" s="180"/>
      <c r="R189" s="195"/>
      <c r="S189" s="181"/>
      <c r="T189" s="111"/>
      <c r="U189" s="151"/>
      <c r="V189" s="195"/>
      <c r="W189" s="111"/>
      <c r="X189" s="195"/>
    </row>
    <row r="190" spans="1:24" x14ac:dyDescent="0.25">
      <c r="A190" s="213">
        <v>2230</v>
      </c>
      <c r="B190" s="214" t="s">
        <v>1848</v>
      </c>
      <c r="C190" s="597" t="s">
        <v>1829</v>
      </c>
      <c r="D190" s="597" t="s">
        <v>1829</v>
      </c>
      <c r="E190" s="597" t="s">
        <v>1829</v>
      </c>
      <c r="F190" s="598">
        <v>0</v>
      </c>
      <c r="G190" s="598">
        <v>0</v>
      </c>
      <c r="H190" s="598">
        <v>0</v>
      </c>
      <c r="I190" s="598">
        <v>0</v>
      </c>
      <c r="J190" s="598">
        <v>0</v>
      </c>
      <c r="K190" s="598">
        <v>0</v>
      </c>
      <c r="L190" s="598">
        <v>0</v>
      </c>
      <c r="M190" s="600"/>
      <c r="N190" s="600"/>
      <c r="O190" s="138"/>
      <c r="P190" s="195"/>
      <c r="Q190" s="180"/>
      <c r="R190" s="195"/>
      <c r="S190" s="181"/>
      <c r="T190" s="111"/>
      <c r="U190" s="151"/>
      <c r="V190" s="195"/>
      <c r="W190" s="111"/>
      <c r="X190" s="195"/>
    </row>
    <row r="191" spans="1:24" x14ac:dyDescent="0.25">
      <c r="A191" s="213">
        <v>2234</v>
      </c>
      <c r="B191" s="214" t="s">
        <v>1849</v>
      </c>
      <c r="C191" s="597" t="s">
        <v>1829</v>
      </c>
      <c r="D191" s="597" t="s">
        <v>1829</v>
      </c>
      <c r="E191" s="597" t="s">
        <v>1829</v>
      </c>
      <c r="F191" s="598">
        <v>0</v>
      </c>
      <c r="G191" s="598">
        <v>0</v>
      </c>
      <c r="H191" s="598">
        <v>0</v>
      </c>
      <c r="I191" s="598">
        <v>0</v>
      </c>
      <c r="J191" s="598">
        <v>0</v>
      </c>
      <c r="K191" s="598">
        <v>0</v>
      </c>
      <c r="L191" s="598">
        <v>0</v>
      </c>
      <c r="M191" s="600"/>
      <c r="N191" s="600"/>
      <c r="O191" s="138"/>
      <c r="P191" s="195"/>
      <c r="Q191" s="180"/>
      <c r="R191" s="195"/>
      <c r="S191" s="181"/>
      <c r="T191" s="111"/>
      <c r="U191" s="151"/>
      <c r="V191" s="195"/>
      <c r="W191" s="111"/>
      <c r="X191" s="195"/>
    </row>
    <row r="192" spans="1:24" x14ac:dyDescent="0.25">
      <c r="A192" s="213">
        <v>2236</v>
      </c>
      <c r="B192" s="214" t="s">
        <v>1850</v>
      </c>
      <c r="C192" s="597" t="s">
        <v>1829</v>
      </c>
      <c r="D192" s="597" t="s">
        <v>1829</v>
      </c>
      <c r="E192" s="597" t="s">
        <v>1829</v>
      </c>
      <c r="F192" s="598">
        <v>0</v>
      </c>
      <c r="G192" s="598">
        <v>0</v>
      </c>
      <c r="H192" s="598">
        <v>0</v>
      </c>
      <c r="I192" s="598">
        <v>0</v>
      </c>
      <c r="J192" s="598">
        <v>0</v>
      </c>
      <c r="K192" s="598">
        <v>0</v>
      </c>
      <c r="L192" s="598">
        <v>0</v>
      </c>
      <c r="M192" s="600"/>
      <c r="N192" s="600"/>
      <c r="O192" s="138"/>
      <c r="P192" s="195"/>
      <c r="Q192" s="180"/>
      <c r="R192" s="195"/>
      <c r="S192" s="181"/>
      <c r="T192" s="111"/>
      <c r="U192" s="151"/>
      <c r="V192" s="195"/>
      <c r="W192" s="111"/>
      <c r="X192" s="195"/>
    </row>
    <row r="193" spans="1:24" x14ac:dyDescent="0.25">
      <c r="A193" s="213">
        <v>2237</v>
      </c>
      <c r="B193" s="214" t="s">
        <v>1851</v>
      </c>
      <c r="C193" s="597" t="s">
        <v>1829</v>
      </c>
      <c r="D193" s="597" t="s">
        <v>1829</v>
      </c>
      <c r="E193" s="597" t="s">
        <v>1829</v>
      </c>
      <c r="F193" s="598">
        <v>0</v>
      </c>
      <c r="G193" s="598">
        <v>0</v>
      </c>
      <c r="H193" s="598">
        <v>0</v>
      </c>
      <c r="I193" s="598">
        <v>0</v>
      </c>
      <c r="J193" s="598">
        <v>0</v>
      </c>
      <c r="K193" s="598">
        <v>0</v>
      </c>
      <c r="L193" s="598">
        <v>0</v>
      </c>
      <c r="M193" s="600"/>
      <c r="N193" s="600"/>
      <c r="O193" s="138"/>
      <c r="P193" s="195"/>
      <c r="Q193" s="180"/>
      <c r="R193" s="195"/>
      <c r="S193" s="181"/>
      <c r="T193" s="111"/>
      <c r="U193" s="151"/>
      <c r="V193" s="195"/>
      <c r="W193" s="111"/>
      <c r="X193" s="195"/>
    </row>
    <row r="194" spans="1:24" x14ac:dyDescent="0.25">
      <c r="A194" s="213">
        <v>2238</v>
      </c>
      <c r="B194" s="214" t="s">
        <v>1852</v>
      </c>
      <c r="C194" s="597" t="s">
        <v>1829</v>
      </c>
      <c r="D194" s="597" t="s">
        <v>1829</v>
      </c>
      <c r="E194" s="597" t="s">
        <v>1829</v>
      </c>
      <c r="F194" s="598">
        <v>0</v>
      </c>
      <c r="G194" s="598">
        <v>0</v>
      </c>
      <c r="H194" s="598">
        <v>0</v>
      </c>
      <c r="I194" s="598">
        <v>0</v>
      </c>
      <c r="J194" s="598">
        <v>0</v>
      </c>
      <c r="K194" s="598">
        <v>0</v>
      </c>
      <c r="L194" s="598">
        <v>0</v>
      </c>
      <c r="M194" s="600"/>
      <c r="N194" s="600"/>
      <c r="O194" s="138"/>
      <c r="P194" s="195"/>
      <c r="Q194" s="180"/>
      <c r="R194" s="195"/>
      <c r="S194" s="181"/>
      <c r="T194" s="111"/>
      <c r="U194" s="151"/>
      <c r="V194" s="195"/>
      <c r="W194" s="111"/>
      <c r="X194" s="195"/>
    </row>
    <row r="195" spans="1:24" x14ac:dyDescent="0.25">
      <c r="A195" s="213">
        <v>2239</v>
      </c>
      <c r="B195" s="214" t="s">
        <v>1853</v>
      </c>
      <c r="C195" s="597" t="s">
        <v>1829</v>
      </c>
      <c r="D195" s="597" t="s">
        <v>1829</v>
      </c>
      <c r="E195" s="597" t="s">
        <v>1829</v>
      </c>
      <c r="F195" s="598">
        <v>0</v>
      </c>
      <c r="G195" s="598">
        <v>0</v>
      </c>
      <c r="H195" s="598">
        <v>0</v>
      </c>
      <c r="I195" s="598">
        <v>0</v>
      </c>
      <c r="J195" s="598">
        <v>0</v>
      </c>
      <c r="K195" s="598">
        <v>0</v>
      </c>
      <c r="L195" s="598">
        <v>0</v>
      </c>
      <c r="M195" s="600"/>
      <c r="N195" s="600"/>
      <c r="O195" s="138"/>
      <c r="P195" s="195"/>
      <c r="Q195" s="180"/>
      <c r="R195" s="195"/>
      <c r="S195" s="181"/>
      <c r="T195" s="111"/>
      <c r="U195" s="151"/>
      <c r="V195" s="195"/>
      <c r="W195" s="111"/>
      <c r="X195" s="195"/>
    </row>
    <row r="196" spans="1:24" x14ac:dyDescent="0.25">
      <c r="A196" s="213">
        <v>2300</v>
      </c>
      <c r="B196" s="214" t="s">
        <v>1854</v>
      </c>
      <c r="C196" s="597" t="s">
        <v>1829</v>
      </c>
      <c r="D196" s="597" t="s">
        <v>1829</v>
      </c>
      <c r="E196" s="597" t="s">
        <v>1829</v>
      </c>
      <c r="F196" s="598">
        <v>0</v>
      </c>
      <c r="G196" s="598">
        <v>0</v>
      </c>
      <c r="H196" s="598">
        <v>0</v>
      </c>
      <c r="I196" s="598">
        <v>0</v>
      </c>
      <c r="J196" s="598">
        <v>0</v>
      </c>
      <c r="K196" s="598">
        <v>0</v>
      </c>
      <c r="L196" s="598">
        <v>0</v>
      </c>
      <c r="M196" s="600"/>
      <c r="N196" s="600"/>
      <c r="O196" s="138"/>
      <c r="P196" s="195"/>
      <c r="Q196" s="180"/>
      <c r="R196" s="195"/>
      <c r="S196" s="181"/>
      <c r="T196" s="111"/>
      <c r="U196" s="151"/>
      <c r="V196" s="195"/>
      <c r="W196" s="111"/>
      <c r="X196" s="195"/>
    </row>
    <row r="197" spans="1:24" x14ac:dyDescent="0.25">
      <c r="A197" s="213">
        <v>2301</v>
      </c>
      <c r="B197" s="214" t="s">
        <v>1855</v>
      </c>
      <c r="C197" s="597" t="s">
        <v>1829</v>
      </c>
      <c r="D197" s="597" t="s">
        <v>1829</v>
      </c>
      <c r="E197" s="597" t="s">
        <v>1829</v>
      </c>
      <c r="F197" s="598">
        <v>0</v>
      </c>
      <c r="G197" s="598">
        <v>0</v>
      </c>
      <c r="H197" s="598">
        <v>0</v>
      </c>
      <c r="I197" s="598">
        <v>0</v>
      </c>
      <c r="J197" s="598">
        <v>0</v>
      </c>
      <c r="K197" s="598">
        <v>0</v>
      </c>
      <c r="L197" s="598">
        <v>0</v>
      </c>
      <c r="M197" s="600"/>
      <c r="N197" s="600"/>
      <c r="O197" s="138"/>
      <c r="P197" s="195"/>
      <c r="Q197" s="180"/>
      <c r="R197" s="195"/>
      <c r="S197" s="181"/>
      <c r="T197" s="111"/>
      <c r="U197" s="151"/>
      <c r="V197" s="195"/>
      <c r="W197" s="111"/>
      <c r="X197" s="195"/>
    </row>
    <row r="198" spans="1:24" x14ac:dyDescent="0.25">
      <c r="A198" s="213">
        <v>2303</v>
      </c>
      <c r="B198" s="214" t="s">
        <v>1856</v>
      </c>
      <c r="C198" s="597" t="s">
        <v>1829</v>
      </c>
      <c r="D198" s="597" t="s">
        <v>1829</v>
      </c>
      <c r="E198" s="597" t="s">
        <v>1829</v>
      </c>
      <c r="F198" s="598">
        <v>0</v>
      </c>
      <c r="G198" s="598">
        <v>0</v>
      </c>
      <c r="H198" s="598">
        <v>0</v>
      </c>
      <c r="I198" s="598">
        <v>0</v>
      </c>
      <c r="J198" s="598">
        <v>0</v>
      </c>
      <c r="K198" s="598">
        <v>0</v>
      </c>
      <c r="L198" s="598">
        <v>0</v>
      </c>
      <c r="M198" s="600"/>
      <c r="N198" s="600"/>
      <c r="O198" s="138"/>
      <c r="P198" s="195"/>
      <c r="Q198" s="180"/>
      <c r="R198" s="195"/>
      <c r="S198" s="181"/>
      <c r="T198" s="111"/>
      <c r="U198" s="151"/>
      <c r="V198" s="195"/>
      <c r="W198" s="111"/>
      <c r="X198" s="195"/>
    </row>
    <row r="199" spans="1:24" x14ac:dyDescent="0.25">
      <c r="A199" s="213">
        <v>2305</v>
      </c>
      <c r="B199" s="214" t="s">
        <v>1857</v>
      </c>
      <c r="C199" s="597" t="s">
        <v>1829</v>
      </c>
      <c r="D199" s="597" t="s">
        <v>1829</v>
      </c>
      <c r="E199" s="597" t="s">
        <v>1829</v>
      </c>
      <c r="F199" s="598">
        <v>0</v>
      </c>
      <c r="G199" s="598">
        <v>0</v>
      </c>
      <c r="H199" s="598">
        <v>0</v>
      </c>
      <c r="I199" s="598">
        <v>0</v>
      </c>
      <c r="J199" s="598">
        <v>0</v>
      </c>
      <c r="K199" s="598">
        <v>0</v>
      </c>
      <c r="L199" s="598">
        <v>0</v>
      </c>
      <c r="M199" s="600"/>
      <c r="N199" s="600"/>
      <c r="O199" s="138"/>
      <c r="P199" s="195"/>
      <c r="Q199" s="180"/>
      <c r="R199" s="195"/>
      <c r="S199" s="181"/>
      <c r="T199" s="111"/>
      <c r="U199" s="151"/>
      <c r="V199" s="195"/>
      <c r="W199" s="111"/>
      <c r="X199" s="195"/>
    </row>
    <row r="200" spans="1:24" x14ac:dyDescent="0.25">
      <c r="A200" s="213">
        <v>2307</v>
      </c>
      <c r="B200" s="214" t="s">
        <v>1858</v>
      </c>
      <c r="C200" s="597" t="s">
        <v>1829</v>
      </c>
      <c r="D200" s="597" t="s">
        <v>1829</v>
      </c>
      <c r="E200" s="597" t="s">
        <v>1829</v>
      </c>
      <c r="F200" s="598">
        <v>0</v>
      </c>
      <c r="G200" s="598">
        <v>0</v>
      </c>
      <c r="H200" s="598">
        <v>0</v>
      </c>
      <c r="I200" s="598">
        <v>0</v>
      </c>
      <c r="J200" s="598">
        <v>0</v>
      </c>
      <c r="K200" s="598">
        <v>0</v>
      </c>
      <c r="L200" s="598">
        <v>0</v>
      </c>
      <c r="M200" s="600"/>
      <c r="N200" s="600"/>
      <c r="O200" s="138"/>
      <c r="P200" s="195"/>
      <c r="Q200" s="180"/>
      <c r="R200" s="195"/>
      <c r="S200" s="181"/>
      <c r="T200" s="111"/>
      <c r="U200" s="151"/>
      <c r="V200" s="195"/>
      <c r="W200" s="111"/>
      <c r="X200" s="195"/>
    </row>
    <row r="201" spans="1:24" x14ac:dyDescent="0.25">
      <c r="A201" s="213">
        <v>2309</v>
      </c>
      <c r="B201" s="214" t="s">
        <v>1859</v>
      </c>
      <c r="C201" s="597" t="s">
        <v>1829</v>
      </c>
      <c r="D201" s="597" t="s">
        <v>1829</v>
      </c>
      <c r="E201" s="597" t="s">
        <v>1829</v>
      </c>
      <c r="F201" s="598">
        <v>0</v>
      </c>
      <c r="G201" s="598">
        <v>0</v>
      </c>
      <c r="H201" s="598">
        <v>0</v>
      </c>
      <c r="I201" s="598">
        <v>0</v>
      </c>
      <c r="J201" s="598">
        <v>0</v>
      </c>
      <c r="K201" s="598">
        <v>0</v>
      </c>
      <c r="L201" s="598">
        <v>0</v>
      </c>
      <c r="M201" s="600"/>
      <c r="N201" s="600"/>
      <c r="O201" s="138"/>
      <c r="P201" s="195"/>
      <c r="Q201" s="180"/>
      <c r="R201" s="195"/>
      <c r="S201" s="181"/>
      <c r="T201" s="111"/>
      <c r="U201" s="151"/>
      <c r="V201" s="195"/>
      <c r="W201" s="111"/>
      <c r="X201" s="195"/>
    </row>
    <row r="202" spans="1:24" x14ac:dyDescent="0.25">
      <c r="A202" s="213">
        <v>2313</v>
      </c>
      <c r="B202" s="214" t="s">
        <v>1860</v>
      </c>
      <c r="C202" s="597" t="s">
        <v>1829</v>
      </c>
      <c r="D202" s="597" t="s">
        <v>1829</v>
      </c>
      <c r="E202" s="597" t="s">
        <v>1829</v>
      </c>
      <c r="F202" s="598">
        <v>0</v>
      </c>
      <c r="G202" s="598">
        <v>0</v>
      </c>
      <c r="H202" s="598">
        <v>0</v>
      </c>
      <c r="I202" s="598">
        <v>0</v>
      </c>
      <c r="J202" s="598">
        <v>0</v>
      </c>
      <c r="K202" s="598">
        <v>0</v>
      </c>
      <c r="L202" s="598">
        <v>0</v>
      </c>
      <c r="M202" s="600"/>
      <c r="N202" s="600"/>
      <c r="O202" s="138"/>
      <c r="P202" s="195"/>
      <c r="Q202" s="180"/>
      <c r="R202" s="195"/>
      <c r="S202" s="181"/>
      <c r="T202" s="111"/>
      <c r="U202" s="151"/>
      <c r="V202" s="195"/>
      <c r="W202" s="111"/>
      <c r="X202" s="195"/>
    </row>
    <row r="203" spans="1:24" x14ac:dyDescent="0.25">
      <c r="A203" s="213">
        <v>2314</v>
      </c>
      <c r="B203" s="214" t="s">
        <v>1861</v>
      </c>
      <c r="C203" s="597" t="s">
        <v>1829</v>
      </c>
      <c r="D203" s="597" t="s">
        <v>1829</v>
      </c>
      <c r="E203" s="597" t="s">
        <v>1829</v>
      </c>
      <c r="F203" s="598">
        <v>0</v>
      </c>
      <c r="G203" s="598">
        <v>0</v>
      </c>
      <c r="H203" s="598">
        <v>0</v>
      </c>
      <c r="I203" s="598">
        <v>0</v>
      </c>
      <c r="J203" s="598">
        <v>0</v>
      </c>
      <c r="K203" s="598">
        <v>0</v>
      </c>
      <c r="L203" s="598">
        <v>0</v>
      </c>
      <c r="M203" s="600"/>
      <c r="N203" s="600"/>
      <c r="O203" s="138"/>
      <c r="P203" s="195"/>
      <c r="Q203" s="180"/>
      <c r="R203" s="195"/>
      <c r="S203" s="181"/>
      <c r="T203" s="111"/>
      <c r="U203" s="151"/>
      <c r="V203" s="195"/>
      <c r="W203" s="111"/>
      <c r="X203" s="195"/>
    </row>
    <row r="204" spans="1:24" x14ac:dyDescent="0.25">
      <c r="A204" s="213">
        <v>2315</v>
      </c>
      <c r="B204" s="214" t="s">
        <v>1862</v>
      </c>
      <c r="C204" s="597" t="s">
        <v>1829</v>
      </c>
      <c r="D204" s="597" t="s">
        <v>1829</v>
      </c>
      <c r="E204" s="597" t="s">
        <v>1829</v>
      </c>
      <c r="F204" s="598">
        <v>0</v>
      </c>
      <c r="G204" s="598">
        <v>0</v>
      </c>
      <c r="H204" s="598">
        <v>0</v>
      </c>
      <c r="I204" s="598">
        <v>0</v>
      </c>
      <c r="J204" s="598">
        <v>0</v>
      </c>
      <c r="K204" s="598">
        <v>0</v>
      </c>
      <c r="L204" s="598">
        <v>0</v>
      </c>
      <c r="M204" s="600"/>
      <c r="N204" s="600"/>
      <c r="O204" s="138"/>
      <c r="P204" s="195"/>
      <c r="Q204" s="180"/>
      <c r="R204" s="195"/>
      <c r="S204" s="181"/>
      <c r="T204" s="111"/>
      <c r="U204" s="151"/>
      <c r="V204" s="195"/>
      <c r="W204" s="111"/>
      <c r="X204" s="195"/>
    </row>
    <row r="205" spans="1:24" x14ac:dyDescent="0.25">
      <c r="A205" s="213">
        <v>2317</v>
      </c>
      <c r="B205" s="214" t="s">
        <v>1863</v>
      </c>
      <c r="C205" s="597" t="s">
        <v>1829</v>
      </c>
      <c r="D205" s="597" t="s">
        <v>1829</v>
      </c>
      <c r="E205" s="597" t="s">
        <v>1829</v>
      </c>
      <c r="F205" s="598">
        <v>0</v>
      </c>
      <c r="G205" s="598">
        <v>0</v>
      </c>
      <c r="H205" s="598">
        <v>0</v>
      </c>
      <c r="I205" s="598">
        <v>0</v>
      </c>
      <c r="J205" s="598">
        <v>0</v>
      </c>
      <c r="K205" s="598">
        <v>0</v>
      </c>
      <c r="L205" s="598">
        <v>0</v>
      </c>
      <c r="M205" s="600"/>
      <c r="N205" s="600"/>
      <c r="O205" s="138"/>
      <c r="P205" s="195"/>
      <c r="Q205" s="180"/>
      <c r="R205" s="195"/>
      <c r="S205" s="181"/>
      <c r="T205" s="111"/>
      <c r="U205" s="151"/>
      <c r="V205" s="195"/>
      <c r="W205" s="111"/>
      <c r="X205" s="195"/>
    </row>
    <row r="206" spans="1:24" x14ac:dyDescent="0.25">
      <c r="A206" s="213">
        <v>2318</v>
      </c>
      <c r="B206" s="214" t="s">
        <v>1864</v>
      </c>
      <c r="C206" s="597" t="s">
        <v>1829</v>
      </c>
      <c r="D206" s="597" t="s">
        <v>1829</v>
      </c>
      <c r="E206" s="597" t="s">
        <v>1829</v>
      </c>
      <c r="F206" s="598">
        <v>0</v>
      </c>
      <c r="G206" s="598">
        <v>0</v>
      </c>
      <c r="H206" s="598">
        <v>0</v>
      </c>
      <c r="I206" s="598">
        <v>0</v>
      </c>
      <c r="J206" s="598">
        <v>0</v>
      </c>
      <c r="K206" s="598">
        <v>0</v>
      </c>
      <c r="L206" s="598">
        <v>0</v>
      </c>
      <c r="M206" s="600"/>
      <c r="N206" s="600"/>
      <c r="O206" s="138"/>
      <c r="P206" s="195"/>
      <c r="Q206" s="180"/>
      <c r="R206" s="195"/>
      <c r="S206" s="181"/>
      <c r="T206" s="111"/>
      <c r="U206" s="151"/>
      <c r="V206" s="195"/>
      <c r="W206" s="111"/>
      <c r="X206" s="195"/>
    </row>
    <row r="207" spans="1:24" x14ac:dyDescent="0.25">
      <c r="A207" s="213">
        <v>2319</v>
      </c>
      <c r="B207" s="214" t="s">
        <v>1865</v>
      </c>
      <c r="C207" s="597" t="s">
        <v>1829</v>
      </c>
      <c r="D207" s="597" t="s">
        <v>1829</v>
      </c>
      <c r="E207" s="597" t="s">
        <v>1829</v>
      </c>
      <c r="F207" s="598">
        <v>0</v>
      </c>
      <c r="G207" s="598">
        <v>0</v>
      </c>
      <c r="H207" s="598">
        <v>0</v>
      </c>
      <c r="I207" s="598">
        <v>0</v>
      </c>
      <c r="J207" s="598">
        <v>0</v>
      </c>
      <c r="K207" s="598">
        <v>0</v>
      </c>
      <c r="L207" s="598">
        <v>0</v>
      </c>
      <c r="M207" s="600"/>
      <c r="N207" s="600"/>
      <c r="O207" s="138"/>
      <c r="P207" s="195"/>
      <c r="Q207" s="180"/>
      <c r="R207" s="195"/>
      <c r="S207" s="181"/>
      <c r="T207" s="111"/>
      <c r="U207" s="151"/>
      <c r="V207" s="195"/>
      <c r="W207" s="111"/>
      <c r="X207" s="195"/>
    </row>
    <row r="208" spans="1:24" x14ac:dyDescent="0.25">
      <c r="A208" s="213">
        <v>2324</v>
      </c>
      <c r="B208" s="214" t="s">
        <v>1866</v>
      </c>
      <c r="C208" s="597" t="s">
        <v>1829</v>
      </c>
      <c r="D208" s="597" t="s">
        <v>1829</v>
      </c>
      <c r="E208" s="597" t="s">
        <v>1829</v>
      </c>
      <c r="F208" s="598">
        <v>0</v>
      </c>
      <c r="G208" s="598">
        <v>0</v>
      </c>
      <c r="H208" s="598">
        <v>0</v>
      </c>
      <c r="I208" s="598">
        <v>0</v>
      </c>
      <c r="J208" s="598">
        <v>0</v>
      </c>
      <c r="K208" s="598">
        <v>0</v>
      </c>
      <c r="L208" s="598">
        <v>0</v>
      </c>
      <c r="M208" s="600"/>
      <c r="N208" s="600"/>
      <c r="O208" s="138"/>
      <c r="P208" s="195"/>
      <c r="Q208" s="180"/>
      <c r="R208" s="195"/>
      <c r="S208" s="181"/>
      <c r="T208" s="111"/>
      <c r="U208" s="151"/>
      <c r="V208" s="195"/>
      <c r="W208" s="111"/>
      <c r="X208" s="195"/>
    </row>
    <row r="209" spans="1:24" x14ac:dyDescent="0.25">
      <c r="A209" s="213">
        <v>2325</v>
      </c>
      <c r="B209" s="214" t="s">
        <v>1867</v>
      </c>
      <c r="C209" s="597" t="s">
        <v>1829</v>
      </c>
      <c r="D209" s="597" t="s">
        <v>1829</v>
      </c>
      <c r="E209" s="597" t="s">
        <v>1829</v>
      </c>
      <c r="F209" s="598">
        <v>0</v>
      </c>
      <c r="G209" s="598">
        <v>0</v>
      </c>
      <c r="H209" s="598">
        <v>0</v>
      </c>
      <c r="I209" s="598">
        <v>0</v>
      </c>
      <c r="J209" s="598">
        <v>0</v>
      </c>
      <c r="K209" s="598">
        <v>0</v>
      </c>
      <c r="L209" s="598">
        <v>0</v>
      </c>
      <c r="M209" s="600"/>
      <c r="N209" s="600"/>
      <c r="O209" s="138"/>
      <c r="P209" s="195"/>
      <c r="Q209" s="180"/>
      <c r="R209" s="195"/>
      <c r="S209" s="181"/>
      <c r="T209" s="111"/>
      <c r="U209" s="151"/>
      <c r="V209" s="195"/>
      <c r="W209" s="111"/>
      <c r="X209" s="195"/>
    </row>
    <row r="210" spans="1:24" x14ac:dyDescent="0.25">
      <c r="A210" s="213">
        <v>2326</v>
      </c>
      <c r="B210" s="214" t="s">
        <v>1868</v>
      </c>
      <c r="C210" s="597" t="s">
        <v>1829</v>
      </c>
      <c r="D210" s="597" t="s">
        <v>1829</v>
      </c>
      <c r="E210" s="597" t="s">
        <v>1829</v>
      </c>
      <c r="F210" s="598">
        <v>0</v>
      </c>
      <c r="G210" s="598">
        <v>0</v>
      </c>
      <c r="H210" s="598">
        <v>0</v>
      </c>
      <c r="I210" s="598">
        <v>0</v>
      </c>
      <c r="J210" s="598">
        <v>0</v>
      </c>
      <c r="K210" s="598">
        <v>0</v>
      </c>
      <c r="L210" s="598">
        <v>0</v>
      </c>
      <c r="M210" s="600"/>
      <c r="N210" s="600"/>
      <c r="O210" s="138"/>
      <c r="P210" s="195"/>
      <c r="Q210" s="180"/>
      <c r="R210" s="195"/>
      <c r="S210" s="181"/>
      <c r="T210" s="111"/>
      <c r="U210" s="151"/>
      <c r="V210" s="195"/>
      <c r="W210" s="111"/>
      <c r="X210" s="195"/>
    </row>
    <row r="211" spans="1:24" x14ac:dyDescent="0.25">
      <c r="A211" s="213">
        <v>2327</v>
      </c>
      <c r="B211" s="214" t="s">
        <v>1869</v>
      </c>
      <c r="C211" s="597" t="s">
        <v>1829</v>
      </c>
      <c r="D211" s="597" t="s">
        <v>1829</v>
      </c>
      <c r="E211" s="597" t="s">
        <v>1829</v>
      </c>
      <c r="F211" s="598">
        <v>0</v>
      </c>
      <c r="G211" s="598">
        <v>0</v>
      </c>
      <c r="H211" s="598">
        <v>0</v>
      </c>
      <c r="I211" s="598">
        <v>0</v>
      </c>
      <c r="J211" s="598">
        <v>0</v>
      </c>
      <c r="K211" s="598">
        <v>0</v>
      </c>
      <c r="L211" s="598">
        <v>0</v>
      </c>
      <c r="M211" s="600"/>
      <c r="N211" s="600"/>
      <c r="O211" s="138"/>
      <c r="P211" s="195"/>
      <c r="Q211" s="180"/>
      <c r="R211" s="195"/>
      <c r="S211" s="181"/>
      <c r="T211" s="111"/>
      <c r="U211" s="151"/>
      <c r="V211" s="195"/>
      <c r="W211" s="111"/>
      <c r="X211" s="195"/>
    </row>
    <row r="212" spans="1:24" x14ac:dyDescent="0.25">
      <c r="A212" s="213">
        <v>2328</v>
      </c>
      <c r="B212" s="214" t="s">
        <v>1870</v>
      </c>
      <c r="C212" s="597" t="s">
        <v>1829</v>
      </c>
      <c r="D212" s="597" t="s">
        <v>1829</v>
      </c>
      <c r="E212" s="597" t="s">
        <v>1829</v>
      </c>
      <c r="F212" s="598">
        <v>0</v>
      </c>
      <c r="G212" s="598">
        <v>0</v>
      </c>
      <c r="H212" s="598">
        <v>0</v>
      </c>
      <c r="I212" s="598">
        <v>0</v>
      </c>
      <c r="J212" s="598">
        <v>0</v>
      </c>
      <c r="K212" s="598">
        <v>0</v>
      </c>
      <c r="L212" s="598">
        <v>0</v>
      </c>
      <c r="M212" s="600"/>
      <c r="N212" s="600"/>
      <c r="O212" s="138"/>
      <c r="P212" s="195"/>
      <c r="Q212" s="180"/>
      <c r="R212" s="195"/>
      <c r="S212" s="181"/>
      <c r="T212" s="111"/>
      <c r="U212" s="151"/>
      <c r="V212" s="195"/>
      <c r="W212" s="111"/>
      <c r="X212" s="195"/>
    </row>
    <row r="213" spans="1:24" x14ac:dyDescent="0.25">
      <c r="A213" s="213">
        <v>2331</v>
      </c>
      <c r="B213" s="214" t="s">
        <v>1871</v>
      </c>
      <c r="C213" s="597" t="s">
        <v>1829</v>
      </c>
      <c r="D213" s="597" t="s">
        <v>1829</v>
      </c>
      <c r="E213" s="597" t="s">
        <v>1829</v>
      </c>
      <c r="F213" s="598">
        <v>0</v>
      </c>
      <c r="G213" s="598">
        <v>0</v>
      </c>
      <c r="H213" s="598">
        <v>0</v>
      </c>
      <c r="I213" s="598">
        <v>0</v>
      </c>
      <c r="J213" s="598">
        <v>0</v>
      </c>
      <c r="K213" s="598">
        <v>0</v>
      </c>
      <c r="L213" s="598">
        <v>0</v>
      </c>
      <c r="M213" s="600"/>
      <c r="N213" s="600"/>
      <c r="O213" s="138"/>
      <c r="P213" s="195"/>
      <c r="Q213" s="180"/>
      <c r="R213" s="195"/>
      <c r="S213" s="181"/>
      <c r="T213" s="111"/>
      <c r="U213" s="151"/>
      <c r="V213" s="195"/>
      <c r="W213" s="111"/>
      <c r="X213" s="195"/>
    </row>
    <row r="214" spans="1:24" x14ac:dyDescent="0.25">
      <c r="A214" s="213">
        <v>2500</v>
      </c>
      <c r="B214" s="214" t="s">
        <v>1872</v>
      </c>
      <c r="C214" s="597" t="s">
        <v>1829</v>
      </c>
      <c r="D214" s="597" t="s">
        <v>1829</v>
      </c>
      <c r="E214" s="597" t="s">
        <v>1829</v>
      </c>
      <c r="F214" s="598">
        <v>0</v>
      </c>
      <c r="G214" s="598">
        <v>0</v>
      </c>
      <c r="H214" s="598">
        <v>0</v>
      </c>
      <c r="I214" s="598">
        <v>0</v>
      </c>
      <c r="J214" s="598">
        <v>0</v>
      </c>
      <c r="K214" s="598">
        <v>0</v>
      </c>
      <c r="L214" s="598">
        <v>0</v>
      </c>
      <c r="M214" s="600"/>
      <c r="N214" s="600"/>
      <c r="O214" s="138"/>
      <c r="P214" s="195"/>
      <c r="Q214" s="180"/>
      <c r="R214" s="195"/>
      <c r="S214" s="181"/>
      <c r="T214" s="111"/>
      <c r="U214" s="151"/>
      <c r="V214" s="195"/>
      <c r="W214" s="111"/>
      <c r="X214" s="195"/>
    </row>
    <row r="215" spans="1:24" x14ac:dyDescent="0.25">
      <c r="A215" s="213">
        <v>2501</v>
      </c>
      <c r="B215" s="214" t="s">
        <v>1873</v>
      </c>
      <c r="C215" s="597" t="s">
        <v>1829</v>
      </c>
      <c r="D215" s="597" t="s">
        <v>1829</v>
      </c>
      <c r="E215" s="597" t="s">
        <v>1829</v>
      </c>
      <c r="F215" s="598">
        <v>0</v>
      </c>
      <c r="G215" s="598">
        <v>0</v>
      </c>
      <c r="H215" s="598">
        <v>0</v>
      </c>
      <c r="I215" s="598">
        <v>0</v>
      </c>
      <c r="J215" s="598">
        <v>0</v>
      </c>
      <c r="K215" s="598">
        <v>0</v>
      </c>
      <c r="L215" s="598">
        <v>0</v>
      </c>
      <c r="M215" s="600"/>
      <c r="N215" s="600"/>
      <c r="O215" s="138"/>
      <c r="P215" s="195"/>
      <c r="Q215" s="180"/>
      <c r="R215" s="195"/>
      <c r="S215" s="181"/>
      <c r="T215" s="111"/>
      <c r="U215" s="151"/>
      <c r="V215" s="195"/>
      <c r="W215" s="111"/>
      <c r="X215" s="195"/>
    </row>
    <row r="216" spans="1:24" x14ac:dyDescent="0.25">
      <c r="A216" s="213">
        <v>2503</v>
      </c>
      <c r="B216" s="214" t="s">
        <v>1874</v>
      </c>
      <c r="C216" s="597" t="s">
        <v>1829</v>
      </c>
      <c r="D216" s="597" t="s">
        <v>1829</v>
      </c>
      <c r="E216" s="597" t="s">
        <v>1829</v>
      </c>
      <c r="F216" s="598">
        <v>0</v>
      </c>
      <c r="G216" s="598">
        <v>0</v>
      </c>
      <c r="H216" s="598">
        <v>0</v>
      </c>
      <c r="I216" s="598">
        <v>0</v>
      </c>
      <c r="J216" s="598">
        <v>0</v>
      </c>
      <c r="K216" s="598">
        <v>0</v>
      </c>
      <c r="L216" s="598">
        <v>0</v>
      </c>
      <c r="M216" s="600"/>
      <c r="N216" s="600"/>
      <c r="O216" s="138"/>
      <c r="P216" s="195"/>
      <c r="Q216" s="180"/>
      <c r="R216" s="195"/>
      <c r="S216" s="181"/>
      <c r="T216" s="111"/>
      <c r="U216" s="151"/>
      <c r="V216" s="195"/>
      <c r="W216" s="111"/>
      <c r="X216" s="195"/>
    </row>
    <row r="217" spans="1:24" x14ac:dyDescent="0.25">
      <c r="A217" s="213">
        <v>2510</v>
      </c>
      <c r="B217" s="214" t="s">
        <v>1875</v>
      </c>
      <c r="C217" s="597" t="s">
        <v>1829</v>
      </c>
      <c r="D217" s="597" t="s">
        <v>1829</v>
      </c>
      <c r="E217" s="597" t="s">
        <v>1829</v>
      </c>
      <c r="F217" s="598">
        <v>0</v>
      </c>
      <c r="G217" s="598">
        <v>0</v>
      </c>
      <c r="H217" s="598">
        <v>0</v>
      </c>
      <c r="I217" s="598">
        <v>0</v>
      </c>
      <c r="J217" s="598">
        <v>0</v>
      </c>
      <c r="K217" s="598">
        <v>0</v>
      </c>
      <c r="L217" s="598">
        <v>0</v>
      </c>
      <c r="M217" s="600"/>
      <c r="N217" s="600"/>
      <c r="O217" s="138"/>
      <c r="P217" s="195"/>
      <c r="Q217" s="180"/>
      <c r="R217" s="195"/>
      <c r="S217" s="181"/>
      <c r="T217" s="111"/>
      <c r="U217" s="151"/>
      <c r="V217" s="195"/>
      <c r="W217" s="111"/>
      <c r="X217" s="195"/>
    </row>
    <row r="218" spans="1:24" x14ac:dyDescent="0.25">
      <c r="A218" s="213">
        <v>2512</v>
      </c>
      <c r="B218" s="214" t="s">
        <v>1876</v>
      </c>
      <c r="C218" s="597" t="s">
        <v>1829</v>
      </c>
      <c r="D218" s="597" t="s">
        <v>1829</v>
      </c>
      <c r="E218" s="597" t="s">
        <v>1829</v>
      </c>
      <c r="F218" s="598">
        <v>0</v>
      </c>
      <c r="G218" s="598">
        <v>0</v>
      </c>
      <c r="H218" s="598">
        <v>0</v>
      </c>
      <c r="I218" s="598">
        <v>0</v>
      </c>
      <c r="J218" s="598">
        <v>0</v>
      </c>
      <c r="K218" s="598">
        <v>0</v>
      </c>
      <c r="L218" s="598">
        <v>0</v>
      </c>
      <c r="M218" s="600"/>
      <c r="N218" s="600"/>
      <c r="O218" s="138"/>
      <c r="P218" s="195"/>
      <c r="Q218" s="180"/>
      <c r="R218" s="195"/>
      <c r="S218" s="181"/>
      <c r="T218" s="111"/>
      <c r="U218" s="151"/>
      <c r="V218" s="195"/>
      <c r="W218" s="111"/>
      <c r="X218" s="195"/>
    </row>
    <row r="219" spans="1:24" x14ac:dyDescent="0.25">
      <c r="A219" s="213">
        <v>2514</v>
      </c>
      <c r="B219" s="214" t="s">
        <v>1877</v>
      </c>
      <c r="C219" s="597" t="s">
        <v>1829</v>
      </c>
      <c r="D219" s="597" t="s">
        <v>1829</v>
      </c>
      <c r="E219" s="597" t="s">
        <v>1829</v>
      </c>
      <c r="F219" s="598">
        <v>0</v>
      </c>
      <c r="G219" s="598">
        <v>0</v>
      </c>
      <c r="H219" s="598">
        <v>0</v>
      </c>
      <c r="I219" s="598">
        <v>0</v>
      </c>
      <c r="J219" s="598">
        <v>0</v>
      </c>
      <c r="K219" s="598">
        <v>0</v>
      </c>
      <c r="L219" s="598">
        <v>0</v>
      </c>
      <c r="M219" s="600"/>
      <c r="N219" s="600"/>
      <c r="O219" s="138"/>
      <c r="P219" s="195"/>
      <c r="Q219" s="180"/>
      <c r="R219" s="195"/>
      <c r="S219" s="181"/>
      <c r="T219" s="111"/>
      <c r="U219" s="151"/>
      <c r="V219" s="195"/>
      <c r="W219" s="111"/>
      <c r="X219" s="195"/>
    </row>
    <row r="220" spans="1:24" x14ac:dyDescent="0.25">
      <c r="A220" s="213">
        <v>2522</v>
      </c>
      <c r="B220" s="214" t="s">
        <v>1878</v>
      </c>
      <c r="C220" s="597" t="s">
        <v>1829</v>
      </c>
      <c r="D220" s="597" t="s">
        <v>1829</v>
      </c>
      <c r="E220" s="597" t="s">
        <v>1829</v>
      </c>
      <c r="F220" s="598">
        <v>0</v>
      </c>
      <c r="G220" s="598">
        <v>0</v>
      </c>
      <c r="H220" s="598">
        <v>0</v>
      </c>
      <c r="I220" s="598">
        <v>0</v>
      </c>
      <c r="J220" s="598">
        <v>0</v>
      </c>
      <c r="K220" s="598">
        <v>0</v>
      </c>
      <c r="L220" s="598">
        <v>0</v>
      </c>
      <c r="M220" s="600"/>
      <c r="N220" s="600"/>
      <c r="O220" s="138"/>
      <c r="P220" s="195"/>
      <c r="Q220" s="180"/>
      <c r="R220" s="195"/>
      <c r="S220" s="181"/>
      <c r="T220" s="111"/>
      <c r="U220" s="151"/>
      <c r="V220" s="195"/>
      <c r="W220" s="111"/>
      <c r="X220" s="195"/>
    </row>
    <row r="221" spans="1:24" x14ac:dyDescent="0.25">
      <c r="A221" s="213">
        <v>2523</v>
      </c>
      <c r="B221" s="214" t="s">
        <v>1879</v>
      </c>
      <c r="C221" s="597" t="s">
        <v>1829</v>
      </c>
      <c r="D221" s="597" t="s">
        <v>1829</v>
      </c>
      <c r="E221" s="597" t="s">
        <v>1829</v>
      </c>
      <c r="F221" s="598">
        <v>0</v>
      </c>
      <c r="G221" s="598">
        <v>0</v>
      </c>
      <c r="H221" s="598">
        <v>0</v>
      </c>
      <c r="I221" s="598">
        <v>0</v>
      </c>
      <c r="J221" s="598">
        <v>0</v>
      </c>
      <c r="K221" s="598">
        <v>0</v>
      </c>
      <c r="L221" s="598">
        <v>0</v>
      </c>
      <c r="M221" s="600"/>
      <c r="N221" s="600"/>
      <c r="O221" s="138"/>
      <c r="P221" s="195"/>
      <c r="Q221" s="180"/>
      <c r="R221" s="195"/>
      <c r="S221" s="181"/>
      <c r="T221" s="111"/>
      <c r="U221" s="151"/>
      <c r="V221" s="195"/>
      <c r="W221" s="111"/>
      <c r="X221" s="195"/>
    </row>
    <row r="222" spans="1:24" x14ac:dyDescent="0.25">
      <c r="A222" s="213">
        <v>2524</v>
      </c>
      <c r="B222" s="214" t="s">
        <v>1880</v>
      </c>
      <c r="C222" s="597" t="s">
        <v>1829</v>
      </c>
      <c r="D222" s="597" t="s">
        <v>1829</v>
      </c>
      <c r="E222" s="597" t="s">
        <v>1829</v>
      </c>
      <c r="F222" s="598">
        <v>0</v>
      </c>
      <c r="G222" s="598">
        <v>0</v>
      </c>
      <c r="H222" s="598">
        <v>0</v>
      </c>
      <c r="I222" s="598">
        <v>0</v>
      </c>
      <c r="J222" s="598">
        <v>0</v>
      </c>
      <c r="K222" s="598">
        <v>0</v>
      </c>
      <c r="L222" s="598">
        <v>0</v>
      </c>
      <c r="M222" s="600"/>
      <c r="N222" s="600"/>
      <c r="O222" s="138"/>
      <c r="P222" s="195"/>
      <c r="Q222" s="180"/>
      <c r="R222" s="195"/>
      <c r="S222" s="181"/>
      <c r="T222" s="111"/>
      <c r="U222" s="151"/>
      <c r="V222" s="195"/>
      <c r="W222" s="111"/>
      <c r="X222" s="195"/>
    </row>
    <row r="223" spans="1:24" x14ac:dyDescent="0.25">
      <c r="A223" s="213">
        <v>2525</v>
      </c>
      <c r="B223" s="214" t="s">
        <v>1881</v>
      </c>
      <c r="C223" s="597" t="s">
        <v>1829</v>
      </c>
      <c r="D223" s="597" t="s">
        <v>1829</v>
      </c>
      <c r="E223" s="597" t="s">
        <v>1829</v>
      </c>
      <c r="F223" s="598">
        <v>0</v>
      </c>
      <c r="G223" s="598">
        <v>0</v>
      </c>
      <c r="H223" s="598">
        <v>0</v>
      </c>
      <c r="I223" s="598">
        <v>0</v>
      </c>
      <c r="J223" s="598">
        <v>0</v>
      </c>
      <c r="K223" s="598">
        <v>0</v>
      </c>
      <c r="L223" s="598">
        <v>0</v>
      </c>
      <c r="M223" s="600"/>
      <c r="N223" s="600"/>
      <c r="O223" s="138"/>
      <c r="P223" s="195"/>
      <c r="Q223" s="180"/>
      <c r="R223" s="195"/>
      <c r="S223" s="181"/>
      <c r="T223" s="111"/>
      <c r="U223" s="151"/>
      <c r="V223" s="195"/>
      <c r="W223" s="111"/>
      <c r="X223" s="195"/>
    </row>
    <row r="224" spans="1:24" x14ac:dyDescent="0.25">
      <c r="A224" s="213">
        <v>2526</v>
      </c>
      <c r="B224" s="214" t="s">
        <v>1882</v>
      </c>
      <c r="C224" s="597" t="s">
        <v>1829</v>
      </c>
      <c r="D224" s="597" t="s">
        <v>1829</v>
      </c>
      <c r="E224" s="597" t="s">
        <v>1829</v>
      </c>
      <c r="F224" s="598">
        <v>0</v>
      </c>
      <c r="G224" s="598">
        <v>0</v>
      </c>
      <c r="H224" s="598">
        <v>0</v>
      </c>
      <c r="I224" s="598">
        <v>0</v>
      </c>
      <c r="J224" s="598">
        <v>0</v>
      </c>
      <c r="K224" s="598">
        <v>0</v>
      </c>
      <c r="L224" s="598">
        <v>0</v>
      </c>
      <c r="M224" s="600"/>
      <c r="N224" s="600"/>
      <c r="O224" s="138"/>
      <c r="P224" s="195"/>
      <c r="Q224" s="180"/>
      <c r="R224" s="195"/>
      <c r="S224" s="181"/>
      <c r="T224" s="111"/>
      <c r="U224" s="151"/>
      <c r="V224" s="195"/>
      <c r="W224" s="111"/>
      <c r="X224" s="195"/>
    </row>
    <row r="225" spans="1:24" x14ac:dyDescent="0.25">
      <c r="A225" s="213">
        <v>2553</v>
      </c>
      <c r="B225" s="214" t="s">
        <v>1883</v>
      </c>
      <c r="C225" s="597" t="s">
        <v>1829</v>
      </c>
      <c r="D225" s="597" t="s">
        <v>1829</v>
      </c>
      <c r="E225" s="597" t="s">
        <v>1829</v>
      </c>
      <c r="F225" s="598">
        <v>0</v>
      </c>
      <c r="G225" s="598">
        <v>0</v>
      </c>
      <c r="H225" s="598">
        <v>0</v>
      </c>
      <c r="I225" s="598">
        <v>0</v>
      </c>
      <c r="J225" s="598">
        <v>0</v>
      </c>
      <c r="K225" s="598">
        <v>0</v>
      </c>
      <c r="L225" s="598">
        <v>0</v>
      </c>
      <c r="M225" s="600"/>
      <c r="N225" s="600"/>
      <c r="O225" s="138"/>
      <c r="P225" s="195"/>
      <c r="Q225" s="180"/>
      <c r="R225" s="195"/>
      <c r="S225" s="181"/>
      <c r="T225" s="111"/>
      <c r="U225" s="151"/>
      <c r="V225" s="195"/>
      <c r="W225" s="111"/>
      <c r="X225" s="195"/>
    </row>
    <row r="226" spans="1:24" x14ac:dyDescent="0.25">
      <c r="A226" s="213">
        <v>2556</v>
      </c>
      <c r="B226" s="214" t="s">
        <v>1884</v>
      </c>
      <c r="C226" s="597" t="s">
        <v>1829</v>
      </c>
      <c r="D226" s="597" t="s">
        <v>1829</v>
      </c>
      <c r="E226" s="597" t="s">
        <v>1829</v>
      </c>
      <c r="F226" s="598">
        <v>0</v>
      </c>
      <c r="G226" s="598">
        <v>40797.770000000004</v>
      </c>
      <c r="H226" s="598">
        <v>25498.720000000001</v>
      </c>
      <c r="I226" s="598">
        <v>0</v>
      </c>
      <c r="J226" s="598">
        <v>0</v>
      </c>
      <c r="K226" s="598">
        <v>0</v>
      </c>
      <c r="L226" s="598">
        <v>66296</v>
      </c>
      <c r="M226" s="600"/>
      <c r="N226" s="600"/>
      <c r="O226" s="138"/>
      <c r="P226" s="195"/>
      <c r="Q226" s="180"/>
      <c r="R226" s="195"/>
      <c r="S226" s="181"/>
      <c r="T226" s="111"/>
      <c r="U226" s="151"/>
      <c r="V226" s="195"/>
      <c r="W226" s="111"/>
      <c r="X226" s="195"/>
    </row>
    <row r="227" spans="1:24" x14ac:dyDescent="0.25">
      <c r="A227" s="213">
        <v>2557</v>
      </c>
      <c r="B227" s="214" t="s">
        <v>1885</v>
      </c>
      <c r="C227" s="597" t="s">
        <v>1829</v>
      </c>
      <c r="D227" s="597" t="s">
        <v>1829</v>
      </c>
      <c r="E227" s="597" t="s">
        <v>1829</v>
      </c>
      <c r="F227" s="598">
        <v>0</v>
      </c>
      <c r="G227" s="598">
        <v>0</v>
      </c>
      <c r="H227" s="598">
        <v>0</v>
      </c>
      <c r="I227" s="598">
        <v>0</v>
      </c>
      <c r="J227" s="598">
        <v>0</v>
      </c>
      <c r="K227" s="598">
        <v>0</v>
      </c>
      <c r="L227" s="598">
        <v>0</v>
      </c>
      <c r="M227" s="600"/>
      <c r="N227" s="600"/>
      <c r="O227" s="138"/>
      <c r="P227" s="195"/>
      <c r="Q227" s="180"/>
      <c r="R227" s="195"/>
      <c r="S227" s="181"/>
      <c r="T227" s="111"/>
      <c r="U227" s="151"/>
      <c r="V227" s="195"/>
      <c r="W227" s="111"/>
      <c r="X227" s="195"/>
    </row>
    <row r="228" spans="1:24" x14ac:dyDescent="0.25">
      <c r="A228" s="213">
        <v>2560</v>
      </c>
      <c r="B228" s="214" t="s">
        <v>1875</v>
      </c>
      <c r="C228" s="597" t="s">
        <v>1829</v>
      </c>
      <c r="D228" s="597" t="s">
        <v>1829</v>
      </c>
      <c r="E228" s="597" t="s">
        <v>1829</v>
      </c>
      <c r="F228" s="598">
        <v>0</v>
      </c>
      <c r="G228" s="598">
        <v>0</v>
      </c>
      <c r="H228" s="598">
        <v>0</v>
      </c>
      <c r="I228" s="598">
        <v>0</v>
      </c>
      <c r="J228" s="598">
        <v>0</v>
      </c>
      <c r="K228" s="598">
        <v>0</v>
      </c>
      <c r="L228" s="598">
        <v>0</v>
      </c>
      <c r="M228" s="600"/>
      <c r="N228" s="600"/>
      <c r="O228" s="138"/>
      <c r="P228" s="195"/>
      <c r="Q228" s="180"/>
      <c r="R228" s="195"/>
      <c r="S228" s="181"/>
      <c r="T228" s="111"/>
      <c r="U228" s="151"/>
      <c r="V228" s="195"/>
      <c r="W228" s="111"/>
      <c r="X228" s="195"/>
    </row>
    <row r="229" spans="1:24" x14ac:dyDescent="0.25">
      <c r="A229" s="213">
        <v>2561</v>
      </c>
      <c r="B229" s="214" t="s">
        <v>1886</v>
      </c>
      <c r="C229" s="597" t="s">
        <v>1829</v>
      </c>
      <c r="D229" s="597" t="s">
        <v>1829</v>
      </c>
      <c r="E229" s="597" t="s">
        <v>1829</v>
      </c>
      <c r="F229" s="598">
        <v>0</v>
      </c>
      <c r="G229" s="598">
        <v>0</v>
      </c>
      <c r="H229" s="598">
        <v>0</v>
      </c>
      <c r="I229" s="598">
        <v>0</v>
      </c>
      <c r="J229" s="598">
        <v>0</v>
      </c>
      <c r="K229" s="598">
        <v>0</v>
      </c>
      <c r="L229" s="598">
        <v>0</v>
      </c>
      <c r="M229" s="600"/>
      <c r="N229" s="600"/>
      <c r="O229" s="138"/>
      <c r="P229" s="195"/>
      <c r="Q229" s="180"/>
      <c r="R229" s="195"/>
      <c r="S229" s="181"/>
      <c r="T229" s="111"/>
      <c r="U229" s="151"/>
      <c r="V229" s="195"/>
      <c r="W229" s="111"/>
      <c r="X229" s="195"/>
    </row>
    <row r="230" spans="1:24" x14ac:dyDescent="0.25">
      <c r="A230" s="213">
        <v>2570</v>
      </c>
      <c r="B230" s="214" t="s">
        <v>1887</v>
      </c>
      <c r="C230" s="597" t="s">
        <v>1829</v>
      </c>
      <c r="D230" s="597" t="s">
        <v>1829</v>
      </c>
      <c r="E230" s="597" t="s">
        <v>1829</v>
      </c>
      <c r="F230" s="598">
        <v>0</v>
      </c>
      <c r="G230" s="598">
        <v>0</v>
      </c>
      <c r="H230" s="598">
        <v>0</v>
      </c>
      <c r="I230" s="598">
        <v>0</v>
      </c>
      <c r="J230" s="598">
        <v>0</v>
      </c>
      <c r="K230" s="598">
        <v>0</v>
      </c>
      <c r="L230" s="598">
        <v>0</v>
      </c>
      <c r="M230" s="600"/>
      <c r="N230" s="600"/>
      <c r="O230" s="138"/>
      <c r="P230" s="195"/>
      <c r="Q230" s="180"/>
      <c r="R230" s="195"/>
      <c r="S230" s="181"/>
      <c r="T230" s="111"/>
      <c r="U230" s="151"/>
      <c r="V230" s="195"/>
      <c r="W230" s="111"/>
      <c r="X230" s="195"/>
    </row>
    <row r="231" spans="1:24" x14ac:dyDescent="0.25">
      <c r="A231" s="213">
        <v>2571</v>
      </c>
      <c r="B231" s="214" t="s">
        <v>1888</v>
      </c>
      <c r="C231" s="597" t="s">
        <v>1829</v>
      </c>
      <c r="D231" s="597" t="s">
        <v>1829</v>
      </c>
      <c r="E231" s="597" t="s">
        <v>1829</v>
      </c>
      <c r="F231" s="598">
        <v>0</v>
      </c>
      <c r="G231" s="598">
        <v>0</v>
      </c>
      <c r="H231" s="598">
        <v>0</v>
      </c>
      <c r="I231" s="598">
        <v>0</v>
      </c>
      <c r="J231" s="598">
        <v>0</v>
      </c>
      <c r="K231" s="598">
        <v>0</v>
      </c>
      <c r="L231" s="598">
        <v>0</v>
      </c>
      <c r="M231" s="600"/>
      <c r="N231" s="600"/>
      <c r="O231" s="138"/>
      <c r="P231" s="195"/>
      <c r="Q231" s="180"/>
      <c r="R231" s="195"/>
      <c r="S231" s="181"/>
      <c r="T231" s="111"/>
      <c r="U231" s="151"/>
      <c r="V231" s="195"/>
      <c r="W231" s="111"/>
      <c r="X231" s="195"/>
    </row>
    <row r="232" spans="1:24" x14ac:dyDescent="0.25">
      <c r="A232" s="213">
        <v>2582</v>
      </c>
      <c r="B232" s="214" t="s">
        <v>1889</v>
      </c>
      <c r="C232" s="597" t="s">
        <v>1829</v>
      </c>
      <c r="D232" s="597" t="s">
        <v>1829</v>
      </c>
      <c r="E232" s="597" t="s">
        <v>1829</v>
      </c>
      <c r="F232" s="598">
        <v>0</v>
      </c>
      <c r="G232" s="598">
        <v>0</v>
      </c>
      <c r="H232" s="598">
        <v>0</v>
      </c>
      <c r="I232" s="598">
        <v>0</v>
      </c>
      <c r="J232" s="598">
        <v>0</v>
      </c>
      <c r="K232" s="598">
        <v>0</v>
      </c>
      <c r="L232" s="598">
        <v>0</v>
      </c>
      <c r="M232" s="600"/>
      <c r="N232" s="600"/>
      <c r="O232" s="138"/>
      <c r="P232" s="195"/>
      <c r="Q232" s="180"/>
      <c r="R232" s="195"/>
      <c r="S232" s="181"/>
      <c r="T232" s="111"/>
      <c r="U232" s="151"/>
      <c r="V232" s="195"/>
      <c r="W232" s="111"/>
      <c r="X232" s="195"/>
    </row>
    <row r="233" spans="1:24" x14ac:dyDescent="0.25">
      <c r="A233" s="213">
        <v>2598</v>
      </c>
      <c r="B233" s="214" t="s">
        <v>1890</v>
      </c>
      <c r="C233" s="597" t="s">
        <v>1829</v>
      </c>
      <c r="D233" s="597" t="s">
        <v>1829</v>
      </c>
      <c r="E233" s="597" t="s">
        <v>1829</v>
      </c>
      <c r="F233" s="598">
        <v>0</v>
      </c>
      <c r="G233" s="598">
        <v>0</v>
      </c>
      <c r="H233" s="598">
        <v>0</v>
      </c>
      <c r="I233" s="598">
        <v>0</v>
      </c>
      <c r="J233" s="598">
        <v>0</v>
      </c>
      <c r="K233" s="598">
        <v>0</v>
      </c>
      <c r="L233" s="598">
        <v>0</v>
      </c>
      <c r="M233" s="600"/>
      <c r="N233" s="600"/>
      <c r="O233" s="138"/>
      <c r="P233" s="195"/>
      <c r="Q233" s="180"/>
      <c r="R233" s="195"/>
      <c r="S233" s="181"/>
      <c r="T233" s="111"/>
      <c r="U233" s="151"/>
      <c r="V233" s="195"/>
      <c r="W233" s="111"/>
      <c r="X233" s="195"/>
    </row>
    <row r="234" spans="1:24" x14ac:dyDescent="0.25">
      <c r="A234" s="213">
        <v>3717</v>
      </c>
      <c r="B234" s="214" t="s">
        <v>1891</v>
      </c>
      <c r="C234" s="597" t="s">
        <v>1829</v>
      </c>
      <c r="D234" s="597" t="s">
        <v>1829</v>
      </c>
      <c r="E234" s="597" t="s">
        <v>1829</v>
      </c>
      <c r="F234" s="598">
        <v>0</v>
      </c>
      <c r="G234" s="598">
        <v>0</v>
      </c>
      <c r="H234" s="598">
        <v>0</v>
      </c>
      <c r="I234" s="598">
        <v>0</v>
      </c>
      <c r="J234" s="598">
        <v>0</v>
      </c>
      <c r="K234" s="598">
        <v>0</v>
      </c>
      <c r="L234" s="598">
        <v>0</v>
      </c>
      <c r="M234" s="600"/>
      <c r="N234" s="600"/>
      <c r="O234" s="138"/>
      <c r="P234" s="195"/>
      <c r="Q234" s="180"/>
      <c r="R234" s="195"/>
      <c r="S234" s="181"/>
      <c r="T234" s="111"/>
      <c r="U234" s="151"/>
      <c r="V234" s="195"/>
      <c r="W234" s="111"/>
      <c r="X234" s="195"/>
    </row>
    <row r="235" spans="1:24" x14ac:dyDescent="0.25">
      <c r="A235" s="213">
        <v>5000</v>
      </c>
      <c r="B235" s="214" t="s">
        <v>1892</v>
      </c>
      <c r="C235" s="597" t="s">
        <v>1829</v>
      </c>
      <c r="D235" s="597" t="s">
        <v>1829</v>
      </c>
      <c r="E235" s="597" t="s">
        <v>1829</v>
      </c>
      <c r="F235" s="598">
        <v>0</v>
      </c>
      <c r="G235" s="598">
        <v>0</v>
      </c>
      <c r="H235" s="598">
        <v>0</v>
      </c>
      <c r="I235" s="598">
        <v>0</v>
      </c>
      <c r="J235" s="598">
        <v>0</v>
      </c>
      <c r="K235" s="598">
        <v>0</v>
      </c>
      <c r="L235" s="598">
        <v>0</v>
      </c>
      <c r="M235" s="600"/>
      <c r="N235" s="600"/>
      <c r="O235" s="138"/>
      <c r="P235" s="195"/>
      <c r="Q235" s="180"/>
      <c r="R235" s="195"/>
      <c r="S235" s="181"/>
      <c r="T235" s="111"/>
      <c r="U235" s="151"/>
      <c r="V235" s="195"/>
      <c r="W235" s="111"/>
      <c r="X235" s="195"/>
    </row>
    <row r="236" spans="1:24" x14ac:dyDescent="0.25">
      <c r="A236" s="213">
        <v>5001</v>
      </c>
      <c r="B236" s="214" t="s">
        <v>1893</v>
      </c>
      <c r="C236" s="597" t="s">
        <v>1829</v>
      </c>
      <c r="D236" s="597" t="s">
        <v>1829</v>
      </c>
      <c r="E236" s="597" t="s">
        <v>1829</v>
      </c>
      <c r="F236" s="598">
        <v>0</v>
      </c>
      <c r="G236" s="598">
        <v>0</v>
      </c>
      <c r="H236" s="598">
        <v>0</v>
      </c>
      <c r="I236" s="598">
        <v>0</v>
      </c>
      <c r="J236" s="598">
        <v>0</v>
      </c>
      <c r="K236" s="598">
        <v>0</v>
      </c>
      <c r="L236" s="598">
        <v>0</v>
      </c>
      <c r="M236" s="600"/>
      <c r="N236" s="600"/>
      <c r="O236" s="138"/>
      <c r="P236" s="195"/>
      <c r="Q236" s="180"/>
      <c r="R236" s="195"/>
      <c r="S236" s="181"/>
      <c r="T236" s="111"/>
      <c r="U236" s="151"/>
      <c r="V236" s="195"/>
      <c r="W236" s="111"/>
      <c r="X236" s="195"/>
    </row>
    <row r="237" spans="1:24" x14ac:dyDescent="0.25">
      <c r="A237" s="213">
        <v>5011</v>
      </c>
      <c r="B237" s="214" t="s">
        <v>1894</v>
      </c>
      <c r="C237" s="597" t="s">
        <v>1829</v>
      </c>
      <c r="D237" s="597" t="s">
        <v>1829</v>
      </c>
      <c r="E237" s="597" t="s">
        <v>1829</v>
      </c>
      <c r="F237" s="598">
        <v>0</v>
      </c>
      <c r="G237" s="598">
        <v>0</v>
      </c>
      <c r="H237" s="598">
        <v>0</v>
      </c>
      <c r="I237" s="598">
        <v>0</v>
      </c>
      <c r="J237" s="598">
        <v>0</v>
      </c>
      <c r="K237" s="598">
        <v>0</v>
      </c>
      <c r="L237" s="598">
        <v>0</v>
      </c>
      <c r="M237" s="600"/>
      <c r="N237" s="600"/>
      <c r="O237" s="138"/>
      <c r="P237" s="195"/>
      <c r="Q237" s="180"/>
      <c r="R237" s="195"/>
      <c r="S237" s="181"/>
      <c r="T237" s="111"/>
      <c r="U237" s="151"/>
      <c r="V237" s="195"/>
      <c r="W237" s="111"/>
      <c r="X237" s="195"/>
    </row>
    <row r="238" spans="1:24" x14ac:dyDescent="0.25">
      <c r="A238" s="213">
        <v>5012</v>
      </c>
      <c r="B238" s="214" t="s">
        <v>1895</v>
      </c>
      <c r="C238" s="597" t="s">
        <v>1829</v>
      </c>
      <c r="D238" s="597" t="s">
        <v>1829</v>
      </c>
      <c r="E238" s="597" t="s">
        <v>1829</v>
      </c>
      <c r="F238" s="598">
        <v>0</v>
      </c>
      <c r="G238" s="598">
        <v>0</v>
      </c>
      <c r="H238" s="598">
        <v>0</v>
      </c>
      <c r="I238" s="598">
        <v>0</v>
      </c>
      <c r="J238" s="598">
        <v>0</v>
      </c>
      <c r="K238" s="598">
        <v>0</v>
      </c>
      <c r="L238" s="598">
        <v>0</v>
      </c>
      <c r="M238" s="600"/>
      <c r="N238" s="600"/>
      <c r="O238" s="138"/>
      <c r="P238" s="195"/>
      <c r="Q238" s="180"/>
      <c r="R238" s="195"/>
      <c r="S238" s="181"/>
      <c r="T238" s="111"/>
      <c r="U238" s="151"/>
      <c r="V238" s="195"/>
      <c r="W238" s="111"/>
      <c r="X238" s="195"/>
    </row>
    <row r="239" spans="1:24" x14ac:dyDescent="0.25">
      <c r="A239" s="213">
        <v>5013</v>
      </c>
      <c r="B239" s="214" t="s">
        <v>1896</v>
      </c>
      <c r="C239" s="597" t="s">
        <v>1829</v>
      </c>
      <c r="D239" s="597" t="s">
        <v>1829</v>
      </c>
      <c r="E239" s="597" t="s">
        <v>1829</v>
      </c>
      <c r="F239" s="598">
        <v>0</v>
      </c>
      <c r="G239" s="598">
        <v>0</v>
      </c>
      <c r="H239" s="598">
        <v>0</v>
      </c>
      <c r="I239" s="598">
        <v>0</v>
      </c>
      <c r="J239" s="598">
        <v>0</v>
      </c>
      <c r="K239" s="598">
        <v>0</v>
      </c>
      <c r="L239" s="598">
        <v>0</v>
      </c>
      <c r="M239" s="600"/>
      <c r="N239" s="600"/>
      <c r="O239" s="138"/>
      <c r="P239" s="195"/>
      <c r="Q239" s="180"/>
      <c r="R239" s="195"/>
      <c r="S239" s="181"/>
      <c r="T239" s="111"/>
      <c r="U239" s="151"/>
      <c r="V239" s="195"/>
      <c r="W239" s="111"/>
      <c r="X239" s="195"/>
    </row>
    <row r="240" spans="1:24" x14ac:dyDescent="0.25">
      <c r="A240" s="213">
        <v>5014</v>
      </c>
      <c r="B240" s="214" t="s">
        <v>1897</v>
      </c>
      <c r="C240" s="597" t="s">
        <v>1829</v>
      </c>
      <c r="D240" s="597" t="s">
        <v>1829</v>
      </c>
      <c r="E240" s="597" t="s">
        <v>1829</v>
      </c>
      <c r="F240" s="598">
        <v>0</v>
      </c>
      <c r="G240" s="598">
        <v>0</v>
      </c>
      <c r="H240" s="598">
        <v>0</v>
      </c>
      <c r="I240" s="598">
        <v>0</v>
      </c>
      <c r="J240" s="598">
        <v>0</v>
      </c>
      <c r="K240" s="598">
        <v>0</v>
      </c>
      <c r="L240" s="598">
        <v>0</v>
      </c>
      <c r="M240" s="600"/>
      <c r="N240" s="600"/>
      <c r="O240" s="138"/>
      <c r="P240" s="195"/>
      <c r="Q240" s="180"/>
      <c r="R240" s="195"/>
      <c r="S240" s="181"/>
      <c r="T240" s="111"/>
      <c r="U240" s="151"/>
      <c r="V240" s="195"/>
      <c r="W240" s="111"/>
      <c r="X240" s="195"/>
    </row>
    <row r="241" spans="1:24" x14ac:dyDescent="0.25">
      <c r="A241" s="213">
        <v>5016</v>
      </c>
      <c r="B241" s="214" t="s">
        <v>1898</v>
      </c>
      <c r="C241" s="597" t="s">
        <v>1829</v>
      </c>
      <c r="D241" s="597" t="s">
        <v>1829</v>
      </c>
      <c r="E241" s="597" t="s">
        <v>1829</v>
      </c>
      <c r="F241" s="598">
        <v>0</v>
      </c>
      <c r="G241" s="598">
        <v>0</v>
      </c>
      <c r="H241" s="598">
        <v>0</v>
      </c>
      <c r="I241" s="598">
        <v>0</v>
      </c>
      <c r="J241" s="598">
        <v>0</v>
      </c>
      <c r="K241" s="598">
        <v>0</v>
      </c>
      <c r="L241" s="598">
        <v>0</v>
      </c>
      <c r="M241" s="600"/>
      <c r="N241" s="600"/>
      <c r="O241" s="138"/>
      <c r="P241" s="195"/>
      <c r="Q241" s="180"/>
      <c r="R241" s="195"/>
      <c r="S241" s="181"/>
      <c r="T241" s="111"/>
      <c r="U241" s="151"/>
      <c r="V241" s="195"/>
      <c r="W241" s="111"/>
      <c r="X241" s="195"/>
    </row>
    <row r="242" spans="1:24" x14ac:dyDescent="0.25">
      <c r="A242" s="213">
        <v>5018</v>
      </c>
      <c r="B242" s="214" t="s">
        <v>1899</v>
      </c>
      <c r="C242" s="597" t="s">
        <v>1829</v>
      </c>
      <c r="D242" s="597" t="s">
        <v>1829</v>
      </c>
      <c r="E242" s="597" t="s">
        <v>1829</v>
      </c>
      <c r="F242" s="598">
        <v>0</v>
      </c>
      <c r="G242" s="598">
        <v>0</v>
      </c>
      <c r="H242" s="598">
        <v>0</v>
      </c>
      <c r="I242" s="598">
        <v>0</v>
      </c>
      <c r="J242" s="598">
        <v>0</v>
      </c>
      <c r="K242" s="598">
        <v>0</v>
      </c>
      <c r="L242" s="598">
        <v>0</v>
      </c>
      <c r="M242" s="600"/>
      <c r="N242" s="600"/>
      <c r="O242" s="138"/>
      <c r="P242" s="195"/>
      <c r="Q242" s="180"/>
      <c r="R242" s="195"/>
      <c r="S242" s="181"/>
      <c r="T242" s="111"/>
      <c r="U242" s="151"/>
      <c r="V242" s="195"/>
      <c r="W242" s="111"/>
      <c r="X242" s="195"/>
    </row>
    <row r="243" spans="1:24" x14ac:dyDescent="0.25">
      <c r="A243" s="213">
        <v>5019</v>
      </c>
      <c r="B243" s="214" t="s">
        <v>1900</v>
      </c>
      <c r="C243" s="597" t="s">
        <v>1829</v>
      </c>
      <c r="D243" s="597" t="s">
        <v>1829</v>
      </c>
      <c r="E243" s="597" t="s">
        <v>1829</v>
      </c>
      <c r="F243" s="598">
        <v>0</v>
      </c>
      <c r="G243" s="598">
        <v>0</v>
      </c>
      <c r="H243" s="598">
        <v>0</v>
      </c>
      <c r="I243" s="598">
        <v>0</v>
      </c>
      <c r="J243" s="598">
        <v>0</v>
      </c>
      <c r="K243" s="598">
        <v>0</v>
      </c>
      <c r="L243" s="598">
        <v>0</v>
      </c>
      <c r="M243" s="600"/>
      <c r="N243" s="600"/>
      <c r="O243" s="138"/>
      <c r="P243" s="195"/>
      <c r="Q243" s="180"/>
      <c r="R243" s="195"/>
      <c r="S243" s="181"/>
      <c r="T243" s="111"/>
      <c r="U243" s="151"/>
      <c r="V243" s="195"/>
      <c r="W243" s="111"/>
      <c r="X243" s="195"/>
    </row>
    <row r="244" spans="1:24" x14ac:dyDescent="0.25">
      <c r="A244" s="213">
        <v>5021</v>
      </c>
      <c r="B244" s="214" t="s">
        <v>1901</v>
      </c>
      <c r="C244" s="597" t="s">
        <v>1829</v>
      </c>
      <c r="D244" s="597" t="s">
        <v>1829</v>
      </c>
      <c r="E244" s="597" t="s">
        <v>1829</v>
      </c>
      <c r="F244" s="598">
        <v>0</v>
      </c>
      <c r="G244" s="598">
        <v>0</v>
      </c>
      <c r="H244" s="598">
        <v>0</v>
      </c>
      <c r="I244" s="598">
        <v>0</v>
      </c>
      <c r="J244" s="598">
        <v>0</v>
      </c>
      <c r="K244" s="598">
        <v>0</v>
      </c>
      <c r="L244" s="598">
        <v>0</v>
      </c>
      <c r="M244" s="600"/>
      <c r="N244" s="600"/>
      <c r="O244" s="138"/>
      <c r="P244" s="195"/>
      <c r="Q244" s="180"/>
      <c r="R244" s="195"/>
      <c r="S244" s="181"/>
      <c r="T244" s="111"/>
      <c r="U244" s="151"/>
      <c r="V244" s="195"/>
      <c r="W244" s="111"/>
      <c r="X244" s="195"/>
    </row>
    <row r="245" spans="1:24" x14ac:dyDescent="0.25">
      <c r="A245" s="213">
        <v>5022</v>
      </c>
      <c r="B245" s="214" t="s">
        <v>1902</v>
      </c>
      <c r="C245" s="597" t="s">
        <v>1829</v>
      </c>
      <c r="D245" s="597" t="s">
        <v>1829</v>
      </c>
      <c r="E245" s="597" t="s">
        <v>1829</v>
      </c>
      <c r="F245" s="598">
        <v>0</v>
      </c>
      <c r="G245" s="598">
        <v>0</v>
      </c>
      <c r="H245" s="598">
        <v>0</v>
      </c>
      <c r="I245" s="598">
        <v>0</v>
      </c>
      <c r="J245" s="598">
        <v>0</v>
      </c>
      <c r="K245" s="598">
        <v>0</v>
      </c>
      <c r="L245" s="598">
        <v>0</v>
      </c>
      <c r="M245" s="600"/>
      <c r="N245" s="600"/>
      <c r="O245" s="138"/>
      <c r="P245" s="195"/>
      <c r="Q245" s="180"/>
      <c r="R245" s="195"/>
      <c r="S245" s="181"/>
      <c r="T245" s="111"/>
      <c r="U245" s="151"/>
      <c r="V245" s="195"/>
      <c r="W245" s="111"/>
      <c r="X245" s="195"/>
    </row>
    <row r="246" spans="1:24" x14ac:dyDescent="0.25">
      <c r="A246" s="213">
        <v>5023</v>
      </c>
      <c r="B246" s="214" t="s">
        <v>1903</v>
      </c>
      <c r="C246" s="597" t="s">
        <v>1829</v>
      </c>
      <c r="D246" s="597" t="s">
        <v>1829</v>
      </c>
      <c r="E246" s="597" t="s">
        <v>1829</v>
      </c>
      <c r="F246" s="598">
        <v>0</v>
      </c>
      <c r="G246" s="598">
        <v>0</v>
      </c>
      <c r="H246" s="598">
        <v>0</v>
      </c>
      <c r="I246" s="598">
        <v>0</v>
      </c>
      <c r="J246" s="598">
        <v>0</v>
      </c>
      <c r="K246" s="598">
        <v>0</v>
      </c>
      <c r="L246" s="598">
        <v>0</v>
      </c>
      <c r="M246" s="600"/>
      <c r="N246" s="600"/>
      <c r="O246" s="138"/>
      <c r="P246" s="195"/>
      <c r="Q246" s="180"/>
      <c r="R246" s="195"/>
      <c r="S246" s="181"/>
      <c r="T246" s="111"/>
      <c r="U246" s="151"/>
      <c r="V246" s="195"/>
      <c r="W246" s="111"/>
      <c r="X246" s="195"/>
    </row>
    <row r="247" spans="1:24" x14ac:dyDescent="0.25">
      <c r="A247" s="213">
        <v>5024</v>
      </c>
      <c r="B247" s="214" t="s">
        <v>1904</v>
      </c>
      <c r="C247" s="597" t="s">
        <v>1829</v>
      </c>
      <c r="D247" s="597" t="s">
        <v>1829</v>
      </c>
      <c r="E247" s="597" t="s">
        <v>1829</v>
      </c>
      <c r="F247" s="598">
        <v>0</v>
      </c>
      <c r="G247" s="598">
        <v>0</v>
      </c>
      <c r="H247" s="598">
        <v>0</v>
      </c>
      <c r="I247" s="598">
        <v>0</v>
      </c>
      <c r="J247" s="598">
        <v>0</v>
      </c>
      <c r="K247" s="598">
        <v>0</v>
      </c>
      <c r="L247" s="598">
        <v>0</v>
      </c>
      <c r="M247" s="600"/>
      <c r="N247" s="600"/>
      <c r="O247" s="138"/>
      <c r="P247" s="195"/>
      <c r="Q247" s="180"/>
      <c r="R247" s="195"/>
      <c r="S247" s="181"/>
      <c r="T247" s="111"/>
      <c r="U247" s="151"/>
      <c r="V247" s="195"/>
      <c r="W247" s="111"/>
      <c r="X247" s="195"/>
    </row>
    <row r="248" spans="1:24" x14ac:dyDescent="0.25">
      <c r="A248" s="213">
        <v>5025</v>
      </c>
      <c r="B248" s="214" t="s">
        <v>1905</v>
      </c>
      <c r="C248" s="597" t="s">
        <v>1829</v>
      </c>
      <c r="D248" s="597" t="s">
        <v>1829</v>
      </c>
      <c r="E248" s="597" t="s">
        <v>1829</v>
      </c>
      <c r="F248" s="598">
        <v>0</v>
      </c>
      <c r="G248" s="598">
        <v>0</v>
      </c>
      <c r="H248" s="598">
        <v>0</v>
      </c>
      <c r="I248" s="598">
        <v>0</v>
      </c>
      <c r="J248" s="598">
        <v>0</v>
      </c>
      <c r="K248" s="598">
        <v>0</v>
      </c>
      <c r="L248" s="598">
        <v>0</v>
      </c>
      <c r="M248" s="600"/>
      <c r="N248" s="600"/>
      <c r="O248" s="138"/>
      <c r="P248" s="195"/>
      <c r="Q248" s="180"/>
      <c r="R248" s="195"/>
      <c r="S248" s="181"/>
      <c r="T248" s="111"/>
      <c r="U248" s="151"/>
      <c r="V248" s="195"/>
      <c r="W248" s="111"/>
      <c r="X248" s="195"/>
    </row>
    <row r="249" spans="1:24" x14ac:dyDescent="0.25">
      <c r="A249" s="213">
        <v>5026</v>
      </c>
      <c r="B249" s="214" t="s">
        <v>1906</v>
      </c>
      <c r="C249" s="597" t="s">
        <v>1829</v>
      </c>
      <c r="D249" s="597" t="s">
        <v>1829</v>
      </c>
      <c r="E249" s="597" t="s">
        <v>1829</v>
      </c>
      <c r="F249" s="598">
        <v>0</v>
      </c>
      <c r="G249" s="598">
        <v>0</v>
      </c>
      <c r="H249" s="598">
        <v>0</v>
      </c>
      <c r="I249" s="598">
        <v>0</v>
      </c>
      <c r="J249" s="598">
        <v>0</v>
      </c>
      <c r="K249" s="598">
        <v>0</v>
      </c>
      <c r="L249" s="598">
        <v>0</v>
      </c>
      <c r="M249" s="600"/>
      <c r="N249" s="600"/>
      <c r="O249" s="138"/>
      <c r="P249" s="195"/>
      <c r="Q249" s="180"/>
      <c r="R249" s="195"/>
      <c r="S249" s="181"/>
      <c r="T249" s="111"/>
      <c r="U249" s="151"/>
      <c r="V249" s="195"/>
      <c r="W249" s="111"/>
      <c r="X249" s="195"/>
    </row>
    <row r="250" spans="1:24" x14ac:dyDescent="0.25">
      <c r="A250" s="213">
        <v>5027</v>
      </c>
      <c r="B250" s="214" t="s">
        <v>1907</v>
      </c>
      <c r="C250" s="597" t="s">
        <v>1829</v>
      </c>
      <c r="D250" s="597" t="s">
        <v>1829</v>
      </c>
      <c r="E250" s="597" t="s">
        <v>1829</v>
      </c>
      <c r="F250" s="598">
        <v>0</v>
      </c>
      <c r="G250" s="598">
        <v>0</v>
      </c>
      <c r="H250" s="598">
        <v>0</v>
      </c>
      <c r="I250" s="598">
        <v>0</v>
      </c>
      <c r="J250" s="598">
        <v>0</v>
      </c>
      <c r="K250" s="598">
        <v>0</v>
      </c>
      <c r="L250" s="598">
        <v>0</v>
      </c>
      <c r="M250" s="600"/>
      <c r="N250" s="600"/>
      <c r="O250" s="138"/>
      <c r="P250" s="195"/>
      <c r="Q250" s="180"/>
      <c r="R250" s="195"/>
      <c r="S250" s="181"/>
      <c r="T250" s="111"/>
      <c r="U250" s="151"/>
      <c r="V250" s="195"/>
      <c r="W250" s="111"/>
      <c r="X250" s="195"/>
    </row>
    <row r="251" spans="1:24" x14ac:dyDescent="0.25">
      <c r="A251" s="213">
        <v>5028</v>
      </c>
      <c r="B251" s="214" t="s">
        <v>1908</v>
      </c>
      <c r="C251" s="597" t="s">
        <v>1829</v>
      </c>
      <c r="D251" s="597" t="s">
        <v>1829</v>
      </c>
      <c r="E251" s="597" t="s">
        <v>1829</v>
      </c>
      <c r="F251" s="598">
        <v>0</v>
      </c>
      <c r="G251" s="598">
        <v>0</v>
      </c>
      <c r="H251" s="598">
        <v>0</v>
      </c>
      <c r="I251" s="598">
        <v>0</v>
      </c>
      <c r="J251" s="598">
        <v>0</v>
      </c>
      <c r="K251" s="598">
        <v>0</v>
      </c>
      <c r="L251" s="598">
        <v>0</v>
      </c>
      <c r="M251" s="600"/>
      <c r="N251" s="600"/>
      <c r="O251" s="138"/>
      <c r="P251" s="195"/>
      <c r="Q251" s="180"/>
      <c r="R251" s="195"/>
      <c r="S251" s="181"/>
      <c r="T251" s="111"/>
      <c r="U251" s="151"/>
      <c r="V251" s="195"/>
      <c r="W251" s="111"/>
      <c r="X251" s="195"/>
    </row>
    <row r="252" spans="1:24" x14ac:dyDescent="0.25">
      <c r="A252" s="213">
        <v>5031</v>
      </c>
      <c r="B252" s="214" t="s">
        <v>1909</v>
      </c>
      <c r="C252" s="597" t="s">
        <v>1829</v>
      </c>
      <c r="D252" s="597" t="s">
        <v>1829</v>
      </c>
      <c r="E252" s="597" t="s">
        <v>1829</v>
      </c>
      <c r="F252" s="598">
        <v>0</v>
      </c>
      <c r="G252" s="598">
        <v>0</v>
      </c>
      <c r="H252" s="598">
        <v>0</v>
      </c>
      <c r="I252" s="598">
        <v>0</v>
      </c>
      <c r="J252" s="598">
        <v>0</v>
      </c>
      <c r="K252" s="598">
        <v>0</v>
      </c>
      <c r="L252" s="598">
        <v>0</v>
      </c>
      <c r="M252" s="600"/>
      <c r="N252" s="600"/>
      <c r="O252" s="138"/>
      <c r="P252" s="195"/>
      <c r="Q252" s="180"/>
      <c r="R252" s="195"/>
      <c r="S252" s="181"/>
      <c r="T252" s="111"/>
      <c r="U252" s="151"/>
      <c r="V252" s="195"/>
      <c r="W252" s="111"/>
      <c r="X252" s="195"/>
    </row>
    <row r="253" spans="1:24" x14ac:dyDescent="0.25">
      <c r="A253" s="213">
        <v>5032</v>
      </c>
      <c r="B253" s="214" t="s">
        <v>1910</v>
      </c>
      <c r="C253" s="597" t="s">
        <v>1829</v>
      </c>
      <c r="D253" s="597" t="s">
        <v>1829</v>
      </c>
      <c r="E253" s="597" t="s">
        <v>1829</v>
      </c>
      <c r="F253" s="598">
        <v>0</v>
      </c>
      <c r="G253" s="598">
        <v>0</v>
      </c>
      <c r="H253" s="598">
        <v>0</v>
      </c>
      <c r="I253" s="598">
        <v>0</v>
      </c>
      <c r="J253" s="598">
        <v>0</v>
      </c>
      <c r="K253" s="598">
        <v>0</v>
      </c>
      <c r="L253" s="598">
        <v>0</v>
      </c>
      <c r="M253" s="600"/>
      <c r="N253" s="600"/>
      <c r="O253" s="138"/>
      <c r="P253" s="195"/>
      <c r="Q253" s="180"/>
      <c r="R253" s="195"/>
      <c r="S253" s="181"/>
      <c r="T253" s="111"/>
      <c r="U253" s="151"/>
      <c r="V253" s="195"/>
      <c r="W253" s="111"/>
      <c r="X253" s="195"/>
    </row>
    <row r="254" spans="1:24" x14ac:dyDescent="0.25">
      <c r="A254" s="213">
        <v>5033</v>
      </c>
      <c r="B254" s="214" t="s">
        <v>1911</v>
      </c>
      <c r="C254" s="597" t="s">
        <v>1829</v>
      </c>
      <c r="D254" s="597" t="s">
        <v>1829</v>
      </c>
      <c r="E254" s="597" t="s">
        <v>1829</v>
      </c>
      <c r="F254" s="598">
        <v>0</v>
      </c>
      <c r="G254" s="598">
        <v>0</v>
      </c>
      <c r="H254" s="598">
        <v>0</v>
      </c>
      <c r="I254" s="598">
        <v>0</v>
      </c>
      <c r="J254" s="598">
        <v>0</v>
      </c>
      <c r="K254" s="598">
        <v>0</v>
      </c>
      <c r="L254" s="598">
        <v>0</v>
      </c>
      <c r="M254" s="600"/>
      <c r="N254" s="600"/>
      <c r="O254" s="138"/>
      <c r="P254" s="195"/>
      <c r="Q254" s="180"/>
      <c r="R254" s="195"/>
      <c r="S254" s="181"/>
      <c r="T254" s="111"/>
      <c r="U254" s="151"/>
      <c r="V254" s="195"/>
      <c r="W254" s="111"/>
      <c r="X254" s="195"/>
    </row>
    <row r="255" spans="1:24" x14ac:dyDescent="0.25">
      <c r="A255" s="213">
        <v>5034</v>
      </c>
      <c r="B255" s="214" t="s">
        <v>1912</v>
      </c>
      <c r="C255" s="597" t="s">
        <v>1829</v>
      </c>
      <c r="D255" s="597" t="s">
        <v>1829</v>
      </c>
      <c r="E255" s="597" t="s">
        <v>1829</v>
      </c>
      <c r="F255" s="598">
        <v>0</v>
      </c>
      <c r="G255" s="598">
        <v>0</v>
      </c>
      <c r="H255" s="598">
        <v>0</v>
      </c>
      <c r="I255" s="598">
        <v>0</v>
      </c>
      <c r="J255" s="598">
        <v>0</v>
      </c>
      <c r="K255" s="598">
        <v>0</v>
      </c>
      <c r="L255" s="598">
        <v>0</v>
      </c>
      <c r="M255" s="600"/>
      <c r="N255" s="600"/>
      <c r="O255" s="138"/>
      <c r="P255" s="195"/>
      <c r="Q255" s="180"/>
      <c r="R255" s="195"/>
      <c r="S255" s="181"/>
      <c r="T255" s="111"/>
      <c r="U255" s="151"/>
      <c r="V255" s="195"/>
      <c r="W255" s="111"/>
      <c r="X255" s="195"/>
    </row>
    <row r="256" spans="1:24" x14ac:dyDescent="0.25">
      <c r="A256" s="213">
        <v>5035</v>
      </c>
      <c r="B256" s="214" t="s">
        <v>1913</v>
      </c>
      <c r="C256" s="597" t="s">
        <v>1829</v>
      </c>
      <c r="D256" s="597" t="s">
        <v>1829</v>
      </c>
      <c r="E256" s="597" t="s">
        <v>1829</v>
      </c>
      <c r="F256" s="598">
        <v>0</v>
      </c>
      <c r="G256" s="598">
        <v>0</v>
      </c>
      <c r="H256" s="598">
        <v>0</v>
      </c>
      <c r="I256" s="598">
        <v>0</v>
      </c>
      <c r="J256" s="598">
        <v>0</v>
      </c>
      <c r="K256" s="598">
        <v>0</v>
      </c>
      <c r="L256" s="598">
        <v>0</v>
      </c>
      <c r="M256" s="600"/>
      <c r="N256" s="600"/>
      <c r="O256" s="138"/>
      <c r="P256" s="195"/>
      <c r="Q256" s="180"/>
      <c r="R256" s="195"/>
      <c r="S256" s="181"/>
      <c r="T256" s="111"/>
      <c r="U256" s="151"/>
      <c r="V256" s="195"/>
      <c r="W256" s="111"/>
      <c r="X256" s="195"/>
    </row>
    <row r="257" spans="1:24" x14ac:dyDescent="0.25">
      <c r="A257" s="213">
        <v>5036</v>
      </c>
      <c r="B257" s="214" t="s">
        <v>1914</v>
      </c>
      <c r="C257" s="597" t="s">
        <v>1829</v>
      </c>
      <c r="D257" s="597" t="s">
        <v>1829</v>
      </c>
      <c r="E257" s="597" t="s">
        <v>1829</v>
      </c>
      <c r="F257" s="598">
        <v>0</v>
      </c>
      <c r="G257" s="598">
        <v>0</v>
      </c>
      <c r="H257" s="598">
        <v>0</v>
      </c>
      <c r="I257" s="598">
        <v>0</v>
      </c>
      <c r="J257" s="598">
        <v>0</v>
      </c>
      <c r="K257" s="598">
        <v>0</v>
      </c>
      <c r="L257" s="598">
        <v>0</v>
      </c>
      <c r="M257" s="600"/>
      <c r="N257" s="600"/>
      <c r="O257" s="138"/>
      <c r="P257" s="195"/>
      <c r="Q257" s="180"/>
      <c r="R257" s="195"/>
      <c r="S257" s="181"/>
      <c r="T257" s="111"/>
      <c r="U257" s="151"/>
      <c r="V257" s="195"/>
      <c r="W257" s="111"/>
      <c r="X257" s="195"/>
    </row>
    <row r="258" spans="1:24" x14ac:dyDescent="0.25">
      <c r="A258" s="213">
        <v>5038</v>
      </c>
      <c r="B258" s="214" t="s">
        <v>1915</v>
      </c>
      <c r="C258" s="597" t="s">
        <v>1829</v>
      </c>
      <c r="D258" s="597" t="s">
        <v>1829</v>
      </c>
      <c r="E258" s="597" t="s">
        <v>1829</v>
      </c>
      <c r="F258" s="598">
        <v>0</v>
      </c>
      <c r="G258" s="598">
        <v>0</v>
      </c>
      <c r="H258" s="598">
        <v>0</v>
      </c>
      <c r="I258" s="598">
        <v>0</v>
      </c>
      <c r="J258" s="598">
        <v>0</v>
      </c>
      <c r="K258" s="598">
        <v>0</v>
      </c>
      <c r="L258" s="598">
        <v>0</v>
      </c>
      <c r="M258" s="600"/>
      <c r="N258" s="600"/>
      <c r="O258" s="138"/>
      <c r="P258" s="195"/>
      <c r="Q258" s="180"/>
      <c r="R258" s="195"/>
      <c r="S258" s="181"/>
      <c r="T258" s="111"/>
      <c r="U258" s="151"/>
      <c r="V258" s="195"/>
      <c r="W258" s="111"/>
      <c r="X258" s="195"/>
    </row>
    <row r="259" spans="1:24" x14ac:dyDescent="0.25">
      <c r="A259" s="213">
        <v>5040</v>
      </c>
      <c r="B259" s="214" t="s">
        <v>1916</v>
      </c>
      <c r="C259" s="597" t="s">
        <v>1829</v>
      </c>
      <c r="D259" s="597" t="s">
        <v>1829</v>
      </c>
      <c r="E259" s="597" t="s">
        <v>1829</v>
      </c>
      <c r="F259" s="598">
        <v>0</v>
      </c>
      <c r="G259" s="598">
        <v>0</v>
      </c>
      <c r="H259" s="598">
        <v>0</v>
      </c>
      <c r="I259" s="598">
        <v>0</v>
      </c>
      <c r="J259" s="598">
        <v>0</v>
      </c>
      <c r="K259" s="598">
        <v>0</v>
      </c>
      <c r="L259" s="598">
        <v>0</v>
      </c>
      <c r="M259" s="600"/>
      <c r="N259" s="600"/>
      <c r="O259" s="138"/>
      <c r="P259" s="195"/>
      <c r="Q259" s="180"/>
      <c r="R259" s="195"/>
      <c r="S259" s="181"/>
      <c r="T259" s="111"/>
      <c r="U259" s="151"/>
      <c r="V259" s="195"/>
      <c r="W259" s="111"/>
      <c r="X259" s="195"/>
    </row>
    <row r="260" spans="1:24" x14ac:dyDescent="0.25">
      <c r="A260" s="213">
        <v>5041</v>
      </c>
      <c r="B260" s="214" t="s">
        <v>1917</v>
      </c>
      <c r="C260" s="597" t="s">
        <v>1829</v>
      </c>
      <c r="D260" s="597" t="s">
        <v>1829</v>
      </c>
      <c r="E260" s="597" t="s">
        <v>1829</v>
      </c>
      <c r="F260" s="598">
        <v>0</v>
      </c>
      <c r="G260" s="598">
        <v>0</v>
      </c>
      <c r="H260" s="598">
        <v>0</v>
      </c>
      <c r="I260" s="598">
        <v>0</v>
      </c>
      <c r="J260" s="598">
        <v>0</v>
      </c>
      <c r="K260" s="598">
        <v>0</v>
      </c>
      <c r="L260" s="598">
        <v>0</v>
      </c>
      <c r="M260" s="600"/>
      <c r="N260" s="600"/>
      <c r="O260" s="138"/>
      <c r="P260" s="195"/>
      <c r="Q260" s="180"/>
      <c r="R260" s="195"/>
      <c r="S260" s="181"/>
      <c r="T260" s="111"/>
      <c r="U260" s="151"/>
      <c r="V260" s="195"/>
      <c r="W260" s="111"/>
      <c r="X260" s="195"/>
    </row>
    <row r="261" spans="1:24" x14ac:dyDescent="0.25">
      <c r="A261" s="213">
        <v>5042</v>
      </c>
      <c r="B261" s="214" t="s">
        <v>1918</v>
      </c>
      <c r="C261" s="597" t="s">
        <v>1829</v>
      </c>
      <c r="D261" s="597" t="s">
        <v>1829</v>
      </c>
      <c r="E261" s="597" t="s">
        <v>1829</v>
      </c>
      <c r="F261" s="598">
        <v>0</v>
      </c>
      <c r="G261" s="598">
        <v>0</v>
      </c>
      <c r="H261" s="598">
        <v>0</v>
      </c>
      <c r="I261" s="598">
        <v>0</v>
      </c>
      <c r="J261" s="598">
        <v>0</v>
      </c>
      <c r="K261" s="598">
        <v>0</v>
      </c>
      <c r="L261" s="598">
        <v>0</v>
      </c>
      <c r="M261" s="600"/>
      <c r="N261" s="600"/>
      <c r="O261" s="138"/>
      <c r="P261" s="195"/>
      <c r="Q261" s="180"/>
      <c r="R261" s="195"/>
      <c r="S261" s="181"/>
      <c r="T261" s="111"/>
      <c r="U261" s="151"/>
      <c r="V261" s="195"/>
      <c r="W261" s="111"/>
      <c r="X261" s="195"/>
    </row>
    <row r="262" spans="1:24" x14ac:dyDescent="0.25">
      <c r="A262" s="213">
        <v>5043</v>
      </c>
      <c r="B262" s="214" t="s">
        <v>1919</v>
      </c>
      <c r="C262" s="597" t="s">
        <v>1829</v>
      </c>
      <c r="D262" s="597" t="s">
        <v>1829</v>
      </c>
      <c r="E262" s="597" t="s">
        <v>1829</v>
      </c>
      <c r="F262" s="598">
        <v>0</v>
      </c>
      <c r="G262" s="598">
        <v>0</v>
      </c>
      <c r="H262" s="598">
        <v>0</v>
      </c>
      <c r="I262" s="598">
        <v>0</v>
      </c>
      <c r="J262" s="598">
        <v>0</v>
      </c>
      <c r="K262" s="598">
        <v>0</v>
      </c>
      <c r="L262" s="598">
        <v>0</v>
      </c>
      <c r="M262" s="600"/>
      <c r="N262" s="600"/>
      <c r="O262" s="138"/>
      <c r="P262" s="195"/>
      <c r="Q262" s="180"/>
      <c r="R262" s="195"/>
      <c r="S262" s="181"/>
      <c r="T262" s="111"/>
      <c r="U262" s="151"/>
      <c r="V262" s="195"/>
      <c r="W262" s="111"/>
      <c r="X262" s="195"/>
    </row>
    <row r="263" spans="1:24" x14ac:dyDescent="0.25">
      <c r="A263" s="213">
        <v>5044</v>
      </c>
      <c r="B263" s="214" t="s">
        <v>1920</v>
      </c>
      <c r="C263" s="597" t="s">
        <v>1829</v>
      </c>
      <c r="D263" s="597" t="s">
        <v>1829</v>
      </c>
      <c r="E263" s="597" t="s">
        <v>1829</v>
      </c>
      <c r="F263" s="598">
        <v>0</v>
      </c>
      <c r="G263" s="598">
        <v>0</v>
      </c>
      <c r="H263" s="598">
        <v>0</v>
      </c>
      <c r="I263" s="598">
        <v>0</v>
      </c>
      <c r="J263" s="598">
        <v>0</v>
      </c>
      <c r="K263" s="598">
        <v>0</v>
      </c>
      <c r="L263" s="598">
        <v>0</v>
      </c>
      <c r="M263" s="600"/>
      <c r="N263" s="600"/>
      <c r="O263" s="138"/>
      <c r="P263" s="195"/>
      <c r="Q263" s="180"/>
      <c r="R263" s="195"/>
      <c r="S263" s="181"/>
      <c r="T263" s="111"/>
      <c r="U263" s="151"/>
      <c r="V263" s="195"/>
      <c r="W263" s="111"/>
      <c r="X263" s="195"/>
    </row>
    <row r="264" spans="1:24" x14ac:dyDescent="0.25">
      <c r="A264" s="213">
        <v>5045</v>
      </c>
      <c r="B264" s="214" t="s">
        <v>1921</v>
      </c>
      <c r="C264" s="597" t="s">
        <v>1829</v>
      </c>
      <c r="D264" s="597" t="s">
        <v>1829</v>
      </c>
      <c r="E264" s="597" t="s">
        <v>1829</v>
      </c>
      <c r="F264" s="598">
        <v>0</v>
      </c>
      <c r="G264" s="598">
        <v>0</v>
      </c>
      <c r="H264" s="598">
        <v>0</v>
      </c>
      <c r="I264" s="598">
        <v>0</v>
      </c>
      <c r="J264" s="598">
        <v>0</v>
      </c>
      <c r="K264" s="598">
        <v>0</v>
      </c>
      <c r="L264" s="598">
        <v>0</v>
      </c>
      <c r="M264" s="600"/>
      <c r="N264" s="600"/>
      <c r="O264" s="138"/>
      <c r="P264" s="195"/>
      <c r="Q264" s="180"/>
      <c r="R264" s="195"/>
      <c r="S264" s="181"/>
      <c r="T264" s="111"/>
      <c r="U264" s="151"/>
      <c r="V264" s="195"/>
      <c r="W264" s="111"/>
      <c r="X264" s="195"/>
    </row>
    <row r="265" spans="1:24" x14ac:dyDescent="0.25">
      <c r="A265" s="213">
        <v>5046</v>
      </c>
      <c r="B265" s="214" t="s">
        <v>1922</v>
      </c>
      <c r="C265" s="597" t="s">
        <v>1829</v>
      </c>
      <c r="D265" s="597" t="s">
        <v>1829</v>
      </c>
      <c r="E265" s="597" t="s">
        <v>1829</v>
      </c>
      <c r="F265" s="598">
        <v>0</v>
      </c>
      <c r="G265" s="598">
        <v>0</v>
      </c>
      <c r="H265" s="598">
        <v>0</v>
      </c>
      <c r="I265" s="598">
        <v>0</v>
      </c>
      <c r="J265" s="598">
        <v>0</v>
      </c>
      <c r="K265" s="598">
        <v>0</v>
      </c>
      <c r="L265" s="598">
        <v>0</v>
      </c>
      <c r="M265" s="600"/>
      <c r="N265" s="600"/>
      <c r="O265" s="138"/>
      <c r="P265" s="195"/>
      <c r="Q265" s="180"/>
      <c r="R265" s="195"/>
      <c r="S265" s="181"/>
      <c r="T265" s="111"/>
      <c r="U265" s="151"/>
      <c r="V265" s="195"/>
      <c r="W265" s="111"/>
      <c r="X265" s="195"/>
    </row>
    <row r="266" spans="1:24" x14ac:dyDescent="0.25">
      <c r="A266" s="213">
        <v>5047</v>
      </c>
      <c r="B266" s="214" t="s">
        <v>1923</v>
      </c>
      <c r="C266" s="597" t="s">
        <v>1829</v>
      </c>
      <c r="D266" s="597" t="s">
        <v>1829</v>
      </c>
      <c r="E266" s="597" t="s">
        <v>1829</v>
      </c>
      <c r="F266" s="598">
        <v>0</v>
      </c>
      <c r="G266" s="598">
        <v>0</v>
      </c>
      <c r="H266" s="598">
        <v>0</v>
      </c>
      <c r="I266" s="598">
        <v>0</v>
      </c>
      <c r="J266" s="598">
        <v>0</v>
      </c>
      <c r="K266" s="598">
        <v>0</v>
      </c>
      <c r="L266" s="598">
        <v>0</v>
      </c>
      <c r="M266" s="600"/>
      <c r="N266" s="600"/>
      <c r="O266" s="138"/>
      <c r="P266" s="195"/>
      <c r="Q266" s="180"/>
      <c r="R266" s="195"/>
      <c r="S266" s="181"/>
      <c r="T266" s="111"/>
      <c r="U266" s="151"/>
      <c r="V266" s="195"/>
      <c r="W266" s="111"/>
      <c r="X266" s="195"/>
    </row>
    <row r="267" spans="1:24" x14ac:dyDescent="0.25">
      <c r="A267" s="213">
        <v>5048</v>
      </c>
      <c r="B267" s="214" t="s">
        <v>1924</v>
      </c>
      <c r="C267" s="597" t="s">
        <v>1829</v>
      </c>
      <c r="D267" s="597" t="s">
        <v>1829</v>
      </c>
      <c r="E267" s="597" t="s">
        <v>1829</v>
      </c>
      <c r="F267" s="598">
        <v>0</v>
      </c>
      <c r="G267" s="598">
        <v>0</v>
      </c>
      <c r="H267" s="598">
        <v>0</v>
      </c>
      <c r="I267" s="598">
        <v>0</v>
      </c>
      <c r="J267" s="598">
        <v>0</v>
      </c>
      <c r="K267" s="598">
        <v>0</v>
      </c>
      <c r="L267" s="598">
        <v>0</v>
      </c>
      <c r="M267" s="600"/>
      <c r="N267" s="600"/>
      <c r="O267" s="138"/>
      <c r="P267" s="195"/>
      <c r="Q267" s="180"/>
      <c r="R267" s="195"/>
      <c r="S267" s="181"/>
      <c r="T267" s="111"/>
      <c r="U267" s="151"/>
      <c r="V267" s="195"/>
      <c r="W267" s="111"/>
      <c r="X267" s="195"/>
    </row>
    <row r="268" spans="1:24" x14ac:dyDescent="0.25">
      <c r="A268" s="213">
        <v>5049</v>
      </c>
      <c r="B268" s="214" t="s">
        <v>1925</v>
      </c>
      <c r="C268" s="597" t="s">
        <v>1829</v>
      </c>
      <c r="D268" s="597" t="s">
        <v>1829</v>
      </c>
      <c r="E268" s="597" t="s">
        <v>1829</v>
      </c>
      <c r="F268" s="598">
        <v>0</v>
      </c>
      <c r="G268" s="598">
        <v>0</v>
      </c>
      <c r="H268" s="598">
        <v>0</v>
      </c>
      <c r="I268" s="598">
        <v>0</v>
      </c>
      <c r="J268" s="598">
        <v>0</v>
      </c>
      <c r="K268" s="598">
        <v>0</v>
      </c>
      <c r="L268" s="598">
        <v>0</v>
      </c>
      <c r="M268" s="600"/>
      <c r="N268" s="600"/>
      <c r="O268" s="138"/>
      <c r="P268" s="195"/>
      <c r="Q268" s="180"/>
      <c r="R268" s="195"/>
      <c r="S268" s="181"/>
      <c r="T268" s="111"/>
      <c r="U268" s="151"/>
      <c r="V268" s="195"/>
      <c r="W268" s="111"/>
      <c r="X268" s="195"/>
    </row>
    <row r="269" spans="1:24" x14ac:dyDescent="0.25">
      <c r="A269" s="213">
        <v>5050</v>
      </c>
      <c r="B269" s="214" t="s">
        <v>1926</v>
      </c>
      <c r="C269" s="597" t="s">
        <v>1829</v>
      </c>
      <c r="D269" s="597" t="s">
        <v>1829</v>
      </c>
      <c r="E269" s="597" t="s">
        <v>1829</v>
      </c>
      <c r="F269" s="598">
        <v>0</v>
      </c>
      <c r="G269" s="598">
        <v>0</v>
      </c>
      <c r="H269" s="598">
        <v>0</v>
      </c>
      <c r="I269" s="598">
        <v>0</v>
      </c>
      <c r="J269" s="598">
        <v>0</v>
      </c>
      <c r="K269" s="598">
        <v>0</v>
      </c>
      <c r="L269" s="598">
        <v>0</v>
      </c>
      <c r="M269" s="600"/>
      <c r="N269" s="600"/>
      <c r="O269" s="138"/>
      <c r="P269" s="195"/>
      <c r="Q269" s="180"/>
      <c r="R269" s="195"/>
      <c r="S269" s="181"/>
      <c r="T269" s="111"/>
      <c r="U269" s="151"/>
      <c r="V269" s="195"/>
      <c r="W269" s="111"/>
      <c r="X269" s="195"/>
    </row>
    <row r="270" spans="1:24" x14ac:dyDescent="0.25">
      <c r="A270" s="213">
        <v>5051</v>
      </c>
      <c r="B270" s="214" t="s">
        <v>1927</v>
      </c>
      <c r="C270" s="597" t="s">
        <v>1829</v>
      </c>
      <c r="D270" s="597" t="s">
        <v>1829</v>
      </c>
      <c r="E270" s="597" t="s">
        <v>1829</v>
      </c>
      <c r="F270" s="598">
        <v>0</v>
      </c>
      <c r="G270" s="598">
        <v>0</v>
      </c>
      <c r="H270" s="598">
        <v>0</v>
      </c>
      <c r="I270" s="598">
        <v>0</v>
      </c>
      <c r="J270" s="598">
        <v>0</v>
      </c>
      <c r="K270" s="598">
        <v>0</v>
      </c>
      <c r="L270" s="598">
        <v>0</v>
      </c>
      <c r="M270" s="600"/>
      <c r="N270" s="600"/>
      <c r="O270" s="138"/>
      <c r="P270" s="195"/>
      <c r="Q270" s="180"/>
      <c r="R270" s="195"/>
      <c r="S270" s="181"/>
      <c r="T270" s="111"/>
      <c r="U270" s="151"/>
      <c r="V270" s="195"/>
      <c r="W270" s="111"/>
      <c r="X270" s="195"/>
    </row>
    <row r="271" spans="1:24" x14ac:dyDescent="0.25">
      <c r="A271" s="213">
        <v>5052</v>
      </c>
      <c r="B271" s="214" t="s">
        <v>1928</v>
      </c>
      <c r="C271" s="597" t="s">
        <v>1829</v>
      </c>
      <c r="D271" s="597" t="s">
        <v>1829</v>
      </c>
      <c r="E271" s="597" t="s">
        <v>1829</v>
      </c>
      <c r="F271" s="598">
        <v>0</v>
      </c>
      <c r="G271" s="598">
        <v>0</v>
      </c>
      <c r="H271" s="598">
        <v>0</v>
      </c>
      <c r="I271" s="598">
        <v>0</v>
      </c>
      <c r="J271" s="598">
        <v>0</v>
      </c>
      <c r="K271" s="598">
        <v>0</v>
      </c>
      <c r="L271" s="598">
        <v>0</v>
      </c>
      <c r="M271" s="600"/>
      <c r="N271" s="600"/>
      <c r="O271" s="138"/>
      <c r="P271" s="195"/>
      <c r="Q271" s="180"/>
      <c r="R271" s="195"/>
      <c r="S271" s="181"/>
      <c r="T271" s="111"/>
      <c r="U271" s="151"/>
      <c r="V271" s="195"/>
      <c r="W271" s="111"/>
      <c r="X271" s="195"/>
    </row>
    <row r="272" spans="1:24" x14ac:dyDescent="0.25">
      <c r="A272" s="213">
        <v>5054</v>
      </c>
      <c r="B272" s="214" t="s">
        <v>1929</v>
      </c>
      <c r="C272" s="597" t="s">
        <v>1829</v>
      </c>
      <c r="D272" s="597" t="s">
        <v>1829</v>
      </c>
      <c r="E272" s="597" t="s">
        <v>1829</v>
      </c>
      <c r="F272" s="598">
        <v>0</v>
      </c>
      <c r="G272" s="598">
        <v>0</v>
      </c>
      <c r="H272" s="598">
        <v>0</v>
      </c>
      <c r="I272" s="598">
        <v>0</v>
      </c>
      <c r="J272" s="598">
        <v>0</v>
      </c>
      <c r="K272" s="598">
        <v>0</v>
      </c>
      <c r="L272" s="598">
        <v>0</v>
      </c>
      <c r="M272" s="600"/>
      <c r="N272" s="600"/>
      <c r="O272" s="138"/>
      <c r="P272" s="195"/>
      <c r="Q272" s="180"/>
      <c r="R272" s="195"/>
      <c r="S272" s="181"/>
      <c r="T272" s="111"/>
      <c r="U272" s="151"/>
      <c r="V272" s="195"/>
      <c r="W272" s="111"/>
      <c r="X272" s="195"/>
    </row>
    <row r="273" spans="1:24" x14ac:dyDescent="0.25">
      <c r="A273" s="213">
        <v>5055</v>
      </c>
      <c r="B273" s="214" t="s">
        <v>1930</v>
      </c>
      <c r="C273" s="597" t="s">
        <v>1829</v>
      </c>
      <c r="D273" s="597" t="s">
        <v>1829</v>
      </c>
      <c r="E273" s="597" t="s">
        <v>1829</v>
      </c>
      <c r="F273" s="598">
        <v>0</v>
      </c>
      <c r="G273" s="598">
        <v>0</v>
      </c>
      <c r="H273" s="598">
        <v>0</v>
      </c>
      <c r="I273" s="598">
        <v>0</v>
      </c>
      <c r="J273" s="598">
        <v>0</v>
      </c>
      <c r="K273" s="598">
        <v>0</v>
      </c>
      <c r="L273" s="598">
        <v>0</v>
      </c>
      <c r="M273" s="600"/>
      <c r="N273" s="600"/>
      <c r="O273" s="138"/>
      <c r="P273" s="195"/>
      <c r="Q273" s="180"/>
      <c r="R273" s="195"/>
      <c r="S273" s="181"/>
      <c r="T273" s="111"/>
      <c r="U273" s="151"/>
      <c r="V273" s="195"/>
      <c r="W273" s="111"/>
      <c r="X273" s="195"/>
    </row>
    <row r="274" spans="1:24" x14ac:dyDescent="0.25">
      <c r="A274" s="213">
        <v>5056</v>
      </c>
      <c r="B274" s="214" t="s">
        <v>1931</v>
      </c>
      <c r="C274" s="597" t="s">
        <v>1829</v>
      </c>
      <c r="D274" s="597" t="s">
        <v>1829</v>
      </c>
      <c r="E274" s="597" t="s">
        <v>1829</v>
      </c>
      <c r="F274" s="598">
        <v>0</v>
      </c>
      <c r="G274" s="598">
        <v>0</v>
      </c>
      <c r="H274" s="598">
        <v>0</v>
      </c>
      <c r="I274" s="598">
        <v>0</v>
      </c>
      <c r="J274" s="598">
        <v>0</v>
      </c>
      <c r="K274" s="598">
        <v>0</v>
      </c>
      <c r="L274" s="598">
        <v>0</v>
      </c>
      <c r="M274" s="600"/>
      <c r="N274" s="600"/>
      <c r="O274" s="138"/>
      <c r="P274" s="195"/>
      <c r="Q274" s="180"/>
      <c r="R274" s="195"/>
      <c r="S274" s="181"/>
      <c r="T274" s="111"/>
      <c r="U274" s="151"/>
      <c r="V274" s="195"/>
      <c r="W274" s="111"/>
      <c r="X274" s="195"/>
    </row>
    <row r="275" spans="1:24" x14ac:dyDescent="0.25">
      <c r="A275" s="213">
        <v>5058</v>
      </c>
      <c r="B275" s="214" t="s">
        <v>1932</v>
      </c>
      <c r="C275" s="597" t="s">
        <v>1829</v>
      </c>
      <c r="D275" s="597" t="s">
        <v>1829</v>
      </c>
      <c r="E275" s="597" t="s">
        <v>1829</v>
      </c>
      <c r="F275" s="598">
        <v>0</v>
      </c>
      <c r="G275" s="598">
        <v>0</v>
      </c>
      <c r="H275" s="598">
        <v>0</v>
      </c>
      <c r="I275" s="598">
        <v>0</v>
      </c>
      <c r="J275" s="598">
        <v>0</v>
      </c>
      <c r="K275" s="598">
        <v>0</v>
      </c>
      <c r="L275" s="598">
        <v>0</v>
      </c>
      <c r="M275" s="600"/>
      <c r="N275" s="600"/>
      <c r="O275" s="138"/>
      <c r="P275" s="195"/>
      <c r="Q275" s="180"/>
      <c r="R275" s="195"/>
      <c r="S275" s="181"/>
      <c r="T275" s="111"/>
      <c r="U275" s="151"/>
      <c r="V275" s="195"/>
      <c r="W275" s="111"/>
      <c r="X275" s="195"/>
    </row>
    <row r="276" spans="1:24" x14ac:dyDescent="0.25">
      <c r="A276" s="213">
        <v>5059</v>
      </c>
      <c r="B276" s="214" t="s">
        <v>1933</v>
      </c>
      <c r="C276" s="597" t="s">
        <v>1829</v>
      </c>
      <c r="D276" s="597" t="s">
        <v>1829</v>
      </c>
      <c r="E276" s="597" t="s">
        <v>1829</v>
      </c>
      <c r="F276" s="598">
        <v>0</v>
      </c>
      <c r="G276" s="598">
        <v>0</v>
      </c>
      <c r="H276" s="598">
        <v>0</v>
      </c>
      <c r="I276" s="598">
        <v>0</v>
      </c>
      <c r="J276" s="598">
        <v>0</v>
      </c>
      <c r="K276" s="598">
        <v>0</v>
      </c>
      <c r="L276" s="598">
        <v>0</v>
      </c>
      <c r="M276" s="600"/>
      <c r="N276" s="600"/>
      <c r="O276" s="138"/>
      <c r="P276" s="195"/>
      <c r="Q276" s="180"/>
      <c r="R276" s="195"/>
      <c r="S276" s="181"/>
      <c r="T276" s="111"/>
      <c r="U276" s="151"/>
      <c r="V276" s="195"/>
      <c r="W276" s="111"/>
      <c r="X276" s="195"/>
    </row>
    <row r="277" spans="1:24" x14ac:dyDescent="0.25">
      <c r="A277" s="213">
        <v>5060</v>
      </c>
      <c r="B277" s="214" t="s">
        <v>1934</v>
      </c>
      <c r="C277" s="597" t="s">
        <v>1829</v>
      </c>
      <c r="D277" s="597" t="s">
        <v>1829</v>
      </c>
      <c r="E277" s="597" t="s">
        <v>1829</v>
      </c>
      <c r="F277" s="598">
        <v>0</v>
      </c>
      <c r="G277" s="598">
        <v>0</v>
      </c>
      <c r="H277" s="598">
        <v>0</v>
      </c>
      <c r="I277" s="598">
        <v>0</v>
      </c>
      <c r="J277" s="598">
        <v>0</v>
      </c>
      <c r="K277" s="598">
        <v>0</v>
      </c>
      <c r="L277" s="598">
        <v>0</v>
      </c>
      <c r="M277" s="600"/>
      <c r="N277" s="600"/>
      <c r="O277" s="138"/>
      <c r="P277" s="195"/>
      <c r="Q277" s="180"/>
      <c r="R277" s="195"/>
      <c r="S277" s="181"/>
      <c r="T277" s="111"/>
      <c r="U277" s="151"/>
      <c r="V277" s="195"/>
      <c r="W277" s="111"/>
      <c r="X277" s="195"/>
    </row>
    <row r="278" spans="1:24" x14ac:dyDescent="0.25">
      <c r="A278" s="213">
        <v>5061</v>
      </c>
      <c r="B278" s="214" t="s">
        <v>1935</v>
      </c>
      <c r="C278" s="597" t="s">
        <v>1829</v>
      </c>
      <c r="D278" s="597" t="s">
        <v>1829</v>
      </c>
      <c r="E278" s="597" t="s">
        <v>1829</v>
      </c>
      <c r="F278" s="598">
        <v>0</v>
      </c>
      <c r="G278" s="598">
        <v>0</v>
      </c>
      <c r="H278" s="598">
        <v>0</v>
      </c>
      <c r="I278" s="598">
        <v>0</v>
      </c>
      <c r="J278" s="598">
        <v>0</v>
      </c>
      <c r="K278" s="598">
        <v>0</v>
      </c>
      <c r="L278" s="598">
        <v>0</v>
      </c>
      <c r="M278" s="600"/>
      <c r="N278" s="600"/>
      <c r="O278" s="138"/>
      <c r="P278" s="195"/>
      <c r="Q278" s="180"/>
      <c r="R278" s="195"/>
      <c r="S278" s="181"/>
      <c r="T278" s="111"/>
      <c r="U278" s="151"/>
      <c r="V278" s="195"/>
      <c r="W278" s="111"/>
      <c r="X278" s="195"/>
    </row>
    <row r="279" spans="1:24" x14ac:dyDescent="0.25">
      <c r="A279" s="213">
        <v>5062</v>
      </c>
      <c r="B279" s="214" t="s">
        <v>1936</v>
      </c>
      <c r="C279" s="597" t="s">
        <v>1829</v>
      </c>
      <c r="D279" s="597" t="s">
        <v>1829</v>
      </c>
      <c r="E279" s="597" t="s">
        <v>1829</v>
      </c>
      <c r="F279" s="598">
        <v>0</v>
      </c>
      <c r="G279" s="598">
        <v>0</v>
      </c>
      <c r="H279" s="598">
        <v>0</v>
      </c>
      <c r="I279" s="598">
        <v>0</v>
      </c>
      <c r="J279" s="598">
        <v>0</v>
      </c>
      <c r="K279" s="598">
        <v>0</v>
      </c>
      <c r="L279" s="598">
        <v>0</v>
      </c>
      <c r="M279" s="600"/>
      <c r="N279" s="600"/>
      <c r="O279" s="138"/>
      <c r="P279" s="195"/>
      <c r="Q279" s="180"/>
      <c r="R279" s="195"/>
      <c r="S279" s="181"/>
      <c r="T279" s="111"/>
      <c r="U279" s="151"/>
      <c r="V279" s="195"/>
      <c r="W279" s="111"/>
      <c r="X279" s="195"/>
    </row>
    <row r="280" spans="1:24" x14ac:dyDescent="0.25">
      <c r="A280" s="213">
        <v>5063</v>
      </c>
      <c r="B280" s="214" t="s">
        <v>1937</v>
      </c>
      <c r="C280" s="597" t="s">
        <v>1829</v>
      </c>
      <c r="D280" s="597" t="s">
        <v>1829</v>
      </c>
      <c r="E280" s="597" t="s">
        <v>1829</v>
      </c>
      <c r="F280" s="598">
        <v>0</v>
      </c>
      <c r="G280" s="598">
        <v>0</v>
      </c>
      <c r="H280" s="598">
        <v>0</v>
      </c>
      <c r="I280" s="598">
        <v>0</v>
      </c>
      <c r="J280" s="598">
        <v>0</v>
      </c>
      <c r="K280" s="598">
        <v>0</v>
      </c>
      <c r="L280" s="598">
        <v>0</v>
      </c>
      <c r="M280" s="600"/>
      <c r="N280" s="600"/>
      <c r="O280" s="138"/>
      <c r="P280" s="195"/>
      <c r="Q280" s="180"/>
      <c r="R280" s="195"/>
      <c r="S280" s="181"/>
      <c r="T280" s="111"/>
      <c r="U280" s="151"/>
      <c r="V280" s="195"/>
      <c r="W280" s="111"/>
      <c r="X280" s="195"/>
    </row>
    <row r="281" spans="1:24" x14ac:dyDescent="0.25">
      <c r="A281" s="213">
        <v>5064</v>
      </c>
      <c r="B281" s="214" t="s">
        <v>1938</v>
      </c>
      <c r="C281" s="597" t="s">
        <v>1829</v>
      </c>
      <c r="D281" s="597" t="s">
        <v>1829</v>
      </c>
      <c r="E281" s="597" t="s">
        <v>1829</v>
      </c>
      <c r="F281" s="598">
        <v>0</v>
      </c>
      <c r="G281" s="598">
        <v>0</v>
      </c>
      <c r="H281" s="598">
        <v>0</v>
      </c>
      <c r="I281" s="598">
        <v>0</v>
      </c>
      <c r="J281" s="598">
        <v>0</v>
      </c>
      <c r="K281" s="598">
        <v>0</v>
      </c>
      <c r="L281" s="598">
        <v>0</v>
      </c>
      <c r="M281" s="600"/>
      <c r="N281" s="600"/>
      <c r="O281" s="138"/>
      <c r="P281" s="195"/>
      <c r="Q281" s="180"/>
      <c r="R281" s="195"/>
      <c r="S281" s="181"/>
      <c r="T281" s="111"/>
      <c r="U281" s="151"/>
      <c r="V281" s="195"/>
      <c r="W281" s="111"/>
      <c r="X281" s="195"/>
    </row>
    <row r="282" spans="1:24" x14ac:dyDescent="0.25">
      <c r="A282" s="213">
        <v>5065</v>
      </c>
      <c r="B282" s="214" t="s">
        <v>1939</v>
      </c>
      <c r="C282" s="597" t="s">
        <v>1829</v>
      </c>
      <c r="D282" s="597" t="s">
        <v>1829</v>
      </c>
      <c r="E282" s="597" t="s">
        <v>1829</v>
      </c>
      <c r="F282" s="598">
        <v>0</v>
      </c>
      <c r="G282" s="598">
        <v>0</v>
      </c>
      <c r="H282" s="598">
        <v>0</v>
      </c>
      <c r="I282" s="598">
        <v>0</v>
      </c>
      <c r="J282" s="598">
        <v>0</v>
      </c>
      <c r="K282" s="598">
        <v>0</v>
      </c>
      <c r="L282" s="598">
        <v>0</v>
      </c>
      <c r="M282" s="600"/>
      <c r="N282" s="600"/>
      <c r="O282" s="138"/>
      <c r="P282" s="195"/>
      <c r="Q282" s="180"/>
      <c r="R282" s="195"/>
      <c r="S282" s="181"/>
      <c r="T282" s="111"/>
      <c r="U282" s="151"/>
      <c r="V282" s="195"/>
      <c r="W282" s="111"/>
      <c r="X282" s="195"/>
    </row>
    <row r="283" spans="1:24" x14ac:dyDescent="0.25">
      <c r="A283" s="213">
        <v>5066</v>
      </c>
      <c r="B283" s="214" t="s">
        <v>1940</v>
      </c>
      <c r="C283" s="597" t="s">
        <v>1829</v>
      </c>
      <c r="D283" s="597" t="s">
        <v>1829</v>
      </c>
      <c r="E283" s="597" t="s">
        <v>1829</v>
      </c>
      <c r="F283" s="598">
        <v>0</v>
      </c>
      <c r="G283" s="598">
        <v>0</v>
      </c>
      <c r="H283" s="598">
        <v>0</v>
      </c>
      <c r="I283" s="598">
        <v>0</v>
      </c>
      <c r="J283" s="598">
        <v>0</v>
      </c>
      <c r="K283" s="598">
        <v>0</v>
      </c>
      <c r="L283" s="598">
        <v>0</v>
      </c>
      <c r="M283" s="600"/>
      <c r="N283" s="600"/>
      <c r="O283" s="138"/>
      <c r="P283" s="195"/>
      <c r="Q283" s="180"/>
      <c r="R283" s="195"/>
      <c r="S283" s="181"/>
      <c r="T283" s="111"/>
      <c r="U283" s="151"/>
      <c r="V283" s="195"/>
      <c r="W283" s="111"/>
      <c r="X283" s="195"/>
    </row>
    <row r="284" spans="1:24" x14ac:dyDescent="0.25">
      <c r="A284" s="213">
        <v>5067</v>
      </c>
      <c r="B284" s="214" t="s">
        <v>1941</v>
      </c>
      <c r="C284" s="597" t="s">
        <v>1829</v>
      </c>
      <c r="D284" s="597" t="s">
        <v>1829</v>
      </c>
      <c r="E284" s="597" t="s">
        <v>1829</v>
      </c>
      <c r="F284" s="598">
        <v>0</v>
      </c>
      <c r="G284" s="598">
        <v>0</v>
      </c>
      <c r="H284" s="598">
        <v>0</v>
      </c>
      <c r="I284" s="598">
        <v>0</v>
      </c>
      <c r="J284" s="598">
        <v>0</v>
      </c>
      <c r="K284" s="598">
        <v>0</v>
      </c>
      <c r="L284" s="598">
        <v>0</v>
      </c>
      <c r="M284" s="600"/>
      <c r="N284" s="600"/>
      <c r="O284" s="138"/>
      <c r="P284" s="195"/>
      <c r="Q284" s="180"/>
      <c r="R284" s="195"/>
      <c r="S284" s="181"/>
      <c r="T284" s="111"/>
      <c r="U284" s="151"/>
      <c r="V284" s="195"/>
      <c r="W284" s="111"/>
      <c r="X284" s="195"/>
    </row>
    <row r="285" spans="1:24" x14ac:dyDescent="0.25">
      <c r="A285" s="213">
        <v>5068</v>
      </c>
      <c r="B285" s="214" t="s">
        <v>1942</v>
      </c>
      <c r="C285" s="597" t="s">
        <v>1829</v>
      </c>
      <c r="D285" s="597" t="s">
        <v>1829</v>
      </c>
      <c r="E285" s="597" t="s">
        <v>1829</v>
      </c>
      <c r="F285" s="598">
        <v>0</v>
      </c>
      <c r="G285" s="598">
        <v>0</v>
      </c>
      <c r="H285" s="598">
        <v>0</v>
      </c>
      <c r="I285" s="598">
        <v>0</v>
      </c>
      <c r="J285" s="598">
        <v>0</v>
      </c>
      <c r="K285" s="598">
        <v>0</v>
      </c>
      <c r="L285" s="598">
        <v>0</v>
      </c>
      <c r="M285" s="600"/>
      <c r="N285" s="600"/>
      <c r="O285" s="138"/>
      <c r="P285" s="195"/>
      <c r="Q285" s="180"/>
      <c r="R285" s="195"/>
      <c r="S285" s="181"/>
      <c r="T285" s="111"/>
      <c r="U285" s="151"/>
      <c r="V285" s="195"/>
      <c r="W285" s="111"/>
      <c r="X285" s="195"/>
    </row>
    <row r="286" spans="1:24" x14ac:dyDescent="0.25">
      <c r="A286" s="213">
        <v>5071</v>
      </c>
      <c r="B286" s="214" t="s">
        <v>1943</v>
      </c>
      <c r="C286" s="597" t="s">
        <v>1829</v>
      </c>
      <c r="D286" s="597" t="s">
        <v>1829</v>
      </c>
      <c r="E286" s="597" t="s">
        <v>1829</v>
      </c>
      <c r="F286" s="598">
        <v>0</v>
      </c>
      <c r="G286" s="598">
        <v>0</v>
      </c>
      <c r="H286" s="598">
        <v>0</v>
      </c>
      <c r="I286" s="598">
        <v>0</v>
      </c>
      <c r="J286" s="598">
        <v>0</v>
      </c>
      <c r="K286" s="598">
        <v>0</v>
      </c>
      <c r="L286" s="598">
        <v>0</v>
      </c>
      <c r="M286" s="600"/>
      <c r="N286" s="600"/>
      <c r="O286" s="138"/>
      <c r="P286" s="195"/>
      <c r="Q286" s="180"/>
      <c r="R286" s="195"/>
      <c r="S286" s="181"/>
      <c r="T286" s="111"/>
      <c r="U286" s="151"/>
      <c r="V286" s="195"/>
      <c r="W286" s="111"/>
      <c r="X286" s="195"/>
    </row>
    <row r="287" spans="1:24" x14ac:dyDescent="0.25">
      <c r="A287" s="213">
        <v>5072</v>
      </c>
      <c r="B287" s="214" t="s">
        <v>1944</v>
      </c>
      <c r="C287" s="597" t="s">
        <v>1829</v>
      </c>
      <c r="D287" s="597" t="s">
        <v>1829</v>
      </c>
      <c r="E287" s="597" t="s">
        <v>1829</v>
      </c>
      <c r="F287" s="598">
        <v>0</v>
      </c>
      <c r="G287" s="598">
        <v>0</v>
      </c>
      <c r="H287" s="598">
        <v>0</v>
      </c>
      <c r="I287" s="598">
        <v>0</v>
      </c>
      <c r="J287" s="598">
        <v>0</v>
      </c>
      <c r="K287" s="598">
        <v>0</v>
      </c>
      <c r="L287" s="598">
        <v>0</v>
      </c>
      <c r="M287" s="600"/>
      <c r="N287" s="600"/>
      <c r="O287" s="138"/>
      <c r="P287" s="195"/>
      <c r="Q287" s="180"/>
      <c r="R287" s="195"/>
      <c r="S287" s="181"/>
      <c r="T287" s="111"/>
      <c r="U287" s="151"/>
      <c r="V287" s="195"/>
      <c r="W287" s="111"/>
      <c r="X287" s="195"/>
    </row>
    <row r="288" spans="1:24" x14ac:dyDescent="0.25">
      <c r="A288" s="213">
        <v>5073</v>
      </c>
      <c r="B288" s="214" t="s">
        <v>1945</v>
      </c>
      <c r="C288" s="597" t="s">
        <v>1829</v>
      </c>
      <c r="D288" s="597" t="s">
        <v>1829</v>
      </c>
      <c r="E288" s="597" t="s">
        <v>1829</v>
      </c>
      <c r="F288" s="598">
        <v>0</v>
      </c>
      <c r="G288" s="598">
        <v>0</v>
      </c>
      <c r="H288" s="598">
        <v>0</v>
      </c>
      <c r="I288" s="598">
        <v>0</v>
      </c>
      <c r="J288" s="598">
        <v>0</v>
      </c>
      <c r="K288" s="598">
        <v>0</v>
      </c>
      <c r="L288" s="598">
        <v>0</v>
      </c>
      <c r="M288" s="600"/>
      <c r="N288" s="600"/>
      <c r="O288" s="138"/>
      <c r="P288" s="195"/>
      <c r="Q288" s="180"/>
      <c r="R288" s="195"/>
      <c r="S288" s="181"/>
      <c r="T288" s="111"/>
      <c r="U288" s="151"/>
      <c r="V288" s="195"/>
      <c r="W288" s="111"/>
      <c r="X288" s="195"/>
    </row>
    <row r="289" spans="1:24" x14ac:dyDescent="0.25">
      <c r="A289" s="213">
        <v>5074</v>
      </c>
      <c r="B289" s="214" t="s">
        <v>1946</v>
      </c>
      <c r="C289" s="597" t="s">
        <v>1829</v>
      </c>
      <c r="D289" s="597" t="s">
        <v>1829</v>
      </c>
      <c r="E289" s="597" t="s">
        <v>1829</v>
      </c>
      <c r="F289" s="598">
        <v>0</v>
      </c>
      <c r="G289" s="598">
        <v>0</v>
      </c>
      <c r="H289" s="598">
        <v>0</v>
      </c>
      <c r="I289" s="598">
        <v>0</v>
      </c>
      <c r="J289" s="598">
        <v>0</v>
      </c>
      <c r="K289" s="598">
        <v>0</v>
      </c>
      <c r="L289" s="598">
        <v>0</v>
      </c>
      <c r="M289" s="600"/>
      <c r="N289" s="600"/>
      <c r="O289" s="138"/>
      <c r="P289" s="195"/>
      <c r="Q289" s="180"/>
      <c r="R289" s="195"/>
      <c r="S289" s="181"/>
      <c r="T289" s="111"/>
      <c r="U289" s="151"/>
      <c r="V289" s="195"/>
      <c r="W289" s="111"/>
      <c r="X289" s="195"/>
    </row>
    <row r="290" spans="1:24" x14ac:dyDescent="0.25">
      <c r="A290" s="213">
        <v>5075</v>
      </c>
      <c r="B290" s="214" t="s">
        <v>1947</v>
      </c>
      <c r="C290" s="597" t="s">
        <v>1829</v>
      </c>
      <c r="D290" s="597" t="s">
        <v>1829</v>
      </c>
      <c r="E290" s="597" t="s">
        <v>1829</v>
      </c>
      <c r="F290" s="598">
        <v>0</v>
      </c>
      <c r="G290" s="598">
        <v>0</v>
      </c>
      <c r="H290" s="598">
        <v>0</v>
      </c>
      <c r="I290" s="598">
        <v>0</v>
      </c>
      <c r="J290" s="598">
        <v>0</v>
      </c>
      <c r="K290" s="598">
        <v>0</v>
      </c>
      <c r="L290" s="598">
        <v>0</v>
      </c>
      <c r="M290" s="600"/>
      <c r="N290" s="600"/>
      <c r="O290" s="138"/>
      <c r="P290" s="195"/>
      <c r="Q290" s="180"/>
      <c r="R290" s="195"/>
      <c r="S290" s="181"/>
      <c r="T290" s="111"/>
      <c r="U290" s="151"/>
      <c r="V290" s="195"/>
      <c r="W290" s="111"/>
      <c r="X290" s="195"/>
    </row>
    <row r="291" spans="1:24" x14ac:dyDescent="0.25">
      <c r="A291" s="213">
        <v>5078</v>
      </c>
      <c r="B291" s="214" t="s">
        <v>1948</v>
      </c>
      <c r="C291" s="597" t="s">
        <v>1829</v>
      </c>
      <c r="D291" s="597" t="s">
        <v>1829</v>
      </c>
      <c r="E291" s="597" t="s">
        <v>1829</v>
      </c>
      <c r="F291" s="598">
        <v>0</v>
      </c>
      <c r="G291" s="598">
        <v>0</v>
      </c>
      <c r="H291" s="598">
        <v>0</v>
      </c>
      <c r="I291" s="598">
        <v>0</v>
      </c>
      <c r="J291" s="598">
        <v>0</v>
      </c>
      <c r="K291" s="598">
        <v>0</v>
      </c>
      <c r="L291" s="598">
        <v>0</v>
      </c>
      <c r="M291" s="600"/>
      <c r="N291" s="600"/>
      <c r="O291" s="138"/>
      <c r="P291" s="195"/>
      <c r="Q291" s="180"/>
      <c r="R291" s="195"/>
      <c r="S291" s="181"/>
      <c r="T291" s="111"/>
      <c r="U291" s="151"/>
      <c r="V291" s="195"/>
      <c r="W291" s="111"/>
      <c r="X291" s="195"/>
    </row>
    <row r="292" spans="1:24" x14ac:dyDescent="0.25">
      <c r="A292" s="213">
        <v>5079</v>
      </c>
      <c r="B292" s="214" t="s">
        <v>1949</v>
      </c>
      <c r="C292" s="597" t="s">
        <v>1829</v>
      </c>
      <c r="D292" s="597" t="s">
        <v>1829</v>
      </c>
      <c r="E292" s="597" t="s">
        <v>1829</v>
      </c>
      <c r="F292" s="598">
        <v>0</v>
      </c>
      <c r="G292" s="598">
        <v>0</v>
      </c>
      <c r="H292" s="598">
        <v>0</v>
      </c>
      <c r="I292" s="598">
        <v>0</v>
      </c>
      <c r="J292" s="598">
        <v>0</v>
      </c>
      <c r="K292" s="598">
        <v>0</v>
      </c>
      <c r="L292" s="598">
        <v>0</v>
      </c>
      <c r="M292" s="600"/>
      <c r="N292" s="600"/>
      <c r="O292" s="138"/>
      <c r="P292" s="195"/>
      <c r="Q292" s="180"/>
      <c r="R292" s="195"/>
      <c r="S292" s="181"/>
      <c r="T292" s="111"/>
      <c r="U292" s="151"/>
      <c r="V292" s="195"/>
      <c r="W292" s="111"/>
      <c r="X292" s="195"/>
    </row>
    <row r="293" spans="1:24" x14ac:dyDescent="0.25">
      <c r="A293" s="213">
        <v>5081</v>
      </c>
      <c r="B293" s="214" t="s">
        <v>1950</v>
      </c>
      <c r="C293" s="597" t="s">
        <v>1829</v>
      </c>
      <c r="D293" s="597" t="s">
        <v>1829</v>
      </c>
      <c r="E293" s="597" t="s">
        <v>1829</v>
      </c>
      <c r="F293" s="598">
        <v>0</v>
      </c>
      <c r="G293" s="598">
        <v>0</v>
      </c>
      <c r="H293" s="598">
        <v>0</v>
      </c>
      <c r="I293" s="598">
        <v>0</v>
      </c>
      <c r="J293" s="598">
        <v>0</v>
      </c>
      <c r="K293" s="598">
        <v>0</v>
      </c>
      <c r="L293" s="598">
        <v>0</v>
      </c>
      <c r="M293" s="600"/>
      <c r="N293" s="600"/>
      <c r="O293" s="138"/>
      <c r="P293" s="195"/>
      <c r="Q293" s="180"/>
      <c r="R293" s="195"/>
      <c r="S293" s="181"/>
      <c r="T293" s="111"/>
      <c r="U293" s="151"/>
      <c r="V293" s="195"/>
      <c r="W293" s="111"/>
      <c r="X293" s="195"/>
    </row>
    <row r="294" spans="1:24" x14ac:dyDescent="0.25">
      <c r="A294" s="213">
        <v>5082</v>
      </c>
      <c r="B294" s="214" t="s">
        <v>1951</v>
      </c>
      <c r="C294" s="597" t="s">
        <v>1829</v>
      </c>
      <c r="D294" s="597" t="s">
        <v>1829</v>
      </c>
      <c r="E294" s="597" t="s">
        <v>1829</v>
      </c>
      <c r="F294" s="598">
        <v>0</v>
      </c>
      <c r="G294" s="598">
        <v>0</v>
      </c>
      <c r="H294" s="598">
        <v>0</v>
      </c>
      <c r="I294" s="598">
        <v>0</v>
      </c>
      <c r="J294" s="598">
        <v>0</v>
      </c>
      <c r="K294" s="598">
        <v>0</v>
      </c>
      <c r="L294" s="598">
        <v>0</v>
      </c>
      <c r="M294" s="600"/>
      <c r="N294" s="600"/>
      <c r="O294" s="138"/>
      <c r="P294" s="195"/>
      <c r="Q294" s="180"/>
      <c r="R294" s="195"/>
      <c r="S294" s="181"/>
      <c r="T294" s="111"/>
      <c r="U294" s="151"/>
      <c r="V294" s="195"/>
      <c r="W294" s="111"/>
      <c r="X294" s="195"/>
    </row>
    <row r="295" spans="1:24" x14ac:dyDescent="0.25">
      <c r="A295" s="213">
        <v>5084</v>
      </c>
      <c r="B295" s="214" t="s">
        <v>1952</v>
      </c>
      <c r="C295" s="597" t="s">
        <v>1829</v>
      </c>
      <c r="D295" s="597" t="s">
        <v>1829</v>
      </c>
      <c r="E295" s="597" t="s">
        <v>1829</v>
      </c>
      <c r="F295" s="598">
        <v>0</v>
      </c>
      <c r="G295" s="598">
        <v>0</v>
      </c>
      <c r="H295" s="598">
        <v>0</v>
      </c>
      <c r="I295" s="598">
        <v>0</v>
      </c>
      <c r="J295" s="598">
        <v>0</v>
      </c>
      <c r="K295" s="598">
        <v>0</v>
      </c>
      <c r="L295" s="598">
        <v>0</v>
      </c>
      <c r="M295" s="600"/>
      <c r="N295" s="600"/>
      <c r="O295" s="138"/>
      <c r="P295" s="195"/>
      <c r="Q295" s="180"/>
      <c r="R295" s="195"/>
      <c r="S295" s="181"/>
      <c r="T295" s="111"/>
      <c r="U295" s="151"/>
      <c r="V295" s="195"/>
      <c r="W295" s="111"/>
      <c r="X295" s="195"/>
    </row>
    <row r="296" spans="1:24" x14ac:dyDescent="0.25">
      <c r="A296" s="213">
        <v>5085</v>
      </c>
      <c r="B296" s="214" t="s">
        <v>1953</v>
      </c>
      <c r="C296" s="597" t="s">
        <v>1829</v>
      </c>
      <c r="D296" s="597" t="s">
        <v>1829</v>
      </c>
      <c r="E296" s="597" t="s">
        <v>1829</v>
      </c>
      <c r="F296" s="598">
        <v>0</v>
      </c>
      <c r="G296" s="598">
        <v>0</v>
      </c>
      <c r="H296" s="598">
        <v>0</v>
      </c>
      <c r="I296" s="598">
        <v>0</v>
      </c>
      <c r="J296" s="598">
        <v>0</v>
      </c>
      <c r="K296" s="598">
        <v>0</v>
      </c>
      <c r="L296" s="598">
        <v>0</v>
      </c>
      <c r="M296" s="600"/>
      <c r="N296" s="600"/>
      <c r="O296" s="138"/>
      <c r="P296" s="195"/>
      <c r="Q296" s="180"/>
      <c r="R296" s="195"/>
      <c r="S296" s="181"/>
      <c r="T296" s="111"/>
      <c r="U296" s="151"/>
      <c r="V296" s="195"/>
      <c r="W296" s="111"/>
      <c r="X296" s="195"/>
    </row>
    <row r="297" spans="1:24" x14ac:dyDescent="0.25">
      <c r="A297" s="213">
        <v>5086</v>
      </c>
      <c r="B297" s="214" t="s">
        <v>1954</v>
      </c>
      <c r="C297" s="597" t="s">
        <v>1829</v>
      </c>
      <c r="D297" s="597" t="s">
        <v>1829</v>
      </c>
      <c r="E297" s="597" t="s">
        <v>1829</v>
      </c>
      <c r="F297" s="598">
        <v>0</v>
      </c>
      <c r="G297" s="598">
        <v>0</v>
      </c>
      <c r="H297" s="598">
        <v>0</v>
      </c>
      <c r="I297" s="598">
        <v>0</v>
      </c>
      <c r="J297" s="598">
        <v>0</v>
      </c>
      <c r="K297" s="598">
        <v>0</v>
      </c>
      <c r="L297" s="598">
        <v>0</v>
      </c>
      <c r="M297" s="600"/>
      <c r="N297" s="600"/>
      <c r="O297" s="138"/>
      <c r="P297" s="195"/>
      <c r="Q297" s="180"/>
      <c r="R297" s="195"/>
      <c r="S297" s="181"/>
      <c r="T297" s="111"/>
      <c r="U297" s="151"/>
      <c r="V297" s="195"/>
      <c r="W297" s="111"/>
      <c r="X297" s="195"/>
    </row>
    <row r="298" spans="1:24" x14ac:dyDescent="0.25">
      <c r="A298" s="213">
        <v>5087</v>
      </c>
      <c r="B298" s="214" t="s">
        <v>1955</v>
      </c>
      <c r="C298" s="597" t="s">
        <v>1829</v>
      </c>
      <c r="D298" s="597" t="s">
        <v>1829</v>
      </c>
      <c r="E298" s="597" t="s">
        <v>1829</v>
      </c>
      <c r="F298" s="598">
        <v>0</v>
      </c>
      <c r="G298" s="598">
        <v>0</v>
      </c>
      <c r="H298" s="598">
        <v>0</v>
      </c>
      <c r="I298" s="598">
        <v>0</v>
      </c>
      <c r="J298" s="598">
        <v>0</v>
      </c>
      <c r="K298" s="598">
        <v>0</v>
      </c>
      <c r="L298" s="598">
        <v>0</v>
      </c>
      <c r="M298" s="600"/>
      <c r="N298" s="600"/>
      <c r="O298" s="138"/>
      <c r="P298" s="195"/>
      <c r="Q298" s="180"/>
      <c r="R298" s="195"/>
      <c r="S298" s="181"/>
      <c r="T298" s="111"/>
      <c r="U298" s="151"/>
      <c r="V298" s="195"/>
      <c r="W298" s="111"/>
      <c r="X298" s="195"/>
    </row>
    <row r="299" spans="1:24" x14ac:dyDescent="0.25">
      <c r="A299" s="213">
        <v>5088</v>
      </c>
      <c r="B299" s="214" t="s">
        <v>1956</v>
      </c>
      <c r="C299" s="597" t="s">
        <v>1829</v>
      </c>
      <c r="D299" s="597" t="s">
        <v>1829</v>
      </c>
      <c r="E299" s="597" t="s">
        <v>1829</v>
      </c>
      <c r="F299" s="598">
        <v>0</v>
      </c>
      <c r="G299" s="598">
        <v>0</v>
      </c>
      <c r="H299" s="598">
        <v>0</v>
      </c>
      <c r="I299" s="598">
        <v>0</v>
      </c>
      <c r="J299" s="598">
        <v>0</v>
      </c>
      <c r="K299" s="598">
        <v>0</v>
      </c>
      <c r="L299" s="598">
        <v>0</v>
      </c>
      <c r="M299" s="600"/>
      <c r="N299" s="600"/>
      <c r="O299" s="138"/>
      <c r="P299" s="195"/>
      <c r="Q299" s="180"/>
      <c r="R299" s="195"/>
      <c r="S299" s="181"/>
      <c r="T299" s="111"/>
      <c r="U299" s="151"/>
      <c r="V299" s="195"/>
      <c r="W299" s="111"/>
      <c r="X299" s="195"/>
    </row>
    <row r="300" spans="1:24" x14ac:dyDescent="0.25">
      <c r="A300" s="213">
        <v>5089</v>
      </c>
      <c r="B300" s="214" t="s">
        <v>1957</v>
      </c>
      <c r="C300" s="597" t="s">
        <v>1829</v>
      </c>
      <c r="D300" s="597" t="s">
        <v>1829</v>
      </c>
      <c r="E300" s="597" t="s">
        <v>1829</v>
      </c>
      <c r="F300" s="598">
        <v>0</v>
      </c>
      <c r="G300" s="598">
        <v>0</v>
      </c>
      <c r="H300" s="598">
        <v>0</v>
      </c>
      <c r="I300" s="598">
        <v>0</v>
      </c>
      <c r="J300" s="598">
        <v>0</v>
      </c>
      <c r="K300" s="598">
        <v>0</v>
      </c>
      <c r="L300" s="598">
        <v>0</v>
      </c>
      <c r="M300" s="600"/>
      <c r="N300" s="600"/>
      <c r="O300" s="138"/>
      <c r="P300" s="195"/>
      <c r="Q300" s="180"/>
      <c r="R300" s="195"/>
      <c r="S300" s="181"/>
      <c r="T300" s="111"/>
      <c r="U300" s="151"/>
      <c r="V300" s="195"/>
      <c r="W300" s="111"/>
      <c r="X300" s="195"/>
    </row>
    <row r="301" spans="1:24" x14ac:dyDescent="0.25">
      <c r="A301" s="213">
        <v>5091</v>
      </c>
      <c r="B301" s="214" t="s">
        <v>1958</v>
      </c>
      <c r="C301" s="597" t="s">
        <v>1829</v>
      </c>
      <c r="D301" s="597" t="s">
        <v>1829</v>
      </c>
      <c r="E301" s="597" t="s">
        <v>1829</v>
      </c>
      <c r="F301" s="598">
        <v>0</v>
      </c>
      <c r="G301" s="598">
        <v>0</v>
      </c>
      <c r="H301" s="598">
        <v>0</v>
      </c>
      <c r="I301" s="598">
        <v>0</v>
      </c>
      <c r="J301" s="598">
        <v>0</v>
      </c>
      <c r="K301" s="598">
        <v>0</v>
      </c>
      <c r="L301" s="598">
        <v>0</v>
      </c>
      <c r="M301" s="600"/>
      <c r="N301" s="600"/>
      <c r="O301" s="138"/>
      <c r="P301" s="195"/>
      <c r="Q301" s="180"/>
      <c r="R301" s="195"/>
      <c r="S301" s="181"/>
      <c r="T301" s="111"/>
      <c r="U301" s="151"/>
      <c r="V301" s="195"/>
      <c r="W301" s="111"/>
      <c r="X301" s="195"/>
    </row>
    <row r="302" spans="1:24" x14ac:dyDescent="0.25">
      <c r="A302" s="213">
        <v>5092</v>
      </c>
      <c r="B302" s="214" t="s">
        <v>1959</v>
      </c>
      <c r="C302" s="597" t="s">
        <v>1829</v>
      </c>
      <c r="D302" s="597" t="s">
        <v>1829</v>
      </c>
      <c r="E302" s="597" t="s">
        <v>1829</v>
      </c>
      <c r="F302" s="598">
        <v>0</v>
      </c>
      <c r="G302" s="598">
        <v>0</v>
      </c>
      <c r="H302" s="598">
        <v>0</v>
      </c>
      <c r="I302" s="598">
        <v>0</v>
      </c>
      <c r="J302" s="598">
        <v>0</v>
      </c>
      <c r="K302" s="598">
        <v>0</v>
      </c>
      <c r="L302" s="598">
        <v>0</v>
      </c>
      <c r="M302" s="600"/>
      <c r="N302" s="600"/>
      <c r="O302" s="138"/>
      <c r="P302" s="195"/>
      <c r="Q302" s="180"/>
      <c r="R302" s="195"/>
      <c r="S302" s="181"/>
      <c r="T302" s="111"/>
      <c r="U302" s="151"/>
      <c r="V302" s="195"/>
      <c r="W302" s="111"/>
      <c r="X302" s="195"/>
    </row>
    <row r="303" spans="1:24" x14ac:dyDescent="0.25">
      <c r="A303" s="213">
        <v>5093</v>
      </c>
      <c r="B303" s="214" t="s">
        <v>1960</v>
      </c>
      <c r="C303" s="597" t="s">
        <v>1829</v>
      </c>
      <c r="D303" s="597" t="s">
        <v>1829</v>
      </c>
      <c r="E303" s="597" t="s">
        <v>1829</v>
      </c>
      <c r="F303" s="598">
        <v>0</v>
      </c>
      <c r="G303" s="598">
        <v>0</v>
      </c>
      <c r="H303" s="598">
        <v>0</v>
      </c>
      <c r="I303" s="598">
        <v>0</v>
      </c>
      <c r="J303" s="598">
        <v>0</v>
      </c>
      <c r="K303" s="598">
        <v>0</v>
      </c>
      <c r="L303" s="598">
        <v>0</v>
      </c>
      <c r="M303" s="600"/>
      <c r="N303" s="600"/>
      <c r="O303" s="138"/>
      <c r="P303" s="195"/>
      <c r="Q303" s="180"/>
      <c r="R303" s="195"/>
      <c r="S303" s="181"/>
      <c r="T303" s="111"/>
      <c r="U303" s="151"/>
      <c r="V303" s="195"/>
      <c r="W303" s="111"/>
      <c r="X303" s="195"/>
    </row>
    <row r="304" spans="1:24" x14ac:dyDescent="0.25">
      <c r="A304" s="213">
        <v>5094</v>
      </c>
      <c r="B304" s="214" t="s">
        <v>1961</v>
      </c>
      <c r="C304" s="597" t="s">
        <v>1829</v>
      </c>
      <c r="D304" s="597" t="s">
        <v>1829</v>
      </c>
      <c r="E304" s="597" t="s">
        <v>1829</v>
      </c>
      <c r="F304" s="598">
        <v>0</v>
      </c>
      <c r="G304" s="598">
        <v>0</v>
      </c>
      <c r="H304" s="598">
        <v>0</v>
      </c>
      <c r="I304" s="598">
        <v>0</v>
      </c>
      <c r="J304" s="598">
        <v>0</v>
      </c>
      <c r="K304" s="598">
        <v>0</v>
      </c>
      <c r="L304" s="598">
        <v>0</v>
      </c>
      <c r="M304" s="600"/>
      <c r="N304" s="600"/>
      <c r="O304" s="138"/>
      <c r="P304" s="195"/>
      <c r="Q304" s="180"/>
      <c r="R304" s="195"/>
      <c r="S304" s="181"/>
      <c r="T304" s="111"/>
      <c r="U304" s="151"/>
      <c r="V304" s="195"/>
      <c r="W304" s="111"/>
      <c r="X304" s="195"/>
    </row>
    <row r="305" spans="1:24" x14ac:dyDescent="0.25">
      <c r="A305" s="213">
        <v>5095</v>
      </c>
      <c r="B305" s="214" t="s">
        <v>1962</v>
      </c>
      <c r="C305" s="597" t="s">
        <v>1829</v>
      </c>
      <c r="D305" s="597" t="s">
        <v>1829</v>
      </c>
      <c r="E305" s="597" t="s">
        <v>1829</v>
      </c>
      <c r="F305" s="598">
        <v>0</v>
      </c>
      <c r="G305" s="598">
        <v>0</v>
      </c>
      <c r="H305" s="598">
        <v>0</v>
      </c>
      <c r="I305" s="598">
        <v>0</v>
      </c>
      <c r="J305" s="598">
        <v>0</v>
      </c>
      <c r="K305" s="598">
        <v>0</v>
      </c>
      <c r="L305" s="598">
        <v>0</v>
      </c>
      <c r="M305" s="600"/>
      <c r="N305" s="600"/>
      <c r="O305" s="138"/>
      <c r="P305" s="195"/>
      <c r="Q305" s="180"/>
      <c r="R305" s="195"/>
      <c r="S305" s="181"/>
      <c r="T305" s="111"/>
      <c r="U305" s="151"/>
      <c r="V305" s="195"/>
      <c r="W305" s="111"/>
      <c r="X305" s="195"/>
    </row>
    <row r="306" spans="1:24" x14ac:dyDescent="0.25">
      <c r="A306" s="213">
        <v>5096</v>
      </c>
      <c r="B306" s="214" t="s">
        <v>1963</v>
      </c>
      <c r="C306" s="597" t="s">
        <v>1829</v>
      </c>
      <c r="D306" s="597" t="s">
        <v>1829</v>
      </c>
      <c r="E306" s="597" t="s">
        <v>1829</v>
      </c>
      <c r="F306" s="598">
        <v>0</v>
      </c>
      <c r="G306" s="598">
        <v>0</v>
      </c>
      <c r="H306" s="598">
        <v>0</v>
      </c>
      <c r="I306" s="598">
        <v>0</v>
      </c>
      <c r="J306" s="598">
        <v>0</v>
      </c>
      <c r="K306" s="598">
        <v>0</v>
      </c>
      <c r="L306" s="598">
        <v>0</v>
      </c>
      <c r="M306" s="600"/>
      <c r="N306" s="600"/>
      <c r="O306" s="138"/>
      <c r="P306" s="195"/>
      <c r="Q306" s="180"/>
      <c r="R306" s="195"/>
      <c r="S306" s="181"/>
      <c r="T306" s="111"/>
      <c r="U306" s="151"/>
      <c r="V306" s="195"/>
      <c r="W306" s="111"/>
      <c r="X306" s="195"/>
    </row>
    <row r="307" spans="1:24" x14ac:dyDescent="0.25">
      <c r="A307" s="213">
        <v>5097</v>
      </c>
      <c r="B307" s="214" t="s">
        <v>1964</v>
      </c>
      <c r="C307" s="597" t="s">
        <v>1829</v>
      </c>
      <c r="D307" s="597" t="s">
        <v>1829</v>
      </c>
      <c r="E307" s="597" t="s">
        <v>1829</v>
      </c>
      <c r="F307" s="598">
        <v>0</v>
      </c>
      <c r="G307" s="598">
        <v>0</v>
      </c>
      <c r="H307" s="598">
        <v>0</v>
      </c>
      <c r="I307" s="598">
        <v>0</v>
      </c>
      <c r="J307" s="598">
        <v>0</v>
      </c>
      <c r="K307" s="598">
        <v>0</v>
      </c>
      <c r="L307" s="598">
        <v>0</v>
      </c>
      <c r="M307" s="600"/>
      <c r="N307" s="600"/>
      <c r="O307" s="138"/>
      <c r="P307" s="195"/>
      <c r="Q307" s="180"/>
      <c r="R307" s="195"/>
      <c r="S307" s="181"/>
      <c r="T307" s="111"/>
      <c r="U307" s="151"/>
      <c r="V307" s="195"/>
      <c r="W307" s="111"/>
      <c r="X307" s="195"/>
    </row>
    <row r="308" spans="1:24" x14ac:dyDescent="0.25">
      <c r="A308" s="213">
        <v>5100</v>
      </c>
      <c r="B308" s="214" t="s">
        <v>1965</v>
      </c>
      <c r="C308" s="597" t="s">
        <v>1829</v>
      </c>
      <c r="D308" s="597" t="s">
        <v>1829</v>
      </c>
      <c r="E308" s="597" t="s">
        <v>1829</v>
      </c>
      <c r="F308" s="598">
        <v>0</v>
      </c>
      <c r="G308" s="598">
        <v>0</v>
      </c>
      <c r="H308" s="598">
        <v>0</v>
      </c>
      <c r="I308" s="598">
        <v>0</v>
      </c>
      <c r="J308" s="598">
        <v>0</v>
      </c>
      <c r="K308" s="598">
        <v>0</v>
      </c>
      <c r="L308" s="598">
        <v>0</v>
      </c>
      <c r="M308" s="600"/>
      <c r="N308" s="600"/>
      <c r="O308" s="138"/>
      <c r="P308" s="195"/>
      <c r="Q308" s="180"/>
      <c r="R308" s="195"/>
      <c r="S308" s="181"/>
      <c r="T308" s="111"/>
      <c r="U308" s="151"/>
      <c r="V308" s="195"/>
      <c r="W308" s="111"/>
      <c r="X308" s="195"/>
    </row>
    <row r="309" spans="1:24" x14ac:dyDescent="0.25">
      <c r="A309" s="213">
        <v>5101</v>
      </c>
      <c r="B309" s="214" t="s">
        <v>1966</v>
      </c>
      <c r="C309" s="597" t="s">
        <v>1829</v>
      </c>
      <c r="D309" s="597" t="s">
        <v>1829</v>
      </c>
      <c r="E309" s="597" t="s">
        <v>1829</v>
      </c>
      <c r="F309" s="598">
        <v>0</v>
      </c>
      <c r="G309" s="598">
        <v>0</v>
      </c>
      <c r="H309" s="598">
        <v>0</v>
      </c>
      <c r="I309" s="598">
        <v>0</v>
      </c>
      <c r="J309" s="598">
        <v>0</v>
      </c>
      <c r="K309" s="598">
        <v>0</v>
      </c>
      <c r="L309" s="598">
        <v>0</v>
      </c>
      <c r="M309" s="600"/>
      <c r="N309" s="600"/>
      <c r="O309" s="138"/>
      <c r="P309" s="195"/>
      <c r="Q309" s="180"/>
      <c r="R309" s="195"/>
      <c r="S309" s="181"/>
      <c r="T309" s="111"/>
      <c r="U309" s="151"/>
      <c r="V309" s="195"/>
      <c r="W309" s="111"/>
      <c r="X309" s="195"/>
    </row>
    <row r="310" spans="1:24" x14ac:dyDescent="0.25">
      <c r="A310" s="213">
        <v>5107</v>
      </c>
      <c r="B310" s="214" t="s">
        <v>1967</v>
      </c>
      <c r="C310" s="597" t="s">
        <v>1829</v>
      </c>
      <c r="D310" s="597" t="s">
        <v>1829</v>
      </c>
      <c r="E310" s="597" t="s">
        <v>1829</v>
      </c>
      <c r="F310" s="598">
        <v>0</v>
      </c>
      <c r="G310" s="598">
        <v>0</v>
      </c>
      <c r="H310" s="598">
        <v>0</v>
      </c>
      <c r="I310" s="598">
        <v>0</v>
      </c>
      <c r="J310" s="598">
        <v>0</v>
      </c>
      <c r="K310" s="598">
        <v>0</v>
      </c>
      <c r="L310" s="598">
        <v>0</v>
      </c>
      <c r="M310" s="600"/>
      <c r="N310" s="600"/>
      <c r="O310" s="138"/>
      <c r="P310" s="195"/>
      <c r="Q310" s="180"/>
      <c r="R310" s="195"/>
      <c r="S310" s="181"/>
      <c r="T310" s="111"/>
      <c r="U310" s="151"/>
      <c r="V310" s="195"/>
      <c r="W310" s="111"/>
      <c r="X310" s="195"/>
    </row>
    <row r="311" spans="1:24" x14ac:dyDescent="0.25">
      <c r="A311" s="213">
        <v>5109</v>
      </c>
      <c r="B311" s="214" t="s">
        <v>1968</v>
      </c>
      <c r="C311" s="597" t="s">
        <v>1829</v>
      </c>
      <c r="D311" s="597" t="s">
        <v>1829</v>
      </c>
      <c r="E311" s="597" t="s">
        <v>1829</v>
      </c>
      <c r="F311" s="598">
        <v>0</v>
      </c>
      <c r="G311" s="598">
        <v>0</v>
      </c>
      <c r="H311" s="598">
        <v>0</v>
      </c>
      <c r="I311" s="598">
        <v>0</v>
      </c>
      <c r="J311" s="598">
        <v>0</v>
      </c>
      <c r="K311" s="598">
        <v>0</v>
      </c>
      <c r="L311" s="598">
        <v>0</v>
      </c>
      <c r="M311" s="600"/>
      <c r="N311" s="600"/>
      <c r="O311" s="138"/>
      <c r="P311" s="195"/>
      <c r="Q311" s="180"/>
      <c r="R311" s="195"/>
      <c r="S311" s="181"/>
      <c r="T311" s="111"/>
      <c r="U311" s="151"/>
      <c r="V311" s="195"/>
      <c r="W311" s="111"/>
      <c r="X311" s="195"/>
    </row>
    <row r="312" spans="1:24" x14ac:dyDescent="0.25">
      <c r="A312" s="213">
        <v>5110</v>
      </c>
      <c r="B312" s="214" t="s">
        <v>1969</v>
      </c>
      <c r="C312" s="597" t="s">
        <v>1829</v>
      </c>
      <c r="D312" s="597" t="s">
        <v>1829</v>
      </c>
      <c r="E312" s="597" t="s">
        <v>1829</v>
      </c>
      <c r="F312" s="598">
        <v>0</v>
      </c>
      <c r="G312" s="598">
        <v>0</v>
      </c>
      <c r="H312" s="598">
        <v>0</v>
      </c>
      <c r="I312" s="598">
        <v>0</v>
      </c>
      <c r="J312" s="598">
        <v>0</v>
      </c>
      <c r="K312" s="598">
        <v>0</v>
      </c>
      <c r="L312" s="598">
        <v>0</v>
      </c>
      <c r="M312" s="600"/>
      <c r="N312" s="600"/>
      <c r="O312" s="138"/>
      <c r="P312" s="195"/>
      <c r="Q312" s="180"/>
      <c r="R312" s="195"/>
      <c r="S312" s="181"/>
      <c r="T312" s="111"/>
      <c r="U312" s="151"/>
      <c r="V312" s="195"/>
      <c r="W312" s="111"/>
      <c r="X312" s="195"/>
    </row>
    <row r="313" spans="1:24" x14ac:dyDescent="0.25">
      <c r="A313" s="213">
        <v>5115</v>
      </c>
      <c r="B313" s="214" t="s">
        <v>1970</v>
      </c>
      <c r="C313" s="597" t="s">
        <v>1829</v>
      </c>
      <c r="D313" s="597" t="s">
        <v>1829</v>
      </c>
      <c r="E313" s="597" t="s">
        <v>1829</v>
      </c>
      <c r="F313" s="598">
        <v>0</v>
      </c>
      <c r="G313" s="598">
        <v>0</v>
      </c>
      <c r="H313" s="598">
        <v>0</v>
      </c>
      <c r="I313" s="598">
        <v>0</v>
      </c>
      <c r="J313" s="598">
        <v>0</v>
      </c>
      <c r="K313" s="598">
        <v>0</v>
      </c>
      <c r="L313" s="598">
        <v>0</v>
      </c>
      <c r="M313" s="600"/>
      <c r="N313" s="600"/>
      <c r="O313" s="138"/>
      <c r="P313" s="195"/>
      <c r="Q313" s="180"/>
      <c r="R313" s="195"/>
      <c r="S313" s="181"/>
      <c r="T313" s="111"/>
      <c r="U313" s="151"/>
      <c r="V313" s="195"/>
      <c r="W313" s="111"/>
      <c r="X313" s="195"/>
    </row>
    <row r="314" spans="1:24" x14ac:dyDescent="0.25">
      <c r="A314" s="213">
        <v>5116</v>
      </c>
      <c r="B314" s="214" t="s">
        <v>1971</v>
      </c>
      <c r="C314" s="597" t="s">
        <v>1829</v>
      </c>
      <c r="D314" s="597" t="s">
        <v>1829</v>
      </c>
      <c r="E314" s="597" t="s">
        <v>1829</v>
      </c>
      <c r="F314" s="598">
        <v>0</v>
      </c>
      <c r="G314" s="598">
        <v>0</v>
      </c>
      <c r="H314" s="598">
        <v>0</v>
      </c>
      <c r="I314" s="598">
        <v>0</v>
      </c>
      <c r="J314" s="598">
        <v>0</v>
      </c>
      <c r="K314" s="598">
        <v>0</v>
      </c>
      <c r="L314" s="598">
        <v>0</v>
      </c>
      <c r="M314" s="600"/>
      <c r="N314" s="600"/>
      <c r="O314" s="138"/>
      <c r="P314" s="195"/>
      <c r="Q314" s="180"/>
      <c r="R314" s="195"/>
      <c r="S314" s="181"/>
      <c r="T314" s="111"/>
      <c r="U314" s="151"/>
      <c r="V314" s="195"/>
      <c r="W314" s="111"/>
      <c r="X314" s="195"/>
    </row>
    <row r="315" spans="1:24" x14ac:dyDescent="0.25">
      <c r="A315" s="213">
        <v>5134</v>
      </c>
      <c r="B315" s="214" t="s">
        <v>1972</v>
      </c>
      <c r="C315" s="597" t="s">
        <v>1829</v>
      </c>
      <c r="D315" s="597" t="s">
        <v>1829</v>
      </c>
      <c r="E315" s="597" t="s">
        <v>1829</v>
      </c>
      <c r="F315" s="598">
        <v>0</v>
      </c>
      <c r="G315" s="598">
        <v>0</v>
      </c>
      <c r="H315" s="598">
        <v>0</v>
      </c>
      <c r="I315" s="598">
        <v>0</v>
      </c>
      <c r="J315" s="598">
        <v>0</v>
      </c>
      <c r="K315" s="598">
        <v>0</v>
      </c>
      <c r="L315" s="598">
        <v>0</v>
      </c>
      <c r="M315" s="600"/>
      <c r="N315" s="600"/>
      <c r="O315" s="138"/>
      <c r="P315" s="195"/>
      <c r="Q315" s="180"/>
      <c r="R315" s="195"/>
      <c r="S315" s="181"/>
      <c r="T315" s="111"/>
      <c r="U315" s="151"/>
      <c r="V315" s="195"/>
      <c r="W315" s="111"/>
      <c r="X315" s="195"/>
    </row>
    <row r="316" spans="1:24" x14ac:dyDescent="0.25">
      <c r="A316" s="213">
        <v>5141</v>
      </c>
      <c r="B316" s="214" t="s">
        <v>1973</v>
      </c>
      <c r="C316" s="597" t="s">
        <v>1829</v>
      </c>
      <c r="D316" s="597" t="s">
        <v>1829</v>
      </c>
      <c r="E316" s="597" t="s">
        <v>1829</v>
      </c>
      <c r="F316" s="598">
        <v>0</v>
      </c>
      <c r="G316" s="598">
        <v>0</v>
      </c>
      <c r="H316" s="598">
        <v>0</v>
      </c>
      <c r="I316" s="598">
        <v>0</v>
      </c>
      <c r="J316" s="598">
        <v>0</v>
      </c>
      <c r="K316" s="598">
        <v>0</v>
      </c>
      <c r="L316" s="598">
        <v>0</v>
      </c>
      <c r="M316" s="600"/>
      <c r="N316" s="600"/>
      <c r="O316" s="138"/>
      <c r="P316" s="195"/>
      <c r="Q316" s="180"/>
      <c r="R316" s="195"/>
      <c r="S316" s="181"/>
      <c r="T316" s="111"/>
      <c r="U316" s="151"/>
      <c r="V316" s="195"/>
      <c r="W316" s="111"/>
      <c r="X316" s="195"/>
    </row>
    <row r="317" spans="1:24" x14ac:dyDescent="0.25">
      <c r="A317" s="213">
        <v>5150</v>
      </c>
      <c r="B317" s="214" t="s">
        <v>1974</v>
      </c>
      <c r="C317" s="597" t="s">
        <v>1829</v>
      </c>
      <c r="D317" s="597" t="s">
        <v>1829</v>
      </c>
      <c r="E317" s="597" t="s">
        <v>1829</v>
      </c>
      <c r="F317" s="598">
        <v>0</v>
      </c>
      <c r="G317" s="598">
        <v>0</v>
      </c>
      <c r="H317" s="598">
        <v>0</v>
      </c>
      <c r="I317" s="598">
        <v>0</v>
      </c>
      <c r="J317" s="598">
        <v>0</v>
      </c>
      <c r="K317" s="598">
        <v>0</v>
      </c>
      <c r="L317" s="598">
        <v>0</v>
      </c>
      <c r="M317" s="600"/>
      <c r="N317" s="600"/>
      <c r="O317" s="138"/>
      <c r="P317" s="195"/>
      <c r="Q317" s="180"/>
      <c r="R317" s="195"/>
      <c r="S317" s="181"/>
      <c r="T317" s="111"/>
      <c r="U317" s="151"/>
      <c r="V317" s="195"/>
      <c r="W317" s="111"/>
      <c r="X317" s="195"/>
    </row>
    <row r="318" spans="1:24" x14ac:dyDescent="0.25">
      <c r="A318" s="213">
        <v>5158</v>
      </c>
      <c r="B318" s="214" t="s">
        <v>1975</v>
      </c>
      <c r="C318" s="597" t="s">
        <v>1829</v>
      </c>
      <c r="D318" s="597" t="s">
        <v>1829</v>
      </c>
      <c r="E318" s="597" t="s">
        <v>1829</v>
      </c>
      <c r="F318" s="598">
        <v>0</v>
      </c>
      <c r="G318" s="598">
        <v>0</v>
      </c>
      <c r="H318" s="598">
        <v>0</v>
      </c>
      <c r="I318" s="598">
        <v>0</v>
      </c>
      <c r="J318" s="598">
        <v>0</v>
      </c>
      <c r="K318" s="598">
        <v>0</v>
      </c>
      <c r="L318" s="598">
        <v>0</v>
      </c>
      <c r="M318" s="600"/>
      <c r="N318" s="600"/>
      <c r="O318" s="138"/>
      <c r="P318" s="195"/>
      <c r="Q318" s="180"/>
      <c r="R318" s="195"/>
      <c r="S318" s="181"/>
      <c r="T318" s="111"/>
      <c r="U318" s="151"/>
      <c r="V318" s="195"/>
      <c r="W318" s="111"/>
      <c r="X318" s="195"/>
    </row>
    <row r="319" spans="1:24" x14ac:dyDescent="0.25">
      <c r="A319" s="213">
        <v>5161</v>
      </c>
      <c r="B319" s="214" t="s">
        <v>1976</v>
      </c>
      <c r="C319" s="597" t="s">
        <v>1829</v>
      </c>
      <c r="D319" s="597" t="s">
        <v>1829</v>
      </c>
      <c r="E319" s="597" t="s">
        <v>1829</v>
      </c>
      <c r="F319" s="598">
        <v>0</v>
      </c>
      <c r="G319" s="598">
        <v>0</v>
      </c>
      <c r="H319" s="598">
        <v>0</v>
      </c>
      <c r="I319" s="598">
        <v>0</v>
      </c>
      <c r="J319" s="598">
        <v>0</v>
      </c>
      <c r="K319" s="598">
        <v>0</v>
      </c>
      <c r="L319" s="598">
        <v>0</v>
      </c>
      <c r="M319" s="600"/>
      <c r="N319" s="600"/>
      <c r="O319" s="138"/>
      <c r="P319" s="195"/>
      <c r="Q319" s="180"/>
      <c r="R319" s="195"/>
      <c r="S319" s="181"/>
      <c r="T319" s="111"/>
      <c r="U319" s="151"/>
      <c r="V319" s="195"/>
      <c r="W319" s="111"/>
      <c r="X319" s="195"/>
    </row>
    <row r="320" spans="1:24" x14ac:dyDescent="0.25">
      <c r="A320" s="213">
        <v>5162</v>
      </c>
      <c r="B320" s="214" t="s">
        <v>1977</v>
      </c>
      <c r="C320" s="597" t="s">
        <v>1829</v>
      </c>
      <c r="D320" s="597" t="s">
        <v>1829</v>
      </c>
      <c r="E320" s="597" t="s">
        <v>1829</v>
      </c>
      <c r="F320" s="598">
        <v>0</v>
      </c>
      <c r="G320" s="598">
        <v>0</v>
      </c>
      <c r="H320" s="598">
        <v>0</v>
      </c>
      <c r="I320" s="598">
        <v>0</v>
      </c>
      <c r="J320" s="598">
        <v>0</v>
      </c>
      <c r="K320" s="598">
        <v>0</v>
      </c>
      <c r="L320" s="598">
        <v>0</v>
      </c>
      <c r="M320" s="600"/>
      <c r="N320" s="600"/>
      <c r="O320" s="138"/>
      <c r="P320" s="195"/>
      <c r="Q320" s="180"/>
      <c r="R320" s="195"/>
      <c r="S320" s="181"/>
      <c r="T320" s="111"/>
      <c r="U320" s="151"/>
      <c r="V320" s="195"/>
      <c r="W320" s="111"/>
      <c r="X320" s="195"/>
    </row>
    <row r="321" spans="1:24" x14ac:dyDescent="0.25">
      <c r="A321" s="213">
        <v>5165</v>
      </c>
      <c r="B321" s="214" t="s">
        <v>1978</v>
      </c>
      <c r="C321" s="597" t="s">
        <v>1829</v>
      </c>
      <c r="D321" s="597" t="s">
        <v>1829</v>
      </c>
      <c r="E321" s="597" t="s">
        <v>1829</v>
      </c>
      <c r="F321" s="598">
        <v>0</v>
      </c>
      <c r="G321" s="598">
        <v>0</v>
      </c>
      <c r="H321" s="598">
        <v>0</v>
      </c>
      <c r="I321" s="598">
        <v>0</v>
      </c>
      <c r="J321" s="598">
        <v>0</v>
      </c>
      <c r="K321" s="598">
        <v>0</v>
      </c>
      <c r="L321" s="598">
        <v>0</v>
      </c>
      <c r="M321" s="600"/>
      <c r="N321" s="600"/>
      <c r="O321" s="138"/>
      <c r="P321" s="195"/>
      <c r="Q321" s="180"/>
      <c r="R321" s="195"/>
      <c r="S321" s="181"/>
      <c r="T321" s="111"/>
      <c r="U321" s="151"/>
      <c r="V321" s="195"/>
      <c r="W321" s="111"/>
      <c r="X321" s="195"/>
    </row>
    <row r="322" spans="1:24" x14ac:dyDescent="0.25">
      <c r="A322" s="213">
        <v>5167</v>
      </c>
      <c r="B322" s="214" t="s">
        <v>1979</v>
      </c>
      <c r="C322" s="597" t="s">
        <v>1829</v>
      </c>
      <c r="D322" s="597" t="s">
        <v>1829</v>
      </c>
      <c r="E322" s="597" t="s">
        <v>1829</v>
      </c>
      <c r="F322" s="598">
        <v>0</v>
      </c>
      <c r="G322" s="598">
        <v>0</v>
      </c>
      <c r="H322" s="598">
        <v>0</v>
      </c>
      <c r="I322" s="598">
        <v>0</v>
      </c>
      <c r="J322" s="598">
        <v>0</v>
      </c>
      <c r="K322" s="598">
        <v>0</v>
      </c>
      <c r="L322" s="598">
        <v>0</v>
      </c>
      <c r="M322" s="600"/>
      <c r="N322" s="600"/>
      <c r="O322" s="138"/>
      <c r="P322" s="195"/>
      <c r="Q322" s="180"/>
      <c r="R322" s="195"/>
      <c r="S322" s="181"/>
      <c r="T322" s="111"/>
      <c r="U322" s="151"/>
      <c r="V322" s="195"/>
      <c r="W322" s="111"/>
      <c r="X322" s="195"/>
    </row>
    <row r="323" spans="1:24" x14ac:dyDescent="0.25">
      <c r="A323" s="213">
        <v>5170</v>
      </c>
      <c r="B323" s="214" t="s">
        <v>1980</v>
      </c>
      <c r="C323" s="597" t="s">
        <v>1829</v>
      </c>
      <c r="D323" s="597" t="s">
        <v>1829</v>
      </c>
      <c r="E323" s="597" t="s">
        <v>1829</v>
      </c>
      <c r="F323" s="598">
        <v>0</v>
      </c>
      <c r="G323" s="598">
        <v>0</v>
      </c>
      <c r="H323" s="598">
        <v>0</v>
      </c>
      <c r="I323" s="598">
        <v>0</v>
      </c>
      <c r="J323" s="598">
        <v>0</v>
      </c>
      <c r="K323" s="598">
        <v>0</v>
      </c>
      <c r="L323" s="598">
        <v>0</v>
      </c>
      <c r="M323" s="600"/>
      <c r="N323" s="600"/>
      <c r="O323" s="138"/>
      <c r="P323" s="195"/>
      <c r="Q323" s="180"/>
      <c r="R323" s="195"/>
      <c r="S323" s="181"/>
      <c r="T323" s="111"/>
      <c r="U323" s="151"/>
      <c r="V323" s="195"/>
      <c r="W323" s="111"/>
      <c r="X323" s="195"/>
    </row>
    <row r="324" spans="1:24" x14ac:dyDescent="0.25">
      <c r="A324" s="213">
        <v>5178</v>
      </c>
      <c r="B324" s="214" t="s">
        <v>1981</v>
      </c>
      <c r="C324" s="597" t="s">
        <v>1829</v>
      </c>
      <c r="D324" s="597" t="s">
        <v>1829</v>
      </c>
      <c r="E324" s="597" t="s">
        <v>1829</v>
      </c>
      <c r="F324" s="598">
        <v>0</v>
      </c>
      <c r="G324" s="598">
        <v>0</v>
      </c>
      <c r="H324" s="598">
        <v>0</v>
      </c>
      <c r="I324" s="598">
        <v>0</v>
      </c>
      <c r="J324" s="598">
        <v>0</v>
      </c>
      <c r="K324" s="598">
        <v>0</v>
      </c>
      <c r="L324" s="598">
        <v>0</v>
      </c>
      <c r="M324" s="600"/>
      <c r="N324" s="600"/>
      <c r="O324" s="138"/>
      <c r="P324" s="195"/>
      <c r="Q324" s="180"/>
      <c r="R324" s="195"/>
      <c r="S324" s="181"/>
      <c r="T324" s="111"/>
      <c r="U324" s="151"/>
      <c r="V324" s="195"/>
      <c r="W324" s="111"/>
      <c r="X324" s="195"/>
    </row>
    <row r="325" spans="1:24" x14ac:dyDescent="0.25">
      <c r="A325" s="213">
        <v>5185</v>
      </c>
      <c r="B325" s="214" t="s">
        <v>1982</v>
      </c>
      <c r="C325" s="597" t="s">
        <v>1829</v>
      </c>
      <c r="D325" s="597" t="s">
        <v>1829</v>
      </c>
      <c r="E325" s="597" t="s">
        <v>1829</v>
      </c>
      <c r="F325" s="598">
        <v>0</v>
      </c>
      <c r="G325" s="598">
        <v>0</v>
      </c>
      <c r="H325" s="598">
        <v>0</v>
      </c>
      <c r="I325" s="598">
        <v>0</v>
      </c>
      <c r="J325" s="598">
        <v>0</v>
      </c>
      <c r="K325" s="598">
        <v>0</v>
      </c>
      <c r="L325" s="598">
        <v>0</v>
      </c>
      <c r="M325" s="600"/>
      <c r="N325" s="600"/>
      <c r="O325" s="138"/>
      <c r="P325" s="195"/>
      <c r="Q325" s="180"/>
      <c r="R325" s="195"/>
      <c r="S325" s="181"/>
      <c r="T325" s="111"/>
      <c r="U325" s="151"/>
      <c r="V325" s="195"/>
      <c r="W325" s="111"/>
      <c r="X325" s="195"/>
    </row>
    <row r="326" spans="1:24" x14ac:dyDescent="0.25">
      <c r="A326" s="213">
        <v>5186</v>
      </c>
      <c r="B326" s="214" t="s">
        <v>1983</v>
      </c>
      <c r="C326" s="597" t="s">
        <v>1829</v>
      </c>
      <c r="D326" s="597" t="s">
        <v>1829</v>
      </c>
      <c r="E326" s="597" t="s">
        <v>1829</v>
      </c>
      <c r="F326" s="598">
        <v>0</v>
      </c>
      <c r="G326" s="598">
        <v>0</v>
      </c>
      <c r="H326" s="598">
        <v>0</v>
      </c>
      <c r="I326" s="598">
        <v>0</v>
      </c>
      <c r="J326" s="598">
        <v>0</v>
      </c>
      <c r="K326" s="598">
        <v>0</v>
      </c>
      <c r="L326" s="598">
        <v>0</v>
      </c>
      <c r="M326" s="600"/>
      <c r="N326" s="600"/>
      <c r="O326" s="138"/>
      <c r="P326" s="195"/>
      <c r="Q326" s="180"/>
      <c r="R326" s="195"/>
      <c r="S326" s="181"/>
      <c r="T326" s="111"/>
      <c r="U326" s="151"/>
      <c r="V326" s="195"/>
      <c r="W326" s="111"/>
      <c r="X326" s="195"/>
    </row>
    <row r="327" spans="1:24" x14ac:dyDescent="0.25">
      <c r="A327" s="213">
        <v>5196</v>
      </c>
      <c r="B327" s="214" t="s">
        <v>1984</v>
      </c>
      <c r="C327" s="597" t="s">
        <v>1829</v>
      </c>
      <c r="D327" s="597" t="s">
        <v>1829</v>
      </c>
      <c r="E327" s="597" t="s">
        <v>1829</v>
      </c>
      <c r="F327" s="598">
        <v>0</v>
      </c>
      <c r="G327" s="598">
        <v>0</v>
      </c>
      <c r="H327" s="598">
        <v>0</v>
      </c>
      <c r="I327" s="598">
        <v>0</v>
      </c>
      <c r="J327" s="598">
        <v>0</v>
      </c>
      <c r="K327" s="598">
        <v>0</v>
      </c>
      <c r="L327" s="598">
        <v>0</v>
      </c>
      <c r="M327" s="600"/>
      <c r="N327" s="600"/>
      <c r="O327" s="138"/>
      <c r="P327" s="195"/>
      <c r="Q327" s="180"/>
      <c r="R327" s="195"/>
      <c r="S327" s="181"/>
      <c r="T327" s="111"/>
      <c r="U327" s="151"/>
      <c r="V327" s="195"/>
      <c r="W327" s="111"/>
      <c r="X327" s="195"/>
    </row>
    <row r="328" spans="1:24" x14ac:dyDescent="0.25">
      <c r="A328" s="213">
        <v>5198</v>
      </c>
      <c r="B328" s="214" t="s">
        <v>1985</v>
      </c>
      <c r="C328" s="597" t="s">
        <v>1829</v>
      </c>
      <c r="D328" s="597" t="s">
        <v>1829</v>
      </c>
      <c r="E328" s="597" t="s">
        <v>1829</v>
      </c>
      <c r="F328" s="598">
        <v>0</v>
      </c>
      <c r="G328" s="598">
        <v>0</v>
      </c>
      <c r="H328" s="598">
        <v>0</v>
      </c>
      <c r="I328" s="598">
        <v>0</v>
      </c>
      <c r="J328" s="598">
        <v>0</v>
      </c>
      <c r="K328" s="598">
        <v>0</v>
      </c>
      <c r="L328" s="598">
        <v>0</v>
      </c>
      <c r="M328" s="600"/>
      <c r="N328" s="600"/>
      <c r="O328" s="138"/>
      <c r="P328" s="195"/>
      <c r="Q328" s="180"/>
      <c r="R328" s="195"/>
      <c r="S328" s="181"/>
      <c r="T328" s="111"/>
      <c r="U328" s="151"/>
      <c r="V328" s="195"/>
      <c r="W328" s="111"/>
      <c r="X328" s="195"/>
    </row>
    <row r="329" spans="1:24" x14ac:dyDescent="0.25">
      <c r="A329" s="213">
        <v>5213</v>
      </c>
      <c r="B329" s="214" t="s">
        <v>1986</v>
      </c>
      <c r="C329" s="597" t="s">
        <v>1829</v>
      </c>
      <c r="D329" s="597" t="s">
        <v>1829</v>
      </c>
      <c r="E329" s="597" t="s">
        <v>1829</v>
      </c>
      <c r="F329" s="598">
        <v>0</v>
      </c>
      <c r="G329" s="598">
        <v>0</v>
      </c>
      <c r="H329" s="598">
        <v>0</v>
      </c>
      <c r="I329" s="598">
        <v>0</v>
      </c>
      <c r="J329" s="598">
        <v>0</v>
      </c>
      <c r="K329" s="598">
        <v>0</v>
      </c>
      <c r="L329" s="598">
        <v>0</v>
      </c>
      <c r="M329" s="600"/>
      <c r="N329" s="600"/>
      <c r="O329" s="138"/>
      <c r="P329" s="195"/>
      <c r="Q329" s="180"/>
      <c r="R329" s="195"/>
      <c r="S329" s="181"/>
      <c r="T329" s="111"/>
      <c r="U329" s="151"/>
      <c r="V329" s="195"/>
      <c r="W329" s="111"/>
      <c r="X329" s="195"/>
    </row>
    <row r="330" spans="1:24" x14ac:dyDescent="0.25">
      <c r="A330" s="213">
        <v>5235</v>
      </c>
      <c r="B330" s="214" t="s">
        <v>1987</v>
      </c>
      <c r="C330" s="597" t="s">
        <v>1829</v>
      </c>
      <c r="D330" s="597" t="s">
        <v>1829</v>
      </c>
      <c r="E330" s="597" t="s">
        <v>1829</v>
      </c>
      <c r="F330" s="598">
        <v>0</v>
      </c>
      <c r="G330" s="598">
        <v>0</v>
      </c>
      <c r="H330" s="598">
        <v>0</v>
      </c>
      <c r="I330" s="598">
        <v>0</v>
      </c>
      <c r="J330" s="598">
        <v>0</v>
      </c>
      <c r="K330" s="598">
        <v>0</v>
      </c>
      <c r="L330" s="598">
        <v>0</v>
      </c>
      <c r="M330" s="600"/>
      <c r="N330" s="600"/>
      <c r="O330" s="138"/>
      <c r="P330" s="195"/>
      <c r="Q330" s="180"/>
      <c r="R330" s="195"/>
      <c r="S330" s="181"/>
      <c r="T330" s="111"/>
      <c r="U330" s="151"/>
      <c r="V330" s="195"/>
      <c r="W330" s="111"/>
      <c r="X330" s="195"/>
    </row>
    <row r="331" spans="1:24" x14ac:dyDescent="0.25">
      <c r="A331" s="213">
        <v>5241</v>
      </c>
      <c r="B331" s="214" t="s">
        <v>1988</v>
      </c>
      <c r="C331" s="597" t="s">
        <v>1829</v>
      </c>
      <c r="D331" s="597" t="s">
        <v>1829</v>
      </c>
      <c r="E331" s="597" t="s">
        <v>1829</v>
      </c>
      <c r="F331" s="598">
        <v>0</v>
      </c>
      <c r="G331" s="598">
        <v>0</v>
      </c>
      <c r="H331" s="598">
        <v>0</v>
      </c>
      <c r="I331" s="598">
        <v>0</v>
      </c>
      <c r="J331" s="598">
        <v>0</v>
      </c>
      <c r="K331" s="598">
        <v>0</v>
      </c>
      <c r="L331" s="598">
        <v>0</v>
      </c>
      <c r="M331" s="600"/>
      <c r="N331" s="600"/>
      <c r="O331" s="138"/>
      <c r="P331" s="195"/>
      <c r="Q331" s="180"/>
      <c r="R331" s="195"/>
      <c r="S331" s="181"/>
      <c r="T331" s="111"/>
      <c r="U331" s="151"/>
      <c r="V331" s="195"/>
      <c r="W331" s="111"/>
      <c r="X331" s="195"/>
    </row>
    <row r="332" spans="1:24" x14ac:dyDescent="0.25">
      <c r="A332" s="213">
        <v>5273</v>
      </c>
      <c r="B332" s="214" t="s">
        <v>1989</v>
      </c>
      <c r="C332" s="597" t="s">
        <v>1829</v>
      </c>
      <c r="D332" s="597" t="s">
        <v>1829</v>
      </c>
      <c r="E332" s="597" t="s">
        <v>1829</v>
      </c>
      <c r="F332" s="598">
        <v>0</v>
      </c>
      <c r="G332" s="598">
        <v>0</v>
      </c>
      <c r="H332" s="598">
        <v>0</v>
      </c>
      <c r="I332" s="598">
        <v>0</v>
      </c>
      <c r="J332" s="598">
        <v>0</v>
      </c>
      <c r="K332" s="598">
        <v>0</v>
      </c>
      <c r="L332" s="598">
        <v>0</v>
      </c>
      <c r="M332" s="600"/>
      <c r="N332" s="600"/>
      <c r="O332" s="138"/>
      <c r="P332" s="195"/>
      <c r="Q332" s="180"/>
      <c r="R332" s="195"/>
      <c r="S332" s="181"/>
      <c r="T332" s="111"/>
      <c r="U332" s="151"/>
      <c r="V332" s="195"/>
      <c r="W332" s="111"/>
      <c r="X332" s="195"/>
    </row>
    <row r="333" spans="1:24" x14ac:dyDescent="0.25">
      <c r="A333" s="213">
        <v>5325</v>
      </c>
      <c r="B333" s="214" t="s">
        <v>1990</v>
      </c>
      <c r="C333" s="597" t="s">
        <v>1829</v>
      </c>
      <c r="D333" s="597" t="s">
        <v>1829</v>
      </c>
      <c r="E333" s="597" t="s">
        <v>1829</v>
      </c>
      <c r="F333" s="598">
        <v>0</v>
      </c>
      <c r="G333" s="598">
        <v>0</v>
      </c>
      <c r="H333" s="598">
        <v>0</v>
      </c>
      <c r="I333" s="598">
        <v>0</v>
      </c>
      <c r="J333" s="598">
        <v>0</v>
      </c>
      <c r="K333" s="598">
        <v>0</v>
      </c>
      <c r="L333" s="598">
        <v>0</v>
      </c>
      <c r="M333" s="600"/>
      <c r="N333" s="600"/>
      <c r="O333" s="138"/>
      <c r="P333" s="195"/>
      <c r="Q333" s="180"/>
      <c r="R333" s="195"/>
      <c r="S333" s="181"/>
      <c r="T333" s="111"/>
      <c r="U333" s="151"/>
      <c r="V333" s="195"/>
      <c r="W333" s="111"/>
      <c r="X333" s="195"/>
    </row>
    <row r="334" spans="1:24" x14ac:dyDescent="0.25">
      <c r="A334" s="213">
        <v>5331</v>
      </c>
      <c r="B334" s="214" t="s">
        <v>1991</v>
      </c>
      <c r="C334" s="597" t="s">
        <v>1829</v>
      </c>
      <c r="D334" s="597" t="s">
        <v>1829</v>
      </c>
      <c r="E334" s="597" t="s">
        <v>1829</v>
      </c>
      <c r="F334" s="598">
        <v>0</v>
      </c>
      <c r="G334" s="598">
        <v>0</v>
      </c>
      <c r="H334" s="598">
        <v>0</v>
      </c>
      <c r="I334" s="598">
        <v>0</v>
      </c>
      <c r="J334" s="598">
        <v>0</v>
      </c>
      <c r="K334" s="598">
        <v>0</v>
      </c>
      <c r="L334" s="598">
        <v>0</v>
      </c>
      <c r="M334" s="600"/>
      <c r="N334" s="600"/>
      <c r="O334" s="138"/>
      <c r="P334" s="195"/>
      <c r="Q334" s="180"/>
      <c r="R334" s="195"/>
      <c r="S334" s="181"/>
      <c r="T334" s="111"/>
      <c r="U334" s="151"/>
      <c r="V334" s="195"/>
      <c r="W334" s="111"/>
      <c r="X334" s="195"/>
    </row>
    <row r="335" spans="1:24" x14ac:dyDescent="0.25">
      <c r="A335" s="213">
        <v>5352</v>
      </c>
      <c r="B335" s="214" t="s">
        <v>1992</v>
      </c>
      <c r="C335" s="597" t="s">
        <v>1829</v>
      </c>
      <c r="D335" s="597" t="s">
        <v>1829</v>
      </c>
      <c r="E335" s="597" t="s">
        <v>1829</v>
      </c>
      <c r="F335" s="598">
        <v>0</v>
      </c>
      <c r="G335" s="598">
        <v>0</v>
      </c>
      <c r="H335" s="598">
        <v>0</v>
      </c>
      <c r="I335" s="598">
        <v>0</v>
      </c>
      <c r="J335" s="598">
        <v>0</v>
      </c>
      <c r="K335" s="598">
        <v>0</v>
      </c>
      <c r="L335" s="598">
        <v>0</v>
      </c>
      <c r="M335" s="600"/>
      <c r="N335" s="600"/>
      <c r="O335" s="138"/>
      <c r="P335" s="195"/>
      <c r="Q335" s="180"/>
      <c r="R335" s="195"/>
      <c r="S335" s="181"/>
      <c r="T335" s="111"/>
      <c r="U335" s="151"/>
      <c r="V335" s="195"/>
      <c r="W335" s="111"/>
      <c r="X335" s="195"/>
    </row>
    <row r="336" spans="1:24" x14ac:dyDescent="0.25">
      <c r="A336" s="213">
        <v>5357</v>
      </c>
      <c r="B336" s="214" t="s">
        <v>1993</v>
      </c>
      <c r="C336" s="597" t="s">
        <v>1829</v>
      </c>
      <c r="D336" s="597" t="s">
        <v>1829</v>
      </c>
      <c r="E336" s="597" t="s">
        <v>1829</v>
      </c>
      <c r="F336" s="598">
        <v>0</v>
      </c>
      <c r="G336" s="598">
        <v>0</v>
      </c>
      <c r="H336" s="598">
        <v>0</v>
      </c>
      <c r="I336" s="598">
        <v>0</v>
      </c>
      <c r="J336" s="598">
        <v>0</v>
      </c>
      <c r="K336" s="598">
        <v>0</v>
      </c>
      <c r="L336" s="598">
        <v>0</v>
      </c>
      <c r="M336" s="600"/>
      <c r="N336" s="600"/>
      <c r="O336" s="138"/>
      <c r="P336" s="195"/>
      <c r="Q336" s="180"/>
      <c r="R336" s="195"/>
      <c r="S336" s="181"/>
      <c r="T336" s="111"/>
      <c r="U336" s="151"/>
      <c r="V336" s="195"/>
      <c r="W336" s="111"/>
      <c r="X336" s="195"/>
    </row>
    <row r="337" spans="1:24" x14ac:dyDescent="0.25">
      <c r="A337" s="213">
        <v>5358</v>
      </c>
      <c r="B337" s="214" t="s">
        <v>1994</v>
      </c>
      <c r="C337" s="597" t="s">
        <v>1829</v>
      </c>
      <c r="D337" s="597" t="s">
        <v>1829</v>
      </c>
      <c r="E337" s="597" t="s">
        <v>1829</v>
      </c>
      <c r="F337" s="598">
        <v>0</v>
      </c>
      <c r="G337" s="598">
        <v>0</v>
      </c>
      <c r="H337" s="598">
        <v>0</v>
      </c>
      <c r="I337" s="598">
        <v>0</v>
      </c>
      <c r="J337" s="598">
        <v>0</v>
      </c>
      <c r="K337" s="598">
        <v>0</v>
      </c>
      <c r="L337" s="598">
        <v>0</v>
      </c>
      <c r="M337" s="600"/>
      <c r="N337" s="600"/>
      <c r="O337" s="138"/>
      <c r="P337" s="195"/>
      <c r="Q337" s="180"/>
      <c r="R337" s="195"/>
      <c r="S337" s="181"/>
      <c r="T337" s="111"/>
      <c r="U337" s="151"/>
      <c r="V337" s="195"/>
      <c r="W337" s="111"/>
      <c r="X337" s="195"/>
    </row>
    <row r="338" spans="1:24" x14ac:dyDescent="0.25">
      <c r="A338" s="213">
        <v>5365</v>
      </c>
      <c r="B338" s="214" t="s">
        <v>1995</v>
      </c>
      <c r="C338" s="597" t="s">
        <v>1829</v>
      </c>
      <c r="D338" s="597" t="s">
        <v>1829</v>
      </c>
      <c r="E338" s="597" t="s">
        <v>1829</v>
      </c>
      <c r="F338" s="598">
        <v>0</v>
      </c>
      <c r="G338" s="598">
        <v>0</v>
      </c>
      <c r="H338" s="598">
        <v>0</v>
      </c>
      <c r="I338" s="598">
        <v>0</v>
      </c>
      <c r="J338" s="598">
        <v>0</v>
      </c>
      <c r="K338" s="598">
        <v>0</v>
      </c>
      <c r="L338" s="598">
        <v>0</v>
      </c>
      <c r="M338" s="600"/>
      <c r="N338" s="600"/>
      <c r="O338" s="138"/>
      <c r="P338" s="195"/>
      <c r="Q338" s="180"/>
      <c r="R338" s="195"/>
      <c r="S338" s="181"/>
      <c r="T338" s="111"/>
      <c r="U338" s="151"/>
      <c r="V338" s="195"/>
      <c r="W338" s="111"/>
      <c r="X338" s="195"/>
    </row>
    <row r="339" spans="1:24" x14ac:dyDescent="0.25">
      <c r="A339" s="213">
        <v>5374</v>
      </c>
      <c r="B339" s="214" t="s">
        <v>1996</v>
      </c>
      <c r="C339" s="597" t="s">
        <v>1829</v>
      </c>
      <c r="D339" s="597" t="s">
        <v>1829</v>
      </c>
      <c r="E339" s="597" t="s">
        <v>1829</v>
      </c>
      <c r="F339" s="598">
        <v>0</v>
      </c>
      <c r="G339" s="598">
        <v>0</v>
      </c>
      <c r="H339" s="598">
        <v>0</v>
      </c>
      <c r="I339" s="598">
        <v>0</v>
      </c>
      <c r="J339" s="598">
        <v>0</v>
      </c>
      <c r="K339" s="598">
        <v>0</v>
      </c>
      <c r="L339" s="598">
        <v>0</v>
      </c>
      <c r="M339" s="600"/>
      <c r="N339" s="600"/>
      <c r="O339" s="138"/>
      <c r="P339" s="195"/>
      <c r="Q339" s="180"/>
      <c r="R339" s="195"/>
      <c r="S339" s="181"/>
      <c r="T339" s="111"/>
      <c r="U339" s="151"/>
      <c r="V339" s="195"/>
      <c r="W339" s="111"/>
      <c r="X339" s="195"/>
    </row>
    <row r="340" spans="1:24" x14ac:dyDescent="0.25">
      <c r="A340" s="213">
        <v>5508</v>
      </c>
      <c r="B340" s="214" t="s">
        <v>1997</v>
      </c>
      <c r="C340" s="597" t="s">
        <v>1829</v>
      </c>
      <c r="D340" s="597" t="s">
        <v>1829</v>
      </c>
      <c r="E340" s="597" t="s">
        <v>1829</v>
      </c>
      <c r="F340" s="598">
        <v>0</v>
      </c>
      <c r="G340" s="598">
        <v>0</v>
      </c>
      <c r="H340" s="598">
        <v>0</v>
      </c>
      <c r="I340" s="598">
        <v>0</v>
      </c>
      <c r="J340" s="598">
        <v>0</v>
      </c>
      <c r="K340" s="598">
        <v>0</v>
      </c>
      <c r="L340" s="598">
        <v>0</v>
      </c>
      <c r="M340" s="600"/>
      <c r="N340" s="600"/>
      <c r="O340" s="138"/>
      <c r="P340" s="195"/>
      <c r="Q340" s="180"/>
      <c r="R340" s="195"/>
      <c r="S340" s="181"/>
      <c r="T340" s="111"/>
      <c r="U340" s="151"/>
      <c r="V340" s="195"/>
      <c r="W340" s="111"/>
      <c r="X340" s="195"/>
    </row>
    <row r="341" spans="1:24" x14ac:dyDescent="0.25">
      <c r="A341" s="213">
        <v>5510</v>
      </c>
      <c r="B341" s="214" t="s">
        <v>1998</v>
      </c>
      <c r="C341" s="597" t="s">
        <v>1829</v>
      </c>
      <c r="D341" s="597" t="s">
        <v>1829</v>
      </c>
      <c r="E341" s="597" t="s">
        <v>1829</v>
      </c>
      <c r="F341" s="598">
        <v>0</v>
      </c>
      <c r="G341" s="598">
        <v>0</v>
      </c>
      <c r="H341" s="598">
        <v>0</v>
      </c>
      <c r="I341" s="598">
        <v>0</v>
      </c>
      <c r="J341" s="598">
        <v>0</v>
      </c>
      <c r="K341" s="598">
        <v>0</v>
      </c>
      <c r="L341" s="598">
        <v>0</v>
      </c>
      <c r="M341" s="600"/>
      <c r="N341" s="600"/>
      <c r="O341" s="138"/>
      <c r="P341" s="195"/>
      <c r="Q341" s="180"/>
      <c r="R341" s="195"/>
      <c r="S341" s="181"/>
      <c r="T341" s="111"/>
      <c r="U341" s="151"/>
      <c r="V341" s="195"/>
      <c r="W341" s="111"/>
      <c r="X341" s="195"/>
    </row>
    <row r="342" spans="1:24" x14ac:dyDescent="0.25">
      <c r="A342" s="213">
        <v>5511</v>
      </c>
      <c r="B342" s="214" t="s">
        <v>1999</v>
      </c>
      <c r="C342" s="597" t="s">
        <v>1829</v>
      </c>
      <c r="D342" s="597" t="s">
        <v>1829</v>
      </c>
      <c r="E342" s="597" t="s">
        <v>1829</v>
      </c>
      <c r="F342" s="598">
        <v>0</v>
      </c>
      <c r="G342" s="598">
        <v>0</v>
      </c>
      <c r="H342" s="598">
        <v>0</v>
      </c>
      <c r="I342" s="598">
        <v>0</v>
      </c>
      <c r="J342" s="598">
        <v>0</v>
      </c>
      <c r="K342" s="598">
        <v>0</v>
      </c>
      <c r="L342" s="598">
        <v>0</v>
      </c>
      <c r="M342" s="600"/>
      <c r="N342" s="600"/>
      <c r="O342" s="138"/>
      <c r="P342" s="195"/>
      <c r="Q342" s="180"/>
      <c r="R342" s="195"/>
      <c r="S342" s="181"/>
      <c r="T342" s="111"/>
      <c r="U342" s="151"/>
      <c r="V342" s="195"/>
      <c r="W342" s="111"/>
      <c r="X342" s="195"/>
    </row>
    <row r="343" spans="1:24" x14ac:dyDescent="0.25">
      <c r="A343" s="213">
        <v>5514</v>
      </c>
      <c r="B343" s="214" t="s">
        <v>2000</v>
      </c>
      <c r="C343" s="597" t="s">
        <v>1829</v>
      </c>
      <c r="D343" s="597" t="s">
        <v>1829</v>
      </c>
      <c r="E343" s="597" t="s">
        <v>1829</v>
      </c>
      <c r="F343" s="598">
        <v>0</v>
      </c>
      <c r="G343" s="598">
        <v>0</v>
      </c>
      <c r="H343" s="598">
        <v>0</v>
      </c>
      <c r="I343" s="598">
        <v>0</v>
      </c>
      <c r="J343" s="598">
        <v>0</v>
      </c>
      <c r="K343" s="598">
        <v>0</v>
      </c>
      <c r="L343" s="598">
        <v>0</v>
      </c>
      <c r="M343" s="600"/>
      <c r="N343" s="600"/>
      <c r="O343" s="138"/>
      <c r="P343" s="195"/>
      <c r="Q343" s="180"/>
      <c r="R343" s="195"/>
      <c r="S343" s="181"/>
      <c r="T343" s="111"/>
      <c r="U343" s="151"/>
      <c r="V343" s="195"/>
      <c r="W343" s="111"/>
      <c r="X343" s="195"/>
    </row>
    <row r="344" spans="1:24" x14ac:dyDescent="0.25">
      <c r="A344" s="213">
        <v>5518</v>
      </c>
      <c r="B344" s="214" t="s">
        <v>2001</v>
      </c>
      <c r="C344" s="597" t="s">
        <v>1829</v>
      </c>
      <c r="D344" s="597" t="s">
        <v>1829</v>
      </c>
      <c r="E344" s="597" t="s">
        <v>1829</v>
      </c>
      <c r="F344" s="598">
        <v>0</v>
      </c>
      <c r="G344" s="598">
        <v>0</v>
      </c>
      <c r="H344" s="598">
        <v>0</v>
      </c>
      <c r="I344" s="598">
        <v>0</v>
      </c>
      <c r="J344" s="598">
        <v>0</v>
      </c>
      <c r="K344" s="598">
        <v>0</v>
      </c>
      <c r="L344" s="598">
        <v>0</v>
      </c>
      <c r="M344" s="600"/>
      <c r="N344" s="600"/>
      <c r="O344" s="138"/>
      <c r="P344" s="195"/>
      <c r="Q344" s="180"/>
      <c r="R344" s="195"/>
      <c r="S344" s="181"/>
      <c r="T344" s="111"/>
      <c r="U344" s="151"/>
      <c r="V344" s="195"/>
      <c r="W344" s="111"/>
      <c r="X344" s="195"/>
    </row>
    <row r="345" spans="1:24" x14ac:dyDescent="0.25">
      <c r="A345" s="213">
        <v>5522</v>
      </c>
      <c r="B345" s="214" t="s">
        <v>2002</v>
      </c>
      <c r="C345" s="597" t="s">
        <v>1829</v>
      </c>
      <c r="D345" s="597" t="s">
        <v>1829</v>
      </c>
      <c r="E345" s="597" t="s">
        <v>1829</v>
      </c>
      <c r="F345" s="598">
        <v>0</v>
      </c>
      <c r="G345" s="598">
        <v>0</v>
      </c>
      <c r="H345" s="598">
        <v>0</v>
      </c>
      <c r="I345" s="598">
        <v>0</v>
      </c>
      <c r="J345" s="598">
        <v>0</v>
      </c>
      <c r="K345" s="598">
        <v>0</v>
      </c>
      <c r="L345" s="598">
        <v>0</v>
      </c>
      <c r="M345" s="600"/>
      <c r="N345" s="600"/>
      <c r="O345" s="138"/>
      <c r="P345" s="195"/>
      <c r="Q345" s="180"/>
      <c r="R345" s="195"/>
      <c r="S345" s="181"/>
      <c r="T345" s="111"/>
      <c r="U345" s="151"/>
      <c r="V345" s="195"/>
      <c r="W345" s="111"/>
      <c r="X345" s="195"/>
    </row>
    <row r="346" spans="1:24" x14ac:dyDescent="0.25">
      <c r="A346" s="213">
        <v>5530</v>
      </c>
      <c r="B346" s="214" t="s">
        <v>2003</v>
      </c>
      <c r="C346" s="597" t="s">
        <v>1829</v>
      </c>
      <c r="D346" s="597" t="s">
        <v>1829</v>
      </c>
      <c r="E346" s="597" t="s">
        <v>1829</v>
      </c>
      <c r="F346" s="598">
        <v>0</v>
      </c>
      <c r="G346" s="598">
        <v>0</v>
      </c>
      <c r="H346" s="598">
        <v>0</v>
      </c>
      <c r="I346" s="598">
        <v>0</v>
      </c>
      <c r="J346" s="598">
        <v>0</v>
      </c>
      <c r="K346" s="598">
        <v>0</v>
      </c>
      <c r="L346" s="598">
        <v>0</v>
      </c>
      <c r="M346" s="600"/>
      <c r="N346" s="600"/>
      <c r="O346" s="138"/>
      <c r="P346" s="195"/>
      <c r="Q346" s="180"/>
      <c r="R346" s="195"/>
      <c r="S346" s="181"/>
      <c r="T346" s="111"/>
      <c r="U346" s="151"/>
      <c r="V346" s="195"/>
      <c r="W346" s="111"/>
      <c r="X346" s="195"/>
    </row>
    <row r="347" spans="1:24" x14ac:dyDescent="0.25">
      <c r="A347" s="213">
        <v>5541</v>
      </c>
      <c r="B347" s="214" t="s">
        <v>2004</v>
      </c>
      <c r="C347" s="597" t="s">
        <v>1829</v>
      </c>
      <c r="D347" s="597" t="s">
        <v>1829</v>
      </c>
      <c r="E347" s="597" t="s">
        <v>1829</v>
      </c>
      <c r="F347" s="598">
        <v>0</v>
      </c>
      <c r="G347" s="598">
        <v>0</v>
      </c>
      <c r="H347" s="598">
        <v>0</v>
      </c>
      <c r="I347" s="598">
        <v>0</v>
      </c>
      <c r="J347" s="598">
        <v>0</v>
      </c>
      <c r="K347" s="598">
        <v>0</v>
      </c>
      <c r="L347" s="598">
        <v>0</v>
      </c>
      <c r="M347" s="600"/>
      <c r="N347" s="600"/>
      <c r="O347" s="138"/>
      <c r="P347" s="195"/>
      <c r="Q347" s="180"/>
      <c r="R347" s="195"/>
      <c r="S347" s="181"/>
      <c r="T347" s="111"/>
      <c r="U347" s="151"/>
      <c r="V347" s="195"/>
      <c r="W347" s="111"/>
      <c r="X347" s="195"/>
    </row>
    <row r="348" spans="1:24" x14ac:dyDescent="0.25">
      <c r="A348" s="213">
        <v>5545</v>
      </c>
      <c r="B348" s="214" t="s">
        <v>2005</v>
      </c>
      <c r="C348" s="597" t="s">
        <v>1829</v>
      </c>
      <c r="D348" s="597" t="s">
        <v>1829</v>
      </c>
      <c r="E348" s="597" t="s">
        <v>1829</v>
      </c>
      <c r="F348" s="598">
        <v>0</v>
      </c>
      <c r="G348" s="598">
        <v>0</v>
      </c>
      <c r="H348" s="598">
        <v>0</v>
      </c>
      <c r="I348" s="598">
        <v>0</v>
      </c>
      <c r="J348" s="598">
        <v>0</v>
      </c>
      <c r="K348" s="598">
        <v>0</v>
      </c>
      <c r="L348" s="598">
        <v>0</v>
      </c>
      <c r="M348" s="600"/>
      <c r="N348" s="600"/>
      <c r="O348" s="138"/>
      <c r="P348" s="195"/>
      <c r="Q348" s="180"/>
      <c r="R348" s="195"/>
      <c r="S348" s="181"/>
      <c r="T348" s="111"/>
      <c r="U348" s="151"/>
      <c r="V348" s="195"/>
      <c r="W348" s="111"/>
      <c r="X348" s="195"/>
    </row>
    <row r="349" spans="1:24" x14ac:dyDescent="0.25">
      <c r="A349" s="213">
        <v>5546</v>
      </c>
      <c r="B349" s="214" t="s">
        <v>2006</v>
      </c>
      <c r="C349" s="597" t="s">
        <v>1829</v>
      </c>
      <c r="D349" s="597" t="s">
        <v>1829</v>
      </c>
      <c r="E349" s="597" t="s">
        <v>1829</v>
      </c>
      <c r="F349" s="598">
        <v>0</v>
      </c>
      <c r="G349" s="598">
        <v>0</v>
      </c>
      <c r="H349" s="598">
        <v>0</v>
      </c>
      <c r="I349" s="598">
        <v>0</v>
      </c>
      <c r="J349" s="598">
        <v>0</v>
      </c>
      <c r="K349" s="598">
        <v>0</v>
      </c>
      <c r="L349" s="598">
        <v>0</v>
      </c>
      <c r="M349" s="600"/>
      <c r="N349" s="600"/>
      <c r="O349" s="138"/>
      <c r="P349" s="195"/>
      <c r="Q349" s="180"/>
      <c r="R349" s="195"/>
      <c r="S349" s="181"/>
      <c r="T349" s="111"/>
      <c r="U349" s="151"/>
      <c r="V349" s="195"/>
      <c r="W349" s="111"/>
      <c r="X349" s="195"/>
    </row>
    <row r="350" spans="1:24" x14ac:dyDescent="0.25">
      <c r="A350" s="213">
        <v>5548</v>
      </c>
      <c r="B350" s="214" t="s">
        <v>2007</v>
      </c>
      <c r="C350" s="597" t="s">
        <v>1829</v>
      </c>
      <c r="D350" s="597" t="s">
        <v>1829</v>
      </c>
      <c r="E350" s="597" t="s">
        <v>1829</v>
      </c>
      <c r="F350" s="598">
        <v>0</v>
      </c>
      <c r="G350" s="598">
        <v>0</v>
      </c>
      <c r="H350" s="598">
        <v>0</v>
      </c>
      <c r="I350" s="598">
        <v>0</v>
      </c>
      <c r="J350" s="598">
        <v>0</v>
      </c>
      <c r="K350" s="598">
        <v>0</v>
      </c>
      <c r="L350" s="598">
        <v>0</v>
      </c>
      <c r="M350" s="600"/>
      <c r="N350" s="600"/>
      <c r="O350" s="138"/>
      <c r="P350" s="195"/>
      <c r="Q350" s="180"/>
      <c r="R350" s="195"/>
      <c r="S350" s="181"/>
      <c r="T350" s="111"/>
      <c r="U350" s="151"/>
      <c r="V350" s="195"/>
      <c r="W350" s="111"/>
      <c r="X350" s="195"/>
    </row>
    <row r="351" spans="1:24" x14ac:dyDescent="0.25">
      <c r="A351" s="213">
        <v>5553</v>
      </c>
      <c r="B351" s="214" t="s">
        <v>2008</v>
      </c>
      <c r="C351" s="597" t="s">
        <v>1829</v>
      </c>
      <c r="D351" s="597" t="s">
        <v>1829</v>
      </c>
      <c r="E351" s="597" t="s">
        <v>1829</v>
      </c>
      <c r="F351" s="598">
        <v>0</v>
      </c>
      <c r="G351" s="598">
        <v>0</v>
      </c>
      <c r="H351" s="598">
        <v>0</v>
      </c>
      <c r="I351" s="598">
        <v>0</v>
      </c>
      <c r="J351" s="598">
        <v>0</v>
      </c>
      <c r="K351" s="598">
        <v>0</v>
      </c>
      <c r="L351" s="598">
        <v>0</v>
      </c>
      <c r="M351" s="600"/>
      <c r="N351" s="600"/>
      <c r="O351" s="138"/>
      <c r="P351" s="195"/>
      <c r="Q351" s="180"/>
      <c r="R351" s="195"/>
      <c r="S351" s="181"/>
      <c r="T351" s="111"/>
      <c r="U351" s="151"/>
      <c r="V351" s="195"/>
      <c r="W351" s="111"/>
      <c r="X351" s="195"/>
    </row>
    <row r="352" spans="1:24" x14ac:dyDescent="0.25">
      <c r="A352" s="213">
        <v>5556</v>
      </c>
      <c r="B352" s="214" t="s">
        <v>2009</v>
      </c>
      <c r="C352" s="597" t="s">
        <v>1829</v>
      </c>
      <c r="D352" s="597" t="s">
        <v>1829</v>
      </c>
      <c r="E352" s="597" t="s">
        <v>1829</v>
      </c>
      <c r="F352" s="598">
        <v>0</v>
      </c>
      <c r="G352" s="598">
        <v>0</v>
      </c>
      <c r="H352" s="598">
        <v>0</v>
      </c>
      <c r="I352" s="598">
        <v>0</v>
      </c>
      <c r="J352" s="598">
        <v>0</v>
      </c>
      <c r="K352" s="598">
        <v>0</v>
      </c>
      <c r="L352" s="598">
        <v>0</v>
      </c>
      <c r="M352" s="600"/>
      <c r="N352" s="600"/>
      <c r="O352" s="138"/>
      <c r="P352" s="195"/>
      <c r="Q352" s="180"/>
      <c r="R352" s="195"/>
      <c r="S352" s="181"/>
      <c r="T352" s="111"/>
      <c r="U352" s="151"/>
      <c r="V352" s="195"/>
      <c r="W352" s="111"/>
      <c r="X352" s="195"/>
    </row>
    <row r="353" spans="1:24" x14ac:dyDescent="0.25">
      <c r="A353" s="213">
        <v>5557</v>
      </c>
      <c r="B353" s="214" t="s">
        <v>2010</v>
      </c>
      <c r="C353" s="597" t="s">
        <v>1829</v>
      </c>
      <c r="D353" s="597" t="s">
        <v>1829</v>
      </c>
      <c r="E353" s="597" t="s">
        <v>1829</v>
      </c>
      <c r="F353" s="598">
        <v>0</v>
      </c>
      <c r="G353" s="598">
        <v>0</v>
      </c>
      <c r="H353" s="598">
        <v>0</v>
      </c>
      <c r="I353" s="598">
        <v>0</v>
      </c>
      <c r="J353" s="598">
        <v>0</v>
      </c>
      <c r="K353" s="598">
        <v>0</v>
      </c>
      <c r="L353" s="598">
        <v>0</v>
      </c>
      <c r="M353" s="600"/>
      <c r="N353" s="600"/>
      <c r="O353" s="138"/>
      <c r="P353" s="195"/>
      <c r="Q353" s="180"/>
      <c r="R353" s="195"/>
      <c r="S353" s="181"/>
      <c r="T353" s="111"/>
      <c r="U353" s="151"/>
      <c r="V353" s="195"/>
      <c r="W353" s="111"/>
      <c r="X353" s="195"/>
    </row>
    <row r="354" spans="1:24" x14ac:dyDescent="0.25">
      <c r="A354" s="213">
        <v>5564</v>
      </c>
      <c r="B354" s="214" t="s">
        <v>2011</v>
      </c>
      <c r="C354" s="597" t="s">
        <v>1829</v>
      </c>
      <c r="D354" s="597" t="s">
        <v>1829</v>
      </c>
      <c r="E354" s="597" t="s">
        <v>1829</v>
      </c>
      <c r="F354" s="598">
        <v>0</v>
      </c>
      <c r="G354" s="598">
        <v>0</v>
      </c>
      <c r="H354" s="598">
        <v>0</v>
      </c>
      <c r="I354" s="598">
        <v>0</v>
      </c>
      <c r="J354" s="598">
        <v>0</v>
      </c>
      <c r="K354" s="598">
        <v>0</v>
      </c>
      <c r="L354" s="598">
        <v>0</v>
      </c>
      <c r="M354" s="600"/>
      <c r="N354" s="600"/>
      <c r="O354" s="138"/>
      <c r="P354" s="195"/>
      <c r="Q354" s="180"/>
      <c r="R354" s="195"/>
      <c r="S354" s="181"/>
      <c r="T354" s="111"/>
      <c r="U354" s="151"/>
      <c r="V354" s="195"/>
      <c r="W354" s="111"/>
      <c r="X354" s="195"/>
    </row>
    <row r="355" spans="1:24" x14ac:dyDescent="0.25">
      <c r="A355" s="213">
        <v>5566</v>
      </c>
      <c r="B355" s="214" t="s">
        <v>2012</v>
      </c>
      <c r="C355" s="597" t="s">
        <v>1829</v>
      </c>
      <c r="D355" s="597" t="s">
        <v>1829</v>
      </c>
      <c r="E355" s="597" t="s">
        <v>1829</v>
      </c>
      <c r="F355" s="598">
        <v>0</v>
      </c>
      <c r="G355" s="598">
        <v>0</v>
      </c>
      <c r="H355" s="598">
        <v>0</v>
      </c>
      <c r="I355" s="598">
        <v>0</v>
      </c>
      <c r="J355" s="598">
        <v>0</v>
      </c>
      <c r="K355" s="598">
        <v>0</v>
      </c>
      <c r="L355" s="598">
        <v>0</v>
      </c>
      <c r="M355" s="600"/>
      <c r="N355" s="600"/>
      <c r="O355" s="138"/>
      <c r="P355" s="195"/>
      <c r="Q355" s="180"/>
      <c r="R355" s="195"/>
      <c r="S355" s="181"/>
      <c r="T355" s="111"/>
      <c r="U355" s="151"/>
      <c r="V355" s="195"/>
      <c r="W355" s="111"/>
      <c r="X355" s="195"/>
    </row>
    <row r="356" spans="1:24" x14ac:dyDescent="0.25">
      <c r="A356" s="213">
        <v>5599</v>
      </c>
      <c r="B356" s="214" t="s">
        <v>2013</v>
      </c>
      <c r="C356" s="597" t="s">
        <v>1829</v>
      </c>
      <c r="D356" s="597" t="s">
        <v>1829</v>
      </c>
      <c r="E356" s="597" t="s">
        <v>1829</v>
      </c>
      <c r="F356" s="598">
        <v>0</v>
      </c>
      <c r="G356" s="598">
        <v>0</v>
      </c>
      <c r="H356" s="598">
        <v>0</v>
      </c>
      <c r="I356" s="598">
        <v>0</v>
      </c>
      <c r="J356" s="598">
        <v>0</v>
      </c>
      <c r="K356" s="598">
        <v>0</v>
      </c>
      <c r="L356" s="598">
        <v>0</v>
      </c>
      <c r="M356" s="600"/>
      <c r="N356" s="600"/>
      <c r="O356" s="138"/>
      <c r="P356" s="195"/>
      <c r="Q356" s="180"/>
      <c r="R356" s="195"/>
      <c r="S356" s="181"/>
      <c r="T356" s="111"/>
      <c r="U356" s="151"/>
      <c r="V356" s="195"/>
      <c r="W356" s="111"/>
      <c r="X356" s="195"/>
    </row>
    <row r="357" spans="1:24" x14ac:dyDescent="0.25">
      <c r="A357" s="213">
        <v>5601</v>
      </c>
      <c r="B357" s="214" t="s">
        <v>2014</v>
      </c>
      <c r="C357" s="597" t="s">
        <v>1829</v>
      </c>
      <c r="D357" s="597" t="s">
        <v>1829</v>
      </c>
      <c r="E357" s="597" t="s">
        <v>1829</v>
      </c>
      <c r="F357" s="598">
        <v>0</v>
      </c>
      <c r="G357" s="598">
        <v>0</v>
      </c>
      <c r="H357" s="598">
        <v>0</v>
      </c>
      <c r="I357" s="598">
        <v>0</v>
      </c>
      <c r="J357" s="598">
        <v>0</v>
      </c>
      <c r="K357" s="598">
        <v>0</v>
      </c>
      <c r="L357" s="598">
        <v>0</v>
      </c>
      <c r="M357" s="600"/>
      <c r="N357" s="600"/>
      <c r="O357" s="138"/>
      <c r="P357" s="195"/>
      <c r="Q357" s="180"/>
      <c r="R357" s="195"/>
      <c r="S357" s="181"/>
      <c r="T357" s="111"/>
      <c r="U357" s="151"/>
      <c r="V357" s="195"/>
      <c r="W357" s="111"/>
      <c r="X357" s="195"/>
    </row>
    <row r="358" spans="1:24" x14ac:dyDescent="0.25">
      <c r="A358" s="213">
        <v>5606</v>
      </c>
      <c r="B358" s="214" t="s">
        <v>2015</v>
      </c>
      <c r="C358" s="597" t="s">
        <v>1829</v>
      </c>
      <c r="D358" s="597" t="s">
        <v>1829</v>
      </c>
      <c r="E358" s="597" t="s">
        <v>1829</v>
      </c>
      <c r="F358" s="598">
        <v>0</v>
      </c>
      <c r="G358" s="598">
        <v>0</v>
      </c>
      <c r="H358" s="598">
        <v>0</v>
      </c>
      <c r="I358" s="598">
        <v>0</v>
      </c>
      <c r="J358" s="598">
        <v>0</v>
      </c>
      <c r="K358" s="598">
        <v>0</v>
      </c>
      <c r="L358" s="598">
        <v>0</v>
      </c>
      <c r="M358" s="600"/>
      <c r="N358" s="600"/>
      <c r="O358" s="138"/>
      <c r="P358" s="195"/>
      <c r="Q358" s="180"/>
      <c r="R358" s="195"/>
      <c r="S358" s="181"/>
      <c r="T358" s="111"/>
      <c r="U358" s="151"/>
      <c r="V358" s="195"/>
      <c r="W358" s="111"/>
      <c r="X358" s="195"/>
    </row>
    <row r="359" spans="1:24" x14ac:dyDescent="0.25">
      <c r="A359" s="213">
        <v>5612</v>
      </c>
      <c r="B359" s="214" t="s">
        <v>2016</v>
      </c>
      <c r="C359" s="597" t="s">
        <v>1829</v>
      </c>
      <c r="D359" s="597" t="s">
        <v>1829</v>
      </c>
      <c r="E359" s="597" t="s">
        <v>1829</v>
      </c>
      <c r="F359" s="598">
        <v>0</v>
      </c>
      <c r="G359" s="598">
        <v>0</v>
      </c>
      <c r="H359" s="598">
        <v>0</v>
      </c>
      <c r="I359" s="598">
        <v>0</v>
      </c>
      <c r="J359" s="598">
        <v>0</v>
      </c>
      <c r="K359" s="598">
        <v>0</v>
      </c>
      <c r="L359" s="598">
        <v>0</v>
      </c>
      <c r="M359" s="600"/>
      <c r="N359" s="600"/>
      <c r="O359" s="138"/>
      <c r="P359" s="195"/>
      <c r="Q359" s="180"/>
      <c r="R359" s="195"/>
      <c r="S359" s="181"/>
      <c r="T359" s="111"/>
      <c r="U359" s="151"/>
      <c r="V359" s="195"/>
      <c r="W359" s="111"/>
      <c r="X359" s="195"/>
    </row>
    <row r="360" spans="1:24" x14ac:dyDescent="0.25">
      <c r="A360" s="213">
        <v>5617</v>
      </c>
      <c r="B360" s="214" t="s">
        <v>2017</v>
      </c>
      <c r="C360" s="597" t="s">
        <v>1829</v>
      </c>
      <c r="D360" s="597" t="s">
        <v>1829</v>
      </c>
      <c r="E360" s="597" t="s">
        <v>1829</v>
      </c>
      <c r="F360" s="598">
        <v>0</v>
      </c>
      <c r="G360" s="598">
        <v>0</v>
      </c>
      <c r="H360" s="598">
        <v>0</v>
      </c>
      <c r="I360" s="598">
        <v>0</v>
      </c>
      <c r="J360" s="598">
        <v>0</v>
      </c>
      <c r="K360" s="598">
        <v>0</v>
      </c>
      <c r="L360" s="598">
        <v>0</v>
      </c>
      <c r="M360" s="600"/>
      <c r="N360" s="600"/>
      <c r="O360" s="138"/>
      <c r="P360" s="195"/>
      <c r="Q360" s="180"/>
      <c r="R360" s="195"/>
      <c r="S360" s="181"/>
      <c r="T360" s="111"/>
      <c r="U360" s="151"/>
      <c r="V360" s="195"/>
      <c r="W360" s="111"/>
      <c r="X360" s="195"/>
    </row>
    <row r="361" spans="1:24" x14ac:dyDescent="0.25">
      <c r="A361" s="213">
        <v>5631</v>
      </c>
      <c r="B361" s="214" t="s">
        <v>2018</v>
      </c>
      <c r="C361" s="597" t="s">
        <v>1829</v>
      </c>
      <c r="D361" s="597" t="s">
        <v>1829</v>
      </c>
      <c r="E361" s="597" t="s">
        <v>1829</v>
      </c>
      <c r="F361" s="598">
        <v>0</v>
      </c>
      <c r="G361" s="598">
        <v>0</v>
      </c>
      <c r="H361" s="598">
        <v>0</v>
      </c>
      <c r="I361" s="598">
        <v>0</v>
      </c>
      <c r="J361" s="598">
        <v>0</v>
      </c>
      <c r="K361" s="598">
        <v>0</v>
      </c>
      <c r="L361" s="598">
        <v>0</v>
      </c>
      <c r="M361" s="600"/>
      <c r="N361" s="600"/>
      <c r="O361" s="138"/>
      <c r="P361" s="195"/>
      <c r="Q361" s="180"/>
      <c r="R361" s="195"/>
      <c r="S361" s="181"/>
      <c r="T361" s="111"/>
      <c r="U361" s="151"/>
      <c r="V361" s="195"/>
      <c r="W361" s="111"/>
      <c r="X361" s="195"/>
    </row>
    <row r="362" spans="1:24" x14ac:dyDescent="0.25">
      <c r="A362" s="213">
        <v>5637</v>
      </c>
      <c r="B362" s="214" t="s">
        <v>2019</v>
      </c>
      <c r="C362" s="597" t="s">
        <v>1829</v>
      </c>
      <c r="D362" s="597" t="s">
        <v>1829</v>
      </c>
      <c r="E362" s="597" t="s">
        <v>1829</v>
      </c>
      <c r="F362" s="598">
        <v>0</v>
      </c>
      <c r="G362" s="598">
        <v>0</v>
      </c>
      <c r="H362" s="598">
        <v>0</v>
      </c>
      <c r="I362" s="598">
        <v>0</v>
      </c>
      <c r="J362" s="598">
        <v>0</v>
      </c>
      <c r="K362" s="598">
        <v>0</v>
      </c>
      <c r="L362" s="598">
        <v>0</v>
      </c>
      <c r="M362" s="600"/>
      <c r="N362" s="600"/>
      <c r="O362" s="138"/>
      <c r="P362" s="195"/>
      <c r="Q362" s="180"/>
      <c r="R362" s="195"/>
      <c r="S362" s="181"/>
      <c r="T362" s="111"/>
      <c r="U362" s="151"/>
      <c r="V362" s="195"/>
      <c r="W362" s="111"/>
      <c r="X362" s="195"/>
    </row>
    <row r="363" spans="1:24" x14ac:dyDescent="0.25">
      <c r="A363" s="213">
        <v>5646</v>
      </c>
      <c r="B363" s="214" t="s">
        <v>2020</v>
      </c>
      <c r="C363" s="597" t="s">
        <v>1829</v>
      </c>
      <c r="D363" s="597" t="s">
        <v>1829</v>
      </c>
      <c r="E363" s="597" t="s">
        <v>1829</v>
      </c>
      <c r="F363" s="598">
        <v>0</v>
      </c>
      <c r="G363" s="598">
        <v>0</v>
      </c>
      <c r="H363" s="598">
        <v>0</v>
      </c>
      <c r="I363" s="598">
        <v>0</v>
      </c>
      <c r="J363" s="598">
        <v>0</v>
      </c>
      <c r="K363" s="598">
        <v>0</v>
      </c>
      <c r="L363" s="598">
        <v>0</v>
      </c>
      <c r="M363" s="600"/>
      <c r="N363" s="600"/>
      <c r="O363" s="138"/>
      <c r="P363" s="195"/>
      <c r="Q363" s="180"/>
      <c r="R363" s="195"/>
      <c r="S363" s="181"/>
      <c r="T363" s="111"/>
      <c r="U363" s="151"/>
      <c r="V363" s="195"/>
      <c r="W363" s="111"/>
      <c r="X363" s="195"/>
    </row>
    <row r="364" spans="1:24" x14ac:dyDescent="0.25">
      <c r="A364" s="213">
        <v>5652</v>
      </c>
      <c r="B364" s="214" t="s">
        <v>2021</v>
      </c>
      <c r="C364" s="597" t="s">
        <v>1829</v>
      </c>
      <c r="D364" s="597" t="s">
        <v>1829</v>
      </c>
      <c r="E364" s="597" t="s">
        <v>1829</v>
      </c>
      <c r="F364" s="598">
        <v>0</v>
      </c>
      <c r="G364" s="598">
        <v>0</v>
      </c>
      <c r="H364" s="598">
        <v>0</v>
      </c>
      <c r="I364" s="598">
        <v>0</v>
      </c>
      <c r="J364" s="598">
        <v>0</v>
      </c>
      <c r="K364" s="598">
        <v>0</v>
      </c>
      <c r="L364" s="598">
        <v>0</v>
      </c>
      <c r="M364" s="600"/>
      <c r="N364" s="600"/>
      <c r="O364" s="138"/>
      <c r="P364" s="195"/>
      <c r="Q364" s="180"/>
      <c r="R364" s="195"/>
      <c r="S364" s="181"/>
      <c r="T364" s="111"/>
      <c r="U364" s="151"/>
      <c r="V364" s="195"/>
      <c r="W364" s="111"/>
      <c r="X364" s="195"/>
    </row>
    <row r="365" spans="1:24" x14ac:dyDescent="0.25">
      <c r="A365" s="213">
        <v>5664</v>
      </c>
      <c r="B365" s="214" t="s">
        <v>2022</v>
      </c>
      <c r="C365" s="597" t="s">
        <v>1829</v>
      </c>
      <c r="D365" s="597" t="s">
        <v>1829</v>
      </c>
      <c r="E365" s="597" t="s">
        <v>1829</v>
      </c>
      <c r="F365" s="598">
        <v>0</v>
      </c>
      <c r="G365" s="598">
        <v>0</v>
      </c>
      <c r="H365" s="598">
        <v>0</v>
      </c>
      <c r="I365" s="598">
        <v>0</v>
      </c>
      <c r="J365" s="598">
        <v>0</v>
      </c>
      <c r="K365" s="598">
        <v>0</v>
      </c>
      <c r="L365" s="598">
        <v>0</v>
      </c>
      <c r="M365" s="600"/>
      <c r="N365" s="600"/>
      <c r="O365" s="138"/>
      <c r="P365" s="195"/>
      <c r="Q365" s="180"/>
      <c r="R365" s="195"/>
      <c r="S365" s="181"/>
      <c r="T365" s="111"/>
      <c r="U365" s="151"/>
      <c r="V365" s="195"/>
      <c r="W365" s="111"/>
      <c r="X365" s="195"/>
    </row>
    <row r="366" spans="1:24" x14ac:dyDescent="0.25">
      <c r="A366" s="213">
        <v>5727</v>
      </c>
      <c r="B366" s="214" t="s">
        <v>2023</v>
      </c>
      <c r="C366" s="597" t="s">
        <v>1829</v>
      </c>
      <c r="D366" s="597" t="s">
        <v>1829</v>
      </c>
      <c r="E366" s="597" t="s">
        <v>1829</v>
      </c>
      <c r="F366" s="598">
        <v>0</v>
      </c>
      <c r="G366" s="598">
        <v>0</v>
      </c>
      <c r="H366" s="598">
        <v>0</v>
      </c>
      <c r="I366" s="598">
        <v>0</v>
      </c>
      <c r="J366" s="598">
        <v>0</v>
      </c>
      <c r="K366" s="598">
        <v>0</v>
      </c>
      <c r="L366" s="598">
        <v>0</v>
      </c>
      <c r="M366" s="600"/>
      <c r="N366" s="600"/>
      <c r="O366" s="138"/>
      <c r="P366" s="195"/>
      <c r="Q366" s="180"/>
      <c r="R366" s="195"/>
      <c r="S366" s="181"/>
      <c r="T366" s="111"/>
      <c r="U366" s="151"/>
      <c r="V366" s="195"/>
      <c r="W366" s="111"/>
      <c r="X366" s="195"/>
    </row>
    <row r="367" spans="1:24" x14ac:dyDescent="0.25">
      <c r="A367" s="213">
        <v>5740</v>
      </c>
      <c r="B367" s="214" t="s">
        <v>2024</v>
      </c>
      <c r="C367" s="597" t="s">
        <v>1829</v>
      </c>
      <c r="D367" s="597" t="s">
        <v>1829</v>
      </c>
      <c r="E367" s="597" t="s">
        <v>1829</v>
      </c>
      <c r="F367" s="598">
        <v>0</v>
      </c>
      <c r="G367" s="598">
        <v>0</v>
      </c>
      <c r="H367" s="598">
        <v>0</v>
      </c>
      <c r="I367" s="598">
        <v>0</v>
      </c>
      <c r="J367" s="598">
        <v>0</v>
      </c>
      <c r="K367" s="598">
        <v>0</v>
      </c>
      <c r="L367" s="598">
        <v>0</v>
      </c>
      <c r="M367" s="600"/>
      <c r="N367" s="600"/>
      <c r="O367" s="138"/>
      <c r="P367" s="195"/>
      <c r="Q367" s="180"/>
      <c r="R367" s="195"/>
      <c r="S367" s="181"/>
      <c r="T367" s="111"/>
      <c r="U367" s="151"/>
      <c r="V367" s="195"/>
      <c r="W367" s="111"/>
      <c r="X367" s="195"/>
    </row>
    <row r="368" spans="1:24" x14ac:dyDescent="0.25">
      <c r="A368" s="213">
        <v>5758</v>
      </c>
      <c r="B368" s="214" t="s">
        <v>2025</v>
      </c>
      <c r="C368" s="597" t="s">
        <v>1829</v>
      </c>
      <c r="D368" s="597" t="s">
        <v>1829</v>
      </c>
      <c r="E368" s="597" t="s">
        <v>1829</v>
      </c>
      <c r="F368" s="598">
        <v>0</v>
      </c>
      <c r="G368" s="598">
        <v>0</v>
      </c>
      <c r="H368" s="598">
        <v>0</v>
      </c>
      <c r="I368" s="598">
        <v>0</v>
      </c>
      <c r="J368" s="598">
        <v>0</v>
      </c>
      <c r="K368" s="598">
        <v>0</v>
      </c>
      <c r="L368" s="598">
        <v>0</v>
      </c>
      <c r="M368" s="600"/>
      <c r="N368" s="600"/>
      <c r="O368" s="138"/>
      <c r="P368" s="195"/>
      <c r="Q368" s="180"/>
      <c r="R368" s="195"/>
      <c r="S368" s="181"/>
      <c r="T368" s="111"/>
      <c r="U368" s="151"/>
      <c r="V368" s="195"/>
      <c r="W368" s="111"/>
      <c r="X368" s="195"/>
    </row>
    <row r="369" spans="1:24" x14ac:dyDescent="0.25">
      <c r="A369" s="213">
        <v>5783</v>
      </c>
      <c r="B369" s="214" t="s">
        <v>2026</v>
      </c>
      <c r="C369" s="597" t="s">
        <v>1829</v>
      </c>
      <c r="D369" s="597" t="s">
        <v>1829</v>
      </c>
      <c r="E369" s="597" t="s">
        <v>1829</v>
      </c>
      <c r="F369" s="598">
        <v>0</v>
      </c>
      <c r="G369" s="598">
        <v>0</v>
      </c>
      <c r="H369" s="598">
        <v>0</v>
      </c>
      <c r="I369" s="598">
        <v>0</v>
      </c>
      <c r="J369" s="598">
        <v>0</v>
      </c>
      <c r="K369" s="598">
        <v>0</v>
      </c>
      <c r="L369" s="598">
        <v>0</v>
      </c>
      <c r="M369" s="600"/>
      <c r="N369" s="600"/>
      <c r="O369" s="138"/>
      <c r="P369" s="195"/>
      <c r="Q369" s="180"/>
      <c r="R369" s="195"/>
      <c r="S369" s="181"/>
      <c r="T369" s="111"/>
      <c r="U369" s="151"/>
      <c r="V369" s="195"/>
      <c r="W369" s="111"/>
      <c r="X369" s="195"/>
    </row>
    <row r="370" spans="1:24" x14ac:dyDescent="0.25">
      <c r="A370" s="213">
        <v>5787</v>
      </c>
      <c r="B370" s="214" t="s">
        <v>2027</v>
      </c>
      <c r="C370" s="597" t="s">
        <v>1829</v>
      </c>
      <c r="D370" s="597" t="s">
        <v>1829</v>
      </c>
      <c r="E370" s="597" t="s">
        <v>1829</v>
      </c>
      <c r="F370" s="598">
        <v>0</v>
      </c>
      <c r="G370" s="598">
        <v>0</v>
      </c>
      <c r="H370" s="598">
        <v>0</v>
      </c>
      <c r="I370" s="598">
        <v>0</v>
      </c>
      <c r="J370" s="598">
        <v>0</v>
      </c>
      <c r="K370" s="598">
        <v>0</v>
      </c>
      <c r="L370" s="598">
        <v>0</v>
      </c>
      <c r="M370" s="600"/>
      <c r="N370" s="600"/>
      <c r="O370" s="138"/>
      <c r="P370" s="195"/>
      <c r="Q370" s="180"/>
      <c r="R370" s="195"/>
      <c r="S370" s="181"/>
      <c r="T370" s="111"/>
      <c r="U370" s="151"/>
      <c r="V370" s="195"/>
      <c r="W370" s="111"/>
      <c r="X370" s="195"/>
    </row>
    <row r="371" spans="1:24" x14ac:dyDescent="0.25">
      <c r="A371" s="213">
        <v>5788</v>
      </c>
      <c r="B371" s="214" t="s">
        <v>2028</v>
      </c>
      <c r="C371" s="597" t="s">
        <v>1829</v>
      </c>
      <c r="D371" s="597" t="s">
        <v>1829</v>
      </c>
      <c r="E371" s="597" t="s">
        <v>1829</v>
      </c>
      <c r="F371" s="598">
        <v>0</v>
      </c>
      <c r="G371" s="598">
        <v>0</v>
      </c>
      <c r="H371" s="598">
        <v>0</v>
      </c>
      <c r="I371" s="598">
        <v>0</v>
      </c>
      <c r="J371" s="598">
        <v>0</v>
      </c>
      <c r="K371" s="598">
        <v>0</v>
      </c>
      <c r="L371" s="598">
        <v>0</v>
      </c>
      <c r="M371" s="600"/>
      <c r="N371" s="600"/>
      <c r="O371" s="138"/>
      <c r="P371" s="195"/>
      <c r="Q371" s="180"/>
      <c r="R371" s="195"/>
      <c r="S371" s="181"/>
      <c r="T371" s="111"/>
      <c r="U371" s="151"/>
      <c r="V371" s="195"/>
      <c r="W371" s="111"/>
      <c r="X371" s="195"/>
    </row>
    <row r="372" spans="1:24" x14ac:dyDescent="0.25">
      <c r="A372" s="213">
        <v>5798</v>
      </c>
      <c r="B372" s="214" t="s">
        <v>2029</v>
      </c>
      <c r="C372" s="597" t="s">
        <v>1829</v>
      </c>
      <c r="D372" s="597" t="s">
        <v>1829</v>
      </c>
      <c r="E372" s="597" t="s">
        <v>1829</v>
      </c>
      <c r="F372" s="598">
        <v>0</v>
      </c>
      <c r="G372" s="598">
        <v>0</v>
      </c>
      <c r="H372" s="598">
        <v>0</v>
      </c>
      <c r="I372" s="598">
        <v>0</v>
      </c>
      <c r="J372" s="598">
        <v>0</v>
      </c>
      <c r="K372" s="598">
        <v>0</v>
      </c>
      <c r="L372" s="598">
        <v>0</v>
      </c>
      <c r="M372" s="600"/>
      <c r="N372" s="600"/>
      <c r="O372" s="138"/>
      <c r="P372" s="195"/>
      <c r="Q372" s="180"/>
      <c r="R372" s="195"/>
      <c r="S372" s="181"/>
      <c r="T372" s="111"/>
      <c r="U372" s="151"/>
      <c r="V372" s="195"/>
      <c r="W372" s="111"/>
      <c r="X372" s="195"/>
    </row>
    <row r="373" spans="1:24" x14ac:dyDescent="0.25">
      <c r="A373" s="213">
        <v>5805</v>
      </c>
      <c r="B373" s="214" t="s">
        <v>2030</v>
      </c>
      <c r="C373" s="597" t="s">
        <v>1829</v>
      </c>
      <c r="D373" s="597" t="s">
        <v>1829</v>
      </c>
      <c r="E373" s="597" t="s">
        <v>1829</v>
      </c>
      <c r="F373" s="598">
        <v>0</v>
      </c>
      <c r="G373" s="598">
        <v>0</v>
      </c>
      <c r="H373" s="598">
        <v>0</v>
      </c>
      <c r="I373" s="598">
        <v>0</v>
      </c>
      <c r="J373" s="598">
        <v>0</v>
      </c>
      <c r="K373" s="598">
        <v>0</v>
      </c>
      <c r="L373" s="598">
        <v>0</v>
      </c>
      <c r="M373" s="600"/>
      <c r="N373" s="600"/>
      <c r="O373" s="138"/>
      <c r="P373" s="195"/>
      <c r="Q373" s="180"/>
      <c r="R373" s="195"/>
      <c r="S373" s="181"/>
      <c r="T373" s="111"/>
      <c r="U373" s="151"/>
      <c r="V373" s="195"/>
      <c r="W373" s="111"/>
      <c r="X373" s="195"/>
    </row>
    <row r="374" spans="1:24" x14ac:dyDescent="0.25">
      <c r="A374" s="213">
        <v>5814</v>
      </c>
      <c r="B374" s="214" t="s">
        <v>2031</v>
      </c>
      <c r="C374" s="597" t="s">
        <v>1829</v>
      </c>
      <c r="D374" s="597" t="s">
        <v>1829</v>
      </c>
      <c r="E374" s="597" t="s">
        <v>1829</v>
      </c>
      <c r="F374" s="598">
        <v>0</v>
      </c>
      <c r="G374" s="598">
        <v>0</v>
      </c>
      <c r="H374" s="598">
        <v>0</v>
      </c>
      <c r="I374" s="598">
        <v>0</v>
      </c>
      <c r="J374" s="598">
        <v>0</v>
      </c>
      <c r="K374" s="598">
        <v>0</v>
      </c>
      <c r="L374" s="598">
        <v>0</v>
      </c>
      <c r="M374" s="600"/>
      <c r="N374" s="600"/>
      <c r="O374" s="138"/>
      <c r="P374" s="195"/>
      <c r="Q374" s="180"/>
      <c r="R374" s="195"/>
      <c r="S374" s="181"/>
      <c r="T374" s="111"/>
      <c r="U374" s="151"/>
      <c r="V374" s="195"/>
      <c r="W374" s="111"/>
      <c r="X374" s="195"/>
    </row>
    <row r="375" spans="1:24" x14ac:dyDescent="0.25">
      <c r="A375" s="213">
        <v>5816</v>
      </c>
      <c r="B375" s="214" t="s">
        <v>2032</v>
      </c>
      <c r="C375" s="597" t="s">
        <v>1829</v>
      </c>
      <c r="D375" s="597" t="s">
        <v>1829</v>
      </c>
      <c r="E375" s="597" t="s">
        <v>1829</v>
      </c>
      <c r="F375" s="598">
        <v>0</v>
      </c>
      <c r="G375" s="598">
        <v>0</v>
      </c>
      <c r="H375" s="598">
        <v>0</v>
      </c>
      <c r="I375" s="598">
        <v>0</v>
      </c>
      <c r="J375" s="598">
        <v>0</v>
      </c>
      <c r="K375" s="598">
        <v>0</v>
      </c>
      <c r="L375" s="598">
        <v>0</v>
      </c>
      <c r="M375" s="600"/>
      <c r="N375" s="600"/>
      <c r="O375" s="138"/>
      <c r="P375" s="195"/>
      <c r="Q375" s="180"/>
      <c r="R375" s="195"/>
      <c r="S375" s="181"/>
      <c r="T375" s="111"/>
      <c r="U375" s="151"/>
      <c r="V375" s="195"/>
      <c r="W375" s="111"/>
      <c r="X375" s="195"/>
    </row>
    <row r="376" spans="1:24" x14ac:dyDescent="0.25">
      <c r="A376" s="213">
        <v>5828</v>
      </c>
      <c r="B376" s="214" t="s">
        <v>2033</v>
      </c>
      <c r="C376" s="597" t="s">
        <v>1829</v>
      </c>
      <c r="D376" s="597" t="s">
        <v>1829</v>
      </c>
      <c r="E376" s="597" t="s">
        <v>1829</v>
      </c>
      <c r="F376" s="598">
        <v>0</v>
      </c>
      <c r="G376" s="598">
        <v>0</v>
      </c>
      <c r="H376" s="598">
        <v>0</v>
      </c>
      <c r="I376" s="598">
        <v>0</v>
      </c>
      <c r="J376" s="598">
        <v>0</v>
      </c>
      <c r="K376" s="598">
        <v>0</v>
      </c>
      <c r="L376" s="598">
        <v>0</v>
      </c>
      <c r="M376" s="600"/>
      <c r="N376" s="600"/>
      <c r="O376" s="138"/>
      <c r="P376" s="195"/>
      <c r="Q376" s="180"/>
      <c r="R376" s="195"/>
      <c r="S376" s="181"/>
      <c r="T376" s="111"/>
      <c r="U376" s="151"/>
      <c r="V376" s="195"/>
      <c r="W376" s="111"/>
      <c r="X376" s="195"/>
    </row>
    <row r="377" spans="1:24" x14ac:dyDescent="0.25">
      <c r="A377" s="213">
        <v>5832</v>
      </c>
      <c r="B377" s="214" t="s">
        <v>2034</v>
      </c>
      <c r="C377" s="597" t="s">
        <v>1829</v>
      </c>
      <c r="D377" s="597" t="s">
        <v>1829</v>
      </c>
      <c r="E377" s="597" t="s">
        <v>1829</v>
      </c>
      <c r="F377" s="598">
        <v>0</v>
      </c>
      <c r="G377" s="598">
        <v>0</v>
      </c>
      <c r="H377" s="598">
        <v>0</v>
      </c>
      <c r="I377" s="598">
        <v>0</v>
      </c>
      <c r="J377" s="598">
        <v>0</v>
      </c>
      <c r="K377" s="598">
        <v>0</v>
      </c>
      <c r="L377" s="598">
        <v>0</v>
      </c>
      <c r="M377" s="600"/>
      <c r="N377" s="600"/>
      <c r="O377" s="138"/>
      <c r="P377" s="195"/>
      <c r="Q377" s="180"/>
      <c r="R377" s="195"/>
      <c r="S377" s="181"/>
      <c r="T377" s="111"/>
      <c r="U377" s="151"/>
      <c r="V377" s="195"/>
      <c r="W377" s="111"/>
      <c r="X377" s="195"/>
    </row>
    <row r="378" spans="1:24" x14ac:dyDescent="0.25">
      <c r="A378" s="213">
        <v>5842</v>
      </c>
      <c r="B378" s="214" t="s">
        <v>2035</v>
      </c>
      <c r="C378" s="597" t="s">
        <v>1829</v>
      </c>
      <c r="D378" s="597" t="s">
        <v>1829</v>
      </c>
      <c r="E378" s="597" t="s">
        <v>1829</v>
      </c>
      <c r="F378" s="598">
        <v>0</v>
      </c>
      <c r="G378" s="598">
        <v>0</v>
      </c>
      <c r="H378" s="598">
        <v>0</v>
      </c>
      <c r="I378" s="598">
        <v>0</v>
      </c>
      <c r="J378" s="598">
        <v>0</v>
      </c>
      <c r="K378" s="598">
        <v>0</v>
      </c>
      <c r="L378" s="598">
        <v>0</v>
      </c>
      <c r="M378" s="600"/>
      <c r="N378" s="600"/>
      <c r="O378" s="138"/>
      <c r="P378" s="195"/>
      <c r="Q378" s="180"/>
      <c r="R378" s="195"/>
      <c r="S378" s="181"/>
      <c r="T378" s="111"/>
      <c r="U378" s="151"/>
      <c r="V378" s="195"/>
      <c r="W378" s="111"/>
      <c r="X378" s="195"/>
    </row>
    <row r="379" spans="1:24" x14ac:dyDescent="0.25">
      <c r="A379" s="213">
        <v>5860</v>
      </c>
      <c r="B379" s="214" t="s">
        <v>2036</v>
      </c>
      <c r="C379" s="597" t="s">
        <v>1829</v>
      </c>
      <c r="D379" s="597" t="s">
        <v>1829</v>
      </c>
      <c r="E379" s="597" t="s">
        <v>1829</v>
      </c>
      <c r="F379" s="598">
        <v>0</v>
      </c>
      <c r="G379" s="598">
        <v>0</v>
      </c>
      <c r="H379" s="598">
        <v>0</v>
      </c>
      <c r="I379" s="598">
        <v>0</v>
      </c>
      <c r="J379" s="598">
        <v>0</v>
      </c>
      <c r="K379" s="598">
        <v>0</v>
      </c>
      <c r="L379" s="598">
        <v>0</v>
      </c>
      <c r="M379" s="600"/>
      <c r="N379" s="600"/>
      <c r="O379" s="138"/>
      <c r="P379" s="195"/>
      <c r="Q379" s="180"/>
      <c r="R379" s="195"/>
      <c r="S379" s="181"/>
      <c r="T379" s="111"/>
      <c r="U379" s="151"/>
      <c r="V379" s="195"/>
      <c r="W379" s="111"/>
      <c r="X379" s="195"/>
    </row>
    <row r="380" spans="1:24" x14ac:dyDescent="0.25">
      <c r="A380" s="213">
        <v>5862</v>
      </c>
      <c r="B380" s="214" t="s">
        <v>2037</v>
      </c>
      <c r="C380" s="597" t="s">
        <v>1829</v>
      </c>
      <c r="D380" s="597" t="s">
        <v>1829</v>
      </c>
      <c r="E380" s="597" t="s">
        <v>1829</v>
      </c>
      <c r="F380" s="598">
        <v>0</v>
      </c>
      <c r="G380" s="598">
        <v>0</v>
      </c>
      <c r="H380" s="598">
        <v>0</v>
      </c>
      <c r="I380" s="598">
        <v>0</v>
      </c>
      <c r="J380" s="598">
        <v>0</v>
      </c>
      <c r="K380" s="598">
        <v>0</v>
      </c>
      <c r="L380" s="598">
        <v>0</v>
      </c>
      <c r="M380" s="600"/>
      <c r="N380" s="600"/>
      <c r="O380" s="138"/>
      <c r="P380" s="195"/>
      <c r="Q380" s="180"/>
      <c r="R380" s="195"/>
      <c r="S380" s="181"/>
      <c r="T380" s="111"/>
      <c r="U380" s="151"/>
      <c r="V380" s="195"/>
      <c r="W380" s="111"/>
      <c r="X380" s="195"/>
    </row>
    <row r="381" spans="1:24" x14ac:dyDescent="0.25">
      <c r="A381" s="213">
        <v>5869</v>
      </c>
      <c r="B381" s="214" t="s">
        <v>2038</v>
      </c>
      <c r="C381" s="597" t="s">
        <v>1829</v>
      </c>
      <c r="D381" s="597" t="s">
        <v>1829</v>
      </c>
      <c r="E381" s="597" t="s">
        <v>1829</v>
      </c>
      <c r="F381" s="598">
        <v>0</v>
      </c>
      <c r="G381" s="598">
        <v>0</v>
      </c>
      <c r="H381" s="598">
        <v>0</v>
      </c>
      <c r="I381" s="598">
        <v>0</v>
      </c>
      <c r="J381" s="598">
        <v>0</v>
      </c>
      <c r="K381" s="598">
        <v>0</v>
      </c>
      <c r="L381" s="598">
        <v>0</v>
      </c>
      <c r="M381" s="600"/>
      <c r="N381" s="600"/>
      <c r="O381" s="138"/>
      <c r="P381" s="195"/>
      <c r="Q381" s="180"/>
      <c r="R381" s="195"/>
      <c r="S381" s="181"/>
      <c r="T381" s="111"/>
      <c r="U381" s="151"/>
      <c r="V381" s="195"/>
      <c r="W381" s="111"/>
      <c r="X381" s="195"/>
    </row>
    <row r="382" spans="1:24" x14ac:dyDescent="0.25">
      <c r="A382" s="213">
        <v>5878</v>
      </c>
      <c r="B382" s="214" t="s">
        <v>2039</v>
      </c>
      <c r="C382" s="597" t="s">
        <v>1829</v>
      </c>
      <c r="D382" s="597" t="s">
        <v>1829</v>
      </c>
      <c r="E382" s="597" t="s">
        <v>1829</v>
      </c>
      <c r="F382" s="598">
        <v>0</v>
      </c>
      <c r="G382" s="598">
        <v>0</v>
      </c>
      <c r="H382" s="598">
        <v>0</v>
      </c>
      <c r="I382" s="598">
        <v>0</v>
      </c>
      <c r="J382" s="598">
        <v>0</v>
      </c>
      <c r="K382" s="598">
        <v>0</v>
      </c>
      <c r="L382" s="598">
        <v>0</v>
      </c>
      <c r="M382" s="600"/>
      <c r="N382" s="600"/>
      <c r="O382" s="138"/>
      <c r="P382" s="195"/>
      <c r="Q382" s="180"/>
      <c r="R382" s="195"/>
      <c r="S382" s="181"/>
      <c r="T382" s="111"/>
      <c r="U382" s="151"/>
      <c r="V382" s="195"/>
      <c r="W382" s="111"/>
      <c r="X382" s="195"/>
    </row>
    <row r="383" spans="1:24" x14ac:dyDescent="0.25">
      <c r="A383" s="213">
        <v>5892</v>
      </c>
      <c r="B383" s="214" t="s">
        <v>2040</v>
      </c>
      <c r="C383" s="597" t="s">
        <v>1829</v>
      </c>
      <c r="D383" s="597" t="s">
        <v>1829</v>
      </c>
      <c r="E383" s="597" t="s">
        <v>1829</v>
      </c>
      <c r="F383" s="598">
        <v>0</v>
      </c>
      <c r="G383" s="598">
        <v>0</v>
      </c>
      <c r="H383" s="598">
        <v>0</v>
      </c>
      <c r="I383" s="598">
        <v>0</v>
      </c>
      <c r="J383" s="598">
        <v>0</v>
      </c>
      <c r="K383" s="598">
        <v>0</v>
      </c>
      <c r="L383" s="598">
        <v>0</v>
      </c>
      <c r="M383" s="600"/>
      <c r="N383" s="600"/>
      <c r="O383" s="138"/>
      <c r="P383" s="195"/>
      <c r="Q383" s="180"/>
      <c r="R383" s="195"/>
      <c r="S383" s="181"/>
      <c r="T383" s="111"/>
      <c r="U383" s="151"/>
      <c r="V383" s="195"/>
      <c r="W383" s="111"/>
      <c r="X383" s="195"/>
    </row>
    <row r="384" spans="1:24" x14ac:dyDescent="0.25">
      <c r="A384" s="213">
        <v>5896</v>
      </c>
      <c r="B384" s="214" t="s">
        <v>2041</v>
      </c>
      <c r="C384" s="597" t="s">
        <v>1829</v>
      </c>
      <c r="D384" s="597" t="s">
        <v>1829</v>
      </c>
      <c r="E384" s="597" t="s">
        <v>1829</v>
      </c>
      <c r="F384" s="598">
        <v>0</v>
      </c>
      <c r="G384" s="598">
        <v>0</v>
      </c>
      <c r="H384" s="598">
        <v>0</v>
      </c>
      <c r="I384" s="598">
        <v>0</v>
      </c>
      <c r="J384" s="598">
        <v>0</v>
      </c>
      <c r="K384" s="598">
        <v>0</v>
      </c>
      <c r="L384" s="598">
        <v>0</v>
      </c>
      <c r="M384" s="600"/>
      <c r="N384" s="600"/>
      <c r="O384" s="138"/>
      <c r="P384" s="195"/>
      <c r="Q384" s="180"/>
      <c r="R384" s="195"/>
      <c r="S384" s="181"/>
      <c r="T384" s="111"/>
      <c r="U384" s="151"/>
      <c r="V384" s="195"/>
      <c r="W384" s="111"/>
      <c r="X384" s="195"/>
    </row>
    <row r="385" spans="1:24" x14ac:dyDescent="0.25">
      <c r="A385" s="213">
        <v>5902</v>
      </c>
      <c r="B385" s="214" t="s">
        <v>2042</v>
      </c>
      <c r="C385" s="597" t="s">
        <v>1829</v>
      </c>
      <c r="D385" s="597" t="s">
        <v>1829</v>
      </c>
      <c r="E385" s="597" t="s">
        <v>1829</v>
      </c>
      <c r="F385" s="598">
        <v>0</v>
      </c>
      <c r="G385" s="598">
        <v>0</v>
      </c>
      <c r="H385" s="598">
        <v>0</v>
      </c>
      <c r="I385" s="598">
        <v>0</v>
      </c>
      <c r="J385" s="598">
        <v>0</v>
      </c>
      <c r="K385" s="598">
        <v>0</v>
      </c>
      <c r="L385" s="598">
        <v>0</v>
      </c>
      <c r="M385" s="600"/>
      <c r="N385" s="600"/>
      <c r="O385" s="138"/>
      <c r="P385" s="195"/>
      <c r="Q385" s="180"/>
      <c r="R385" s="195"/>
      <c r="S385" s="181"/>
      <c r="T385" s="111"/>
      <c r="U385" s="151"/>
      <c r="V385" s="195"/>
      <c r="W385" s="111"/>
      <c r="X385" s="195"/>
    </row>
    <row r="386" spans="1:24" x14ac:dyDescent="0.25">
      <c r="A386" s="213">
        <v>6061</v>
      </c>
      <c r="B386" s="214" t="s">
        <v>2043</v>
      </c>
      <c r="C386" s="597" t="s">
        <v>1829</v>
      </c>
      <c r="D386" s="597" t="s">
        <v>1829</v>
      </c>
      <c r="E386" s="597" t="s">
        <v>1829</v>
      </c>
      <c r="F386" s="598">
        <v>0</v>
      </c>
      <c r="G386" s="598">
        <v>0</v>
      </c>
      <c r="H386" s="598">
        <v>0</v>
      </c>
      <c r="I386" s="598">
        <v>0</v>
      </c>
      <c r="J386" s="598">
        <v>0</v>
      </c>
      <c r="K386" s="598">
        <v>0</v>
      </c>
      <c r="L386" s="598">
        <v>0</v>
      </c>
      <c r="M386" s="600"/>
      <c r="N386" s="600"/>
      <c r="O386" s="138"/>
      <c r="P386" s="195"/>
      <c r="Q386" s="180"/>
      <c r="R386" s="195"/>
      <c r="S386" s="181"/>
      <c r="T386" s="111"/>
      <c r="U386" s="151"/>
      <c r="V386" s="195"/>
      <c r="W386" s="111"/>
      <c r="X386" s="195"/>
    </row>
    <row r="387" spans="1:24" x14ac:dyDescent="0.25">
      <c r="A387" s="213">
        <v>6072</v>
      </c>
      <c r="B387" s="214" t="s">
        <v>2044</v>
      </c>
      <c r="C387" s="597" t="s">
        <v>1829</v>
      </c>
      <c r="D387" s="597" t="s">
        <v>1829</v>
      </c>
      <c r="E387" s="597" t="s">
        <v>1829</v>
      </c>
      <c r="F387" s="598">
        <v>0</v>
      </c>
      <c r="G387" s="598">
        <v>0</v>
      </c>
      <c r="H387" s="598">
        <v>0</v>
      </c>
      <c r="I387" s="598">
        <v>0</v>
      </c>
      <c r="J387" s="598">
        <v>0</v>
      </c>
      <c r="K387" s="598">
        <v>0</v>
      </c>
      <c r="L387" s="598">
        <v>0</v>
      </c>
      <c r="M387" s="600"/>
      <c r="N387" s="600"/>
      <c r="O387" s="138"/>
      <c r="P387" s="195"/>
      <c r="Q387" s="180"/>
      <c r="R387" s="195"/>
      <c r="S387" s="181"/>
      <c r="T387" s="111"/>
      <c r="U387" s="151"/>
      <c r="V387" s="195"/>
      <c r="W387" s="111"/>
      <c r="X387" s="195"/>
    </row>
    <row r="388" spans="1:24" x14ac:dyDescent="0.25">
      <c r="A388" s="213">
        <v>7056</v>
      </c>
      <c r="B388" s="214" t="s">
        <v>2045</v>
      </c>
      <c r="C388" s="597" t="s">
        <v>1829</v>
      </c>
      <c r="D388" s="597" t="s">
        <v>1829</v>
      </c>
      <c r="E388" s="597" t="s">
        <v>1829</v>
      </c>
      <c r="F388" s="598">
        <v>0</v>
      </c>
      <c r="G388" s="598">
        <v>0</v>
      </c>
      <c r="H388" s="598">
        <v>0</v>
      </c>
      <c r="I388" s="598">
        <v>0</v>
      </c>
      <c r="J388" s="598">
        <v>0</v>
      </c>
      <c r="K388" s="598">
        <v>0</v>
      </c>
      <c r="L388" s="598">
        <v>0</v>
      </c>
      <c r="M388" s="600"/>
      <c r="N388" s="600"/>
      <c r="O388" s="138"/>
      <c r="P388" s="195"/>
      <c r="Q388" s="180"/>
      <c r="R388" s="195"/>
      <c r="S388" s="181"/>
      <c r="T388" s="111"/>
      <c r="U388" s="151"/>
      <c r="V388" s="195"/>
      <c r="W388" s="111"/>
      <c r="X388" s="195"/>
    </row>
    <row r="389" spans="1:24" x14ac:dyDescent="0.25">
      <c r="A389" s="213">
        <v>8000</v>
      </c>
      <c r="B389" s="214" t="s">
        <v>2046</v>
      </c>
      <c r="C389" s="597" t="s">
        <v>1829</v>
      </c>
      <c r="D389" s="597" t="s">
        <v>1829</v>
      </c>
      <c r="E389" s="597" t="s">
        <v>1829</v>
      </c>
      <c r="F389" s="598">
        <v>0</v>
      </c>
      <c r="G389" s="598">
        <v>0</v>
      </c>
      <c r="H389" s="598">
        <v>0</v>
      </c>
      <c r="I389" s="598">
        <v>0</v>
      </c>
      <c r="J389" s="598">
        <v>0</v>
      </c>
      <c r="K389" s="598">
        <v>0</v>
      </c>
      <c r="L389" s="598">
        <v>0</v>
      </c>
      <c r="M389" s="600"/>
      <c r="N389" s="600"/>
      <c r="O389" s="138"/>
      <c r="P389" s="195"/>
      <c r="Q389" s="180"/>
      <c r="R389" s="195"/>
      <c r="S389" s="181"/>
      <c r="T389" s="111"/>
      <c r="U389" s="151"/>
      <c r="V389" s="195"/>
      <c r="W389" s="111"/>
      <c r="X389" s="195"/>
    </row>
    <row r="390" spans="1:24" x14ac:dyDescent="0.25">
      <c r="A390" s="213">
        <v>8003</v>
      </c>
      <c r="B390" s="214" t="s">
        <v>2047</v>
      </c>
      <c r="C390" s="597" t="s">
        <v>1829</v>
      </c>
      <c r="D390" s="597" t="s">
        <v>1829</v>
      </c>
      <c r="E390" s="597" t="s">
        <v>1829</v>
      </c>
      <c r="F390" s="598">
        <v>0</v>
      </c>
      <c r="G390" s="598">
        <v>0</v>
      </c>
      <c r="H390" s="598">
        <v>0</v>
      </c>
      <c r="I390" s="598">
        <v>0</v>
      </c>
      <c r="J390" s="598">
        <v>0</v>
      </c>
      <c r="K390" s="598">
        <v>0</v>
      </c>
      <c r="L390" s="598">
        <v>0</v>
      </c>
      <c r="M390" s="600"/>
      <c r="N390" s="600"/>
      <c r="O390" s="138"/>
      <c r="P390" s="195"/>
      <c r="Q390" s="180"/>
      <c r="R390" s="195"/>
      <c r="S390" s="181"/>
      <c r="T390" s="111"/>
      <c r="U390" s="151"/>
      <c r="V390" s="195"/>
      <c r="W390" s="111"/>
      <c r="X390" s="195"/>
    </row>
    <row r="391" spans="1:24" x14ac:dyDescent="0.25">
      <c r="A391" s="213">
        <v>8004</v>
      </c>
      <c r="B391" s="214" t="s">
        <v>2048</v>
      </c>
      <c r="C391" s="597" t="s">
        <v>1829</v>
      </c>
      <c r="D391" s="597" t="s">
        <v>1829</v>
      </c>
      <c r="E391" s="597" t="s">
        <v>1829</v>
      </c>
      <c r="F391" s="598">
        <v>0</v>
      </c>
      <c r="G391" s="598">
        <v>0</v>
      </c>
      <c r="H391" s="598">
        <v>0</v>
      </c>
      <c r="I391" s="598">
        <v>0</v>
      </c>
      <c r="J391" s="598">
        <v>0</v>
      </c>
      <c r="K391" s="598">
        <v>0</v>
      </c>
      <c r="L391" s="598">
        <v>0</v>
      </c>
      <c r="M391" s="600"/>
      <c r="N391" s="600"/>
      <c r="O391" s="138"/>
      <c r="P391" s="195"/>
      <c r="Q391" s="180"/>
      <c r="R391" s="195"/>
      <c r="S391" s="181"/>
      <c r="T391" s="111"/>
      <c r="U391" s="151"/>
      <c r="V391" s="195"/>
      <c r="W391" s="111"/>
      <c r="X391" s="195"/>
    </row>
    <row r="392" spans="1:24" x14ac:dyDescent="0.25">
      <c r="A392" s="213">
        <v>8005</v>
      </c>
      <c r="B392" s="214" t="s">
        <v>2049</v>
      </c>
      <c r="C392" s="597" t="s">
        <v>1829</v>
      </c>
      <c r="D392" s="597" t="s">
        <v>1829</v>
      </c>
      <c r="E392" s="597" t="s">
        <v>1829</v>
      </c>
      <c r="F392" s="598">
        <v>0</v>
      </c>
      <c r="G392" s="598">
        <v>0</v>
      </c>
      <c r="H392" s="598">
        <v>0</v>
      </c>
      <c r="I392" s="598">
        <v>0</v>
      </c>
      <c r="J392" s="598">
        <v>0</v>
      </c>
      <c r="K392" s="598">
        <v>0</v>
      </c>
      <c r="L392" s="598">
        <v>0</v>
      </c>
      <c r="M392" s="600"/>
      <c r="N392" s="600"/>
      <c r="O392" s="138"/>
      <c r="P392" s="195"/>
      <c r="Q392" s="180"/>
      <c r="R392" s="195"/>
      <c r="S392" s="181"/>
      <c r="T392" s="111"/>
      <c r="U392" s="151"/>
      <c r="V392" s="195"/>
      <c r="W392" s="111"/>
      <c r="X392" s="195"/>
    </row>
    <row r="393" spans="1:24" x14ac:dyDescent="0.25">
      <c r="A393" s="213">
        <v>8006</v>
      </c>
      <c r="B393" s="214" t="s">
        <v>2050</v>
      </c>
      <c r="C393" s="597" t="s">
        <v>1829</v>
      </c>
      <c r="D393" s="597" t="s">
        <v>1829</v>
      </c>
      <c r="E393" s="597" t="s">
        <v>1829</v>
      </c>
      <c r="F393" s="598">
        <v>0</v>
      </c>
      <c r="G393" s="598">
        <v>0</v>
      </c>
      <c r="H393" s="598">
        <v>0</v>
      </c>
      <c r="I393" s="598">
        <v>0</v>
      </c>
      <c r="J393" s="598">
        <v>0</v>
      </c>
      <c r="K393" s="598">
        <v>0</v>
      </c>
      <c r="L393" s="598">
        <v>0</v>
      </c>
      <c r="M393" s="600"/>
      <c r="N393" s="600"/>
      <c r="O393" s="138"/>
      <c r="P393" s="195"/>
      <c r="Q393" s="180"/>
      <c r="R393" s="195"/>
      <c r="S393" s="181"/>
      <c r="T393" s="111"/>
      <c r="U393" s="151"/>
      <c r="V393" s="195"/>
      <c r="W393" s="111"/>
      <c r="X393" s="195"/>
    </row>
    <row r="394" spans="1:24" x14ac:dyDescent="0.25">
      <c r="A394" s="213">
        <v>8009</v>
      </c>
      <c r="B394" s="214" t="s">
        <v>2051</v>
      </c>
      <c r="C394" s="597" t="s">
        <v>1829</v>
      </c>
      <c r="D394" s="597" t="s">
        <v>1829</v>
      </c>
      <c r="E394" s="597" t="s">
        <v>1829</v>
      </c>
      <c r="F394" s="598">
        <v>0</v>
      </c>
      <c r="G394" s="598">
        <v>0</v>
      </c>
      <c r="H394" s="598">
        <v>0</v>
      </c>
      <c r="I394" s="598">
        <v>0</v>
      </c>
      <c r="J394" s="598">
        <v>0</v>
      </c>
      <c r="K394" s="598">
        <v>0</v>
      </c>
      <c r="L394" s="598">
        <v>0</v>
      </c>
      <c r="M394" s="600"/>
      <c r="N394" s="600"/>
      <c r="O394" s="138"/>
      <c r="P394" s="195"/>
      <c r="Q394" s="180"/>
      <c r="R394" s="195"/>
      <c r="S394" s="181"/>
      <c r="T394" s="111"/>
      <c r="U394" s="151"/>
      <c r="V394" s="195"/>
      <c r="W394" s="111"/>
      <c r="X394" s="195"/>
    </row>
    <row r="395" spans="1:24" x14ac:dyDescent="0.25">
      <c r="A395" s="213">
        <v>8010</v>
      </c>
      <c r="B395" s="214" t="s">
        <v>2052</v>
      </c>
      <c r="C395" s="597" t="s">
        <v>1829</v>
      </c>
      <c r="D395" s="597" t="s">
        <v>1829</v>
      </c>
      <c r="E395" s="597" t="s">
        <v>1829</v>
      </c>
      <c r="F395" s="598">
        <v>0</v>
      </c>
      <c r="G395" s="598">
        <v>0</v>
      </c>
      <c r="H395" s="598">
        <v>0</v>
      </c>
      <c r="I395" s="598">
        <v>0</v>
      </c>
      <c r="J395" s="598">
        <v>0</v>
      </c>
      <c r="K395" s="598">
        <v>0</v>
      </c>
      <c r="L395" s="598">
        <v>0</v>
      </c>
      <c r="M395" s="600"/>
      <c r="N395" s="600"/>
      <c r="O395" s="138"/>
      <c r="P395" s="195"/>
      <c r="Q395" s="180"/>
      <c r="R395" s="195"/>
      <c r="S395" s="181"/>
      <c r="T395" s="111"/>
      <c r="U395" s="151"/>
      <c r="V395" s="195"/>
      <c r="W395" s="111"/>
      <c r="X395" s="195"/>
    </row>
    <row r="396" spans="1:24" x14ac:dyDescent="0.25">
      <c r="A396" s="213">
        <v>8011</v>
      </c>
      <c r="B396" s="214" t="s">
        <v>2053</v>
      </c>
      <c r="C396" s="597" t="s">
        <v>1829</v>
      </c>
      <c r="D396" s="597" t="s">
        <v>1829</v>
      </c>
      <c r="E396" s="597" t="s">
        <v>1829</v>
      </c>
      <c r="F396" s="598">
        <v>0</v>
      </c>
      <c r="G396" s="598">
        <v>0</v>
      </c>
      <c r="H396" s="598">
        <v>0</v>
      </c>
      <c r="I396" s="598">
        <v>0</v>
      </c>
      <c r="J396" s="598">
        <v>0</v>
      </c>
      <c r="K396" s="598">
        <v>0</v>
      </c>
      <c r="L396" s="598">
        <v>0</v>
      </c>
      <c r="M396" s="600"/>
      <c r="N396" s="600"/>
      <c r="O396" s="138"/>
      <c r="P396" s="195"/>
      <c r="Q396" s="180"/>
      <c r="R396" s="195"/>
      <c r="S396" s="181"/>
      <c r="T396" s="111"/>
      <c r="U396" s="151"/>
      <c r="V396" s="195"/>
      <c r="W396" s="111"/>
      <c r="X396" s="195"/>
    </row>
    <row r="397" spans="1:24" x14ac:dyDescent="0.25">
      <c r="A397" s="213">
        <v>8012</v>
      </c>
      <c r="B397" s="214" t="s">
        <v>2054</v>
      </c>
      <c r="C397" s="597" t="s">
        <v>1829</v>
      </c>
      <c r="D397" s="597" t="s">
        <v>1829</v>
      </c>
      <c r="E397" s="597" t="s">
        <v>1829</v>
      </c>
      <c r="F397" s="598">
        <v>0</v>
      </c>
      <c r="G397" s="598">
        <v>0</v>
      </c>
      <c r="H397" s="598">
        <v>0</v>
      </c>
      <c r="I397" s="598">
        <v>0</v>
      </c>
      <c r="J397" s="598">
        <v>0</v>
      </c>
      <c r="K397" s="598">
        <v>0</v>
      </c>
      <c r="L397" s="598">
        <v>0</v>
      </c>
      <c r="M397" s="600"/>
      <c r="N397" s="600"/>
      <c r="O397" s="138"/>
      <c r="P397" s="195"/>
      <c r="Q397" s="180"/>
      <c r="R397" s="195"/>
      <c r="S397" s="181"/>
      <c r="T397" s="111"/>
      <c r="U397" s="151"/>
      <c r="V397" s="195"/>
      <c r="W397" s="111"/>
      <c r="X397" s="195"/>
    </row>
    <row r="398" spans="1:24" x14ac:dyDescent="0.25">
      <c r="A398" s="213">
        <v>8013</v>
      </c>
      <c r="B398" s="214" t="s">
        <v>2055</v>
      </c>
      <c r="C398" s="597" t="s">
        <v>1829</v>
      </c>
      <c r="D398" s="597" t="s">
        <v>1829</v>
      </c>
      <c r="E398" s="597" t="s">
        <v>1829</v>
      </c>
      <c r="F398" s="598">
        <v>0</v>
      </c>
      <c r="G398" s="598">
        <v>0</v>
      </c>
      <c r="H398" s="598">
        <v>0</v>
      </c>
      <c r="I398" s="598">
        <v>0</v>
      </c>
      <c r="J398" s="598">
        <v>0</v>
      </c>
      <c r="K398" s="598">
        <v>0</v>
      </c>
      <c r="L398" s="598">
        <v>0</v>
      </c>
      <c r="M398" s="600"/>
      <c r="N398" s="600"/>
      <c r="O398" s="138"/>
      <c r="P398" s="195"/>
      <c r="Q398" s="180"/>
      <c r="R398" s="195"/>
      <c r="S398" s="181"/>
      <c r="T398" s="111"/>
      <c r="U398" s="151"/>
      <c r="V398" s="195"/>
      <c r="W398" s="111"/>
      <c r="X398" s="195"/>
    </row>
    <row r="399" spans="1:24" x14ac:dyDescent="0.25">
      <c r="A399" s="213">
        <v>8014</v>
      </c>
      <c r="B399" s="214" t="s">
        <v>2056</v>
      </c>
      <c r="C399" s="597" t="s">
        <v>1829</v>
      </c>
      <c r="D399" s="597" t="s">
        <v>1829</v>
      </c>
      <c r="E399" s="597" t="s">
        <v>1829</v>
      </c>
      <c r="F399" s="598">
        <v>0</v>
      </c>
      <c r="G399" s="598">
        <v>0</v>
      </c>
      <c r="H399" s="598">
        <v>0</v>
      </c>
      <c r="I399" s="598">
        <v>0</v>
      </c>
      <c r="J399" s="598">
        <v>0</v>
      </c>
      <c r="K399" s="598">
        <v>0</v>
      </c>
      <c r="L399" s="598">
        <v>0</v>
      </c>
      <c r="M399" s="600"/>
      <c r="N399" s="600"/>
      <c r="O399" s="138"/>
      <c r="P399" s="195"/>
      <c r="Q399" s="180"/>
      <c r="R399" s="195"/>
      <c r="S399" s="181"/>
      <c r="T399" s="111"/>
      <c r="U399" s="151"/>
      <c r="V399" s="195"/>
      <c r="W399" s="111"/>
      <c r="X399" s="195"/>
    </row>
    <row r="400" spans="1:24" x14ac:dyDescent="0.25">
      <c r="A400" s="213">
        <v>8016</v>
      </c>
      <c r="B400" s="214" t="s">
        <v>2057</v>
      </c>
      <c r="C400" s="597" t="s">
        <v>1829</v>
      </c>
      <c r="D400" s="597" t="s">
        <v>1829</v>
      </c>
      <c r="E400" s="597" t="s">
        <v>1829</v>
      </c>
      <c r="F400" s="598">
        <v>0</v>
      </c>
      <c r="G400" s="598">
        <v>0</v>
      </c>
      <c r="H400" s="598">
        <v>0</v>
      </c>
      <c r="I400" s="598">
        <v>0</v>
      </c>
      <c r="J400" s="598">
        <v>0</v>
      </c>
      <c r="K400" s="598">
        <v>0</v>
      </c>
      <c r="L400" s="598">
        <v>0</v>
      </c>
      <c r="M400" s="600"/>
      <c r="N400" s="600"/>
      <c r="O400" s="138"/>
      <c r="P400" s="195"/>
      <c r="Q400" s="180"/>
      <c r="R400" s="195"/>
      <c r="S400" s="181"/>
      <c r="T400" s="111"/>
      <c r="U400" s="151"/>
      <c r="V400" s="195"/>
      <c r="W400" s="111"/>
      <c r="X400" s="195"/>
    </row>
    <row r="401" spans="1:24" x14ac:dyDescent="0.25">
      <c r="A401" s="213">
        <v>8017</v>
      </c>
      <c r="B401" s="214" t="s">
        <v>2058</v>
      </c>
      <c r="C401" s="597" t="s">
        <v>1829</v>
      </c>
      <c r="D401" s="597" t="s">
        <v>1829</v>
      </c>
      <c r="E401" s="597" t="s">
        <v>1829</v>
      </c>
      <c r="F401" s="598">
        <v>0</v>
      </c>
      <c r="G401" s="598">
        <v>0</v>
      </c>
      <c r="H401" s="598">
        <v>0</v>
      </c>
      <c r="I401" s="598">
        <v>0</v>
      </c>
      <c r="J401" s="598">
        <v>0</v>
      </c>
      <c r="K401" s="598">
        <v>0</v>
      </c>
      <c r="L401" s="598">
        <v>0</v>
      </c>
      <c r="M401" s="600"/>
      <c r="N401" s="600"/>
      <c r="O401" s="138"/>
      <c r="P401" s="195"/>
      <c r="Q401" s="180"/>
      <c r="R401" s="195"/>
      <c r="S401" s="181"/>
      <c r="T401" s="111"/>
      <c r="U401" s="151"/>
      <c r="V401" s="195"/>
      <c r="W401" s="111"/>
      <c r="X401" s="195"/>
    </row>
    <row r="402" spans="1:24" x14ac:dyDescent="0.25">
      <c r="A402" s="213">
        <v>8018</v>
      </c>
      <c r="B402" s="214" t="s">
        <v>2059</v>
      </c>
      <c r="C402" s="597" t="s">
        <v>1829</v>
      </c>
      <c r="D402" s="597" t="s">
        <v>1829</v>
      </c>
      <c r="E402" s="597" t="s">
        <v>1829</v>
      </c>
      <c r="F402" s="598">
        <v>0</v>
      </c>
      <c r="G402" s="598">
        <v>0</v>
      </c>
      <c r="H402" s="598">
        <v>0</v>
      </c>
      <c r="I402" s="598">
        <v>0</v>
      </c>
      <c r="J402" s="598">
        <v>0</v>
      </c>
      <c r="K402" s="598">
        <v>0</v>
      </c>
      <c r="L402" s="598">
        <v>0</v>
      </c>
      <c r="M402" s="600"/>
      <c r="N402" s="600"/>
      <c r="O402" s="138"/>
      <c r="P402" s="195"/>
      <c r="Q402" s="180"/>
      <c r="R402" s="195"/>
      <c r="S402" s="181"/>
      <c r="T402" s="111"/>
      <c r="U402" s="151"/>
      <c r="V402" s="195"/>
      <c r="W402" s="111"/>
      <c r="X402" s="195"/>
    </row>
    <row r="403" spans="1:24" x14ac:dyDescent="0.25">
      <c r="A403" s="213">
        <v>8019</v>
      </c>
      <c r="B403" s="214" t="s">
        <v>2060</v>
      </c>
      <c r="C403" s="597" t="s">
        <v>1829</v>
      </c>
      <c r="D403" s="597" t="s">
        <v>1829</v>
      </c>
      <c r="E403" s="597" t="s">
        <v>1829</v>
      </c>
      <c r="F403" s="598">
        <v>0</v>
      </c>
      <c r="G403" s="598">
        <v>0</v>
      </c>
      <c r="H403" s="598">
        <v>0</v>
      </c>
      <c r="I403" s="598">
        <v>0</v>
      </c>
      <c r="J403" s="598">
        <v>0</v>
      </c>
      <c r="K403" s="598">
        <v>0</v>
      </c>
      <c r="L403" s="598">
        <v>0</v>
      </c>
      <c r="M403" s="600"/>
      <c r="N403" s="600"/>
      <c r="O403" s="138"/>
      <c r="P403" s="195"/>
      <c r="Q403" s="180"/>
      <c r="R403" s="195"/>
      <c r="S403" s="181"/>
      <c r="T403" s="111"/>
      <c r="U403" s="151"/>
      <c r="V403" s="195"/>
      <c r="W403" s="111"/>
      <c r="X403" s="195"/>
    </row>
    <row r="404" spans="1:24" x14ac:dyDescent="0.25">
      <c r="A404" s="213">
        <v>8020</v>
      </c>
      <c r="B404" s="214" t="s">
        <v>2061</v>
      </c>
      <c r="C404" s="597" t="s">
        <v>1829</v>
      </c>
      <c r="D404" s="597" t="s">
        <v>1829</v>
      </c>
      <c r="E404" s="597" t="s">
        <v>1829</v>
      </c>
      <c r="F404" s="598">
        <v>0</v>
      </c>
      <c r="G404" s="598">
        <v>0</v>
      </c>
      <c r="H404" s="598">
        <v>0</v>
      </c>
      <c r="I404" s="598">
        <v>0</v>
      </c>
      <c r="J404" s="598">
        <v>0</v>
      </c>
      <c r="K404" s="598">
        <v>0</v>
      </c>
      <c r="L404" s="598">
        <v>0</v>
      </c>
      <c r="M404" s="600"/>
      <c r="N404" s="600"/>
      <c r="O404" s="138"/>
      <c r="P404" s="195"/>
      <c r="Q404" s="180"/>
      <c r="R404" s="195"/>
      <c r="S404" s="181"/>
      <c r="T404" s="111"/>
      <c r="U404" s="151"/>
      <c r="V404" s="195"/>
      <c r="W404" s="111"/>
      <c r="X404" s="195"/>
    </row>
    <row r="405" spans="1:24" x14ac:dyDescent="0.25">
      <c r="A405" s="213">
        <v>8021</v>
      </c>
      <c r="B405" s="214" t="s">
        <v>2062</v>
      </c>
      <c r="C405" s="597" t="s">
        <v>1829</v>
      </c>
      <c r="D405" s="597" t="s">
        <v>1829</v>
      </c>
      <c r="E405" s="597" t="s">
        <v>1829</v>
      </c>
      <c r="F405" s="598">
        <v>0</v>
      </c>
      <c r="G405" s="598">
        <v>0</v>
      </c>
      <c r="H405" s="598">
        <v>0</v>
      </c>
      <c r="I405" s="598">
        <v>0</v>
      </c>
      <c r="J405" s="598">
        <v>0</v>
      </c>
      <c r="K405" s="598">
        <v>0</v>
      </c>
      <c r="L405" s="598">
        <v>0</v>
      </c>
      <c r="M405" s="600"/>
      <c r="N405" s="600"/>
      <c r="O405" s="138"/>
      <c r="P405" s="195"/>
      <c r="Q405" s="180"/>
      <c r="R405" s="195"/>
      <c r="S405" s="181"/>
      <c r="T405" s="111"/>
      <c r="U405" s="151"/>
      <c r="V405" s="195"/>
      <c r="W405" s="111"/>
      <c r="X405" s="195"/>
    </row>
    <row r="406" spans="1:24" x14ac:dyDescent="0.25">
      <c r="A406" s="213">
        <v>8022</v>
      </c>
      <c r="B406" s="214" t="s">
        <v>2063</v>
      </c>
      <c r="C406" s="597" t="s">
        <v>1829</v>
      </c>
      <c r="D406" s="597" t="s">
        <v>1829</v>
      </c>
      <c r="E406" s="597" t="s">
        <v>1829</v>
      </c>
      <c r="F406" s="598">
        <v>0</v>
      </c>
      <c r="G406" s="598">
        <v>0</v>
      </c>
      <c r="H406" s="598">
        <v>0</v>
      </c>
      <c r="I406" s="598">
        <v>0</v>
      </c>
      <c r="J406" s="598">
        <v>0</v>
      </c>
      <c r="K406" s="598">
        <v>0</v>
      </c>
      <c r="L406" s="598">
        <v>0</v>
      </c>
      <c r="M406" s="600"/>
      <c r="N406" s="600"/>
      <c r="O406" s="138"/>
      <c r="P406" s="195"/>
      <c r="Q406" s="180"/>
      <c r="R406" s="195"/>
      <c r="S406" s="181"/>
      <c r="T406" s="111"/>
      <c r="U406" s="151"/>
      <c r="V406" s="195"/>
      <c r="W406" s="111"/>
      <c r="X406" s="195"/>
    </row>
    <row r="407" spans="1:24" x14ac:dyDescent="0.25">
      <c r="A407" s="213">
        <v>8023</v>
      </c>
      <c r="B407" s="214" t="s">
        <v>2064</v>
      </c>
      <c r="C407" s="597" t="s">
        <v>1829</v>
      </c>
      <c r="D407" s="597" t="s">
        <v>1829</v>
      </c>
      <c r="E407" s="597" t="s">
        <v>1829</v>
      </c>
      <c r="F407" s="598">
        <v>0</v>
      </c>
      <c r="G407" s="598">
        <v>0</v>
      </c>
      <c r="H407" s="598">
        <v>0</v>
      </c>
      <c r="I407" s="598">
        <v>0</v>
      </c>
      <c r="J407" s="598">
        <v>0</v>
      </c>
      <c r="K407" s="598">
        <v>0</v>
      </c>
      <c r="L407" s="598">
        <v>0</v>
      </c>
      <c r="M407" s="600"/>
      <c r="N407" s="600"/>
      <c r="O407" s="138"/>
      <c r="P407" s="195"/>
      <c r="Q407" s="180"/>
      <c r="R407" s="195"/>
      <c r="S407" s="181"/>
      <c r="T407" s="111"/>
      <c r="U407" s="151"/>
      <c r="V407" s="195"/>
      <c r="W407" s="111"/>
      <c r="X407" s="195"/>
    </row>
    <row r="408" spans="1:24" x14ac:dyDescent="0.25">
      <c r="A408" s="213">
        <v>8024</v>
      </c>
      <c r="B408" s="214" t="s">
        <v>2065</v>
      </c>
      <c r="C408" s="597" t="s">
        <v>1829</v>
      </c>
      <c r="D408" s="597" t="s">
        <v>1829</v>
      </c>
      <c r="E408" s="597" t="s">
        <v>1829</v>
      </c>
      <c r="F408" s="598">
        <v>0</v>
      </c>
      <c r="G408" s="598">
        <v>0</v>
      </c>
      <c r="H408" s="598">
        <v>0</v>
      </c>
      <c r="I408" s="598">
        <v>0</v>
      </c>
      <c r="J408" s="598">
        <v>0</v>
      </c>
      <c r="K408" s="598">
        <v>0</v>
      </c>
      <c r="L408" s="598">
        <v>0</v>
      </c>
      <c r="M408" s="600"/>
      <c r="N408" s="600"/>
      <c r="O408" s="138"/>
      <c r="P408" s="195"/>
      <c r="Q408" s="180"/>
      <c r="R408" s="195"/>
      <c r="S408" s="181"/>
      <c r="T408" s="111"/>
      <c r="U408" s="151"/>
      <c r="V408" s="195"/>
      <c r="W408" s="111"/>
      <c r="X408" s="195"/>
    </row>
    <row r="409" spans="1:24" x14ac:dyDescent="0.25">
      <c r="A409" s="213">
        <v>8025</v>
      </c>
      <c r="B409" s="214" t="s">
        <v>2066</v>
      </c>
      <c r="C409" s="597" t="s">
        <v>1829</v>
      </c>
      <c r="D409" s="597" t="s">
        <v>1829</v>
      </c>
      <c r="E409" s="597" t="s">
        <v>1829</v>
      </c>
      <c r="F409" s="598">
        <v>0</v>
      </c>
      <c r="G409" s="598">
        <v>0</v>
      </c>
      <c r="H409" s="598">
        <v>0</v>
      </c>
      <c r="I409" s="598">
        <v>0</v>
      </c>
      <c r="J409" s="598">
        <v>0</v>
      </c>
      <c r="K409" s="598">
        <v>0</v>
      </c>
      <c r="L409" s="598">
        <v>0</v>
      </c>
      <c r="M409" s="600"/>
      <c r="N409" s="600"/>
      <c r="O409" s="138"/>
      <c r="P409" s="195"/>
      <c r="Q409" s="180"/>
      <c r="R409" s="195"/>
      <c r="S409" s="181"/>
      <c r="T409" s="111"/>
      <c r="U409" s="151"/>
      <c r="V409" s="195"/>
      <c r="W409" s="111"/>
      <c r="X409" s="195"/>
    </row>
    <row r="410" spans="1:24" x14ac:dyDescent="0.25">
      <c r="A410" s="213">
        <v>8026</v>
      </c>
      <c r="B410" s="214" t="s">
        <v>2067</v>
      </c>
      <c r="C410" s="597" t="s">
        <v>1829</v>
      </c>
      <c r="D410" s="597" t="s">
        <v>1829</v>
      </c>
      <c r="E410" s="597" t="s">
        <v>1829</v>
      </c>
      <c r="F410" s="598">
        <v>0</v>
      </c>
      <c r="G410" s="598">
        <v>0</v>
      </c>
      <c r="H410" s="598">
        <v>0</v>
      </c>
      <c r="I410" s="598">
        <v>0</v>
      </c>
      <c r="J410" s="598">
        <v>0</v>
      </c>
      <c r="K410" s="598">
        <v>0</v>
      </c>
      <c r="L410" s="598">
        <v>0</v>
      </c>
      <c r="M410" s="600"/>
      <c r="N410" s="600"/>
      <c r="O410" s="138"/>
      <c r="P410" s="195"/>
      <c r="Q410" s="180"/>
      <c r="R410" s="195"/>
      <c r="S410" s="181"/>
      <c r="T410" s="111"/>
      <c r="U410" s="151"/>
      <c r="V410" s="195"/>
      <c r="W410" s="111"/>
      <c r="X410" s="195"/>
    </row>
    <row r="411" spans="1:24" x14ac:dyDescent="0.25">
      <c r="A411" s="213">
        <v>8027</v>
      </c>
      <c r="B411" s="214" t="s">
        <v>2068</v>
      </c>
      <c r="C411" s="597" t="s">
        <v>1829</v>
      </c>
      <c r="D411" s="597" t="s">
        <v>1829</v>
      </c>
      <c r="E411" s="597" t="s">
        <v>1829</v>
      </c>
      <c r="F411" s="598">
        <v>0</v>
      </c>
      <c r="G411" s="598">
        <v>0</v>
      </c>
      <c r="H411" s="598">
        <v>0</v>
      </c>
      <c r="I411" s="598">
        <v>0</v>
      </c>
      <c r="J411" s="598">
        <v>0</v>
      </c>
      <c r="K411" s="598">
        <v>0</v>
      </c>
      <c r="L411" s="598">
        <v>0</v>
      </c>
      <c r="M411" s="600"/>
      <c r="N411" s="600"/>
      <c r="O411" s="138"/>
      <c r="P411" s="195"/>
      <c r="Q411" s="180"/>
      <c r="R411" s="195"/>
      <c r="S411" s="181"/>
      <c r="T411" s="111"/>
      <c r="U411" s="151"/>
      <c r="V411" s="195"/>
      <c r="W411" s="111"/>
      <c r="X411" s="195"/>
    </row>
    <row r="412" spans="1:24" x14ac:dyDescent="0.25">
      <c r="A412" s="213">
        <v>8028</v>
      </c>
      <c r="B412" s="214" t="s">
        <v>2069</v>
      </c>
      <c r="C412" s="597" t="s">
        <v>1829</v>
      </c>
      <c r="D412" s="597" t="s">
        <v>1829</v>
      </c>
      <c r="E412" s="597" t="s">
        <v>1829</v>
      </c>
      <c r="F412" s="598">
        <v>0</v>
      </c>
      <c r="G412" s="598">
        <v>0</v>
      </c>
      <c r="H412" s="598">
        <v>0</v>
      </c>
      <c r="I412" s="598">
        <v>0</v>
      </c>
      <c r="J412" s="598">
        <v>0</v>
      </c>
      <c r="K412" s="598">
        <v>0</v>
      </c>
      <c r="L412" s="598">
        <v>0</v>
      </c>
      <c r="M412" s="600"/>
      <c r="N412" s="600"/>
      <c r="O412" s="138"/>
      <c r="P412" s="195"/>
      <c r="Q412" s="180"/>
      <c r="R412" s="195"/>
      <c r="S412" s="181"/>
      <c r="T412" s="111"/>
      <c r="U412" s="151"/>
      <c r="V412" s="195"/>
      <c r="W412" s="111"/>
      <c r="X412" s="195"/>
    </row>
    <row r="413" spans="1:24" x14ac:dyDescent="0.25">
      <c r="A413" s="213">
        <v>8029</v>
      </c>
      <c r="B413" s="214" t="s">
        <v>2070</v>
      </c>
      <c r="C413" s="597" t="s">
        <v>1829</v>
      </c>
      <c r="D413" s="597" t="s">
        <v>1829</v>
      </c>
      <c r="E413" s="597" t="s">
        <v>1829</v>
      </c>
      <c r="F413" s="598">
        <v>0</v>
      </c>
      <c r="G413" s="598">
        <v>0</v>
      </c>
      <c r="H413" s="598">
        <v>0</v>
      </c>
      <c r="I413" s="598">
        <v>0</v>
      </c>
      <c r="J413" s="598">
        <v>0</v>
      </c>
      <c r="K413" s="598">
        <v>0</v>
      </c>
      <c r="L413" s="598">
        <v>0</v>
      </c>
      <c r="M413" s="600"/>
      <c r="N413" s="600"/>
      <c r="O413" s="138"/>
      <c r="P413" s="195"/>
      <c r="Q413" s="180"/>
      <c r="R413" s="195"/>
      <c r="S413" s="181"/>
      <c r="T413" s="111"/>
      <c r="U413" s="151"/>
      <c r="V413" s="195"/>
      <c r="W413" s="111"/>
      <c r="X413" s="195"/>
    </row>
    <row r="414" spans="1:24" x14ac:dyDescent="0.25">
      <c r="A414" s="213">
        <v>8030</v>
      </c>
      <c r="B414" s="214" t="s">
        <v>2071</v>
      </c>
      <c r="C414" s="597" t="s">
        <v>1829</v>
      </c>
      <c r="D414" s="597" t="s">
        <v>1829</v>
      </c>
      <c r="E414" s="597" t="s">
        <v>1829</v>
      </c>
      <c r="F414" s="598">
        <v>0</v>
      </c>
      <c r="G414" s="598">
        <v>0</v>
      </c>
      <c r="H414" s="598">
        <v>0</v>
      </c>
      <c r="I414" s="598">
        <v>0</v>
      </c>
      <c r="J414" s="598">
        <v>0</v>
      </c>
      <c r="K414" s="598">
        <v>0</v>
      </c>
      <c r="L414" s="598">
        <v>0</v>
      </c>
      <c r="M414" s="600"/>
      <c r="N414" s="600"/>
      <c r="O414" s="138"/>
      <c r="P414" s="195"/>
      <c r="Q414" s="180"/>
      <c r="R414" s="195"/>
      <c r="S414" s="181"/>
      <c r="T414" s="111"/>
      <c r="U414" s="151"/>
      <c r="V414" s="195"/>
      <c r="W414" s="111"/>
      <c r="X414" s="195"/>
    </row>
    <row r="415" spans="1:24" x14ac:dyDescent="0.25">
      <c r="A415" s="213">
        <v>8031</v>
      </c>
      <c r="B415" s="214" t="s">
        <v>2072</v>
      </c>
      <c r="C415" s="597" t="s">
        <v>1829</v>
      </c>
      <c r="D415" s="597" t="s">
        <v>1829</v>
      </c>
      <c r="E415" s="597" t="s">
        <v>1829</v>
      </c>
      <c r="F415" s="598">
        <v>0</v>
      </c>
      <c r="G415" s="598">
        <v>0</v>
      </c>
      <c r="H415" s="598">
        <v>0</v>
      </c>
      <c r="I415" s="598">
        <v>0</v>
      </c>
      <c r="J415" s="598">
        <v>0</v>
      </c>
      <c r="K415" s="598">
        <v>0</v>
      </c>
      <c r="L415" s="598">
        <v>0</v>
      </c>
      <c r="M415" s="600"/>
      <c r="N415" s="600"/>
      <c r="O415" s="138"/>
      <c r="P415" s="195"/>
      <c r="Q415" s="180"/>
      <c r="R415" s="195"/>
      <c r="S415" s="181"/>
      <c r="T415" s="111"/>
      <c r="U415" s="151"/>
      <c r="V415" s="195"/>
      <c r="W415" s="111"/>
      <c r="X415" s="195"/>
    </row>
    <row r="416" spans="1:24" x14ac:dyDescent="0.25">
      <c r="A416" s="213">
        <v>8032</v>
      </c>
      <c r="B416" s="214" t="s">
        <v>2073</v>
      </c>
      <c r="C416" s="597" t="s">
        <v>1829</v>
      </c>
      <c r="D416" s="597" t="s">
        <v>1829</v>
      </c>
      <c r="E416" s="597" t="s">
        <v>1829</v>
      </c>
      <c r="F416" s="598">
        <v>0</v>
      </c>
      <c r="G416" s="598">
        <v>0</v>
      </c>
      <c r="H416" s="598">
        <v>0</v>
      </c>
      <c r="I416" s="598">
        <v>0</v>
      </c>
      <c r="J416" s="598">
        <v>0</v>
      </c>
      <c r="K416" s="598">
        <v>0</v>
      </c>
      <c r="L416" s="598">
        <v>0</v>
      </c>
      <c r="M416" s="600"/>
      <c r="N416" s="600"/>
      <c r="O416" s="138"/>
      <c r="P416" s="195"/>
      <c r="Q416" s="180"/>
      <c r="R416" s="195"/>
      <c r="S416" s="181"/>
      <c r="T416" s="111"/>
      <c r="U416" s="151"/>
      <c r="V416" s="195"/>
      <c r="W416" s="111"/>
      <c r="X416" s="195"/>
    </row>
    <row r="417" spans="1:24" x14ac:dyDescent="0.25">
      <c r="A417" s="213">
        <v>8033</v>
      </c>
      <c r="B417" s="214" t="s">
        <v>2074</v>
      </c>
      <c r="C417" s="597" t="s">
        <v>1829</v>
      </c>
      <c r="D417" s="597" t="s">
        <v>1829</v>
      </c>
      <c r="E417" s="597" t="s">
        <v>1829</v>
      </c>
      <c r="F417" s="598">
        <v>0</v>
      </c>
      <c r="G417" s="598">
        <v>0</v>
      </c>
      <c r="H417" s="598">
        <v>0</v>
      </c>
      <c r="I417" s="598">
        <v>0</v>
      </c>
      <c r="J417" s="598">
        <v>0</v>
      </c>
      <c r="K417" s="598">
        <v>0</v>
      </c>
      <c r="L417" s="598">
        <v>0</v>
      </c>
      <c r="M417" s="600"/>
      <c r="N417" s="600"/>
      <c r="O417" s="138"/>
      <c r="P417" s="195"/>
      <c r="Q417" s="180"/>
      <c r="R417" s="195"/>
      <c r="S417" s="181"/>
      <c r="T417" s="111"/>
      <c r="U417" s="151"/>
      <c r="V417" s="195"/>
      <c r="W417" s="111"/>
      <c r="X417" s="195"/>
    </row>
    <row r="418" spans="1:24" x14ac:dyDescent="0.25">
      <c r="A418" s="213">
        <v>8034</v>
      </c>
      <c r="B418" s="214" t="s">
        <v>2075</v>
      </c>
      <c r="C418" s="597" t="s">
        <v>1829</v>
      </c>
      <c r="D418" s="597" t="s">
        <v>1829</v>
      </c>
      <c r="E418" s="597" t="s">
        <v>1829</v>
      </c>
      <c r="F418" s="598">
        <v>0</v>
      </c>
      <c r="G418" s="598">
        <v>0</v>
      </c>
      <c r="H418" s="598">
        <v>0</v>
      </c>
      <c r="I418" s="598">
        <v>0</v>
      </c>
      <c r="J418" s="598">
        <v>0</v>
      </c>
      <c r="K418" s="598">
        <v>0</v>
      </c>
      <c r="L418" s="598">
        <v>0</v>
      </c>
      <c r="M418" s="600"/>
      <c r="N418" s="600"/>
      <c r="O418" s="138"/>
      <c r="P418" s="195"/>
      <c r="Q418" s="180"/>
      <c r="R418" s="195"/>
      <c r="S418" s="181"/>
      <c r="T418" s="111"/>
      <c r="U418" s="151"/>
      <c r="V418" s="195"/>
      <c r="W418" s="111"/>
      <c r="X418" s="195"/>
    </row>
    <row r="419" spans="1:24" x14ac:dyDescent="0.25">
      <c r="A419" s="213">
        <v>8035</v>
      </c>
      <c r="B419" s="214" t="s">
        <v>2076</v>
      </c>
      <c r="C419" s="597" t="s">
        <v>1829</v>
      </c>
      <c r="D419" s="597" t="s">
        <v>1829</v>
      </c>
      <c r="E419" s="597" t="s">
        <v>1829</v>
      </c>
      <c r="F419" s="598">
        <v>0</v>
      </c>
      <c r="G419" s="598">
        <v>0</v>
      </c>
      <c r="H419" s="598">
        <v>0</v>
      </c>
      <c r="I419" s="598">
        <v>0</v>
      </c>
      <c r="J419" s="598">
        <v>0</v>
      </c>
      <c r="K419" s="598">
        <v>0</v>
      </c>
      <c r="L419" s="598">
        <v>0</v>
      </c>
      <c r="M419" s="600"/>
      <c r="N419" s="600"/>
      <c r="O419" s="138"/>
      <c r="P419" s="195"/>
      <c r="Q419" s="180"/>
      <c r="R419" s="195"/>
      <c r="S419" s="181"/>
      <c r="T419" s="111"/>
      <c r="U419" s="151"/>
      <c r="V419" s="195"/>
      <c r="W419" s="111"/>
      <c r="X419" s="195"/>
    </row>
    <row r="420" spans="1:24" x14ac:dyDescent="0.25">
      <c r="A420" s="213">
        <v>8036</v>
      </c>
      <c r="B420" s="214" t="s">
        <v>2077</v>
      </c>
      <c r="C420" s="597" t="s">
        <v>1829</v>
      </c>
      <c r="D420" s="597" t="s">
        <v>1829</v>
      </c>
      <c r="E420" s="597" t="s">
        <v>1829</v>
      </c>
      <c r="F420" s="598">
        <v>0</v>
      </c>
      <c r="G420" s="598">
        <v>0</v>
      </c>
      <c r="H420" s="598">
        <v>0</v>
      </c>
      <c r="I420" s="598">
        <v>0</v>
      </c>
      <c r="J420" s="598">
        <v>0</v>
      </c>
      <c r="K420" s="598">
        <v>0</v>
      </c>
      <c r="L420" s="598">
        <v>0</v>
      </c>
      <c r="M420" s="600"/>
      <c r="N420" s="600"/>
      <c r="O420" s="138"/>
      <c r="P420" s="195"/>
      <c r="Q420" s="180"/>
      <c r="R420" s="195"/>
      <c r="S420" s="181"/>
      <c r="T420" s="111"/>
      <c r="U420" s="151"/>
      <c r="V420" s="195"/>
      <c r="W420" s="111"/>
      <c r="X420" s="195"/>
    </row>
    <row r="421" spans="1:24" x14ac:dyDescent="0.25">
      <c r="A421" s="213">
        <v>8037</v>
      </c>
      <c r="B421" s="214" t="s">
        <v>2078</v>
      </c>
      <c r="C421" s="597" t="s">
        <v>1829</v>
      </c>
      <c r="D421" s="597" t="s">
        <v>1829</v>
      </c>
      <c r="E421" s="597" t="s">
        <v>1829</v>
      </c>
      <c r="F421" s="598">
        <v>0</v>
      </c>
      <c r="G421" s="598">
        <v>0</v>
      </c>
      <c r="H421" s="598">
        <v>0</v>
      </c>
      <c r="I421" s="598">
        <v>0</v>
      </c>
      <c r="J421" s="598">
        <v>0</v>
      </c>
      <c r="K421" s="598">
        <v>0</v>
      </c>
      <c r="L421" s="598">
        <v>0</v>
      </c>
      <c r="M421" s="600"/>
      <c r="N421" s="600"/>
      <c r="O421" s="138"/>
      <c r="P421" s="195"/>
      <c r="Q421" s="180"/>
      <c r="R421" s="195"/>
      <c r="S421" s="181"/>
      <c r="T421" s="111"/>
      <c r="U421" s="151"/>
      <c r="V421" s="195"/>
      <c r="W421" s="111"/>
      <c r="X421" s="195"/>
    </row>
    <row r="422" spans="1:24" x14ac:dyDescent="0.25">
      <c r="A422" s="213">
        <v>8038</v>
      </c>
      <c r="B422" s="214" t="s">
        <v>2079</v>
      </c>
      <c r="C422" s="597" t="s">
        <v>1829</v>
      </c>
      <c r="D422" s="597" t="s">
        <v>1829</v>
      </c>
      <c r="E422" s="597" t="s">
        <v>1829</v>
      </c>
      <c r="F422" s="598">
        <v>0</v>
      </c>
      <c r="G422" s="598">
        <v>0</v>
      </c>
      <c r="H422" s="598">
        <v>0</v>
      </c>
      <c r="I422" s="598">
        <v>0</v>
      </c>
      <c r="J422" s="598">
        <v>0</v>
      </c>
      <c r="K422" s="598">
        <v>0</v>
      </c>
      <c r="L422" s="598">
        <v>0</v>
      </c>
      <c r="M422" s="600"/>
      <c r="N422" s="600"/>
      <c r="O422" s="138"/>
      <c r="P422" s="195"/>
      <c r="Q422" s="180"/>
      <c r="R422" s="195"/>
      <c r="S422" s="181"/>
      <c r="T422" s="111"/>
      <c r="U422" s="151"/>
      <c r="V422" s="195"/>
      <c r="W422" s="111"/>
      <c r="X422" s="195"/>
    </row>
    <row r="423" spans="1:24" x14ac:dyDescent="0.25">
      <c r="A423" s="213">
        <v>8039</v>
      </c>
      <c r="B423" s="214" t="s">
        <v>2080</v>
      </c>
      <c r="C423" s="597" t="s">
        <v>1829</v>
      </c>
      <c r="D423" s="597" t="s">
        <v>1829</v>
      </c>
      <c r="E423" s="597" t="s">
        <v>1829</v>
      </c>
      <c r="F423" s="598">
        <v>0</v>
      </c>
      <c r="G423" s="598">
        <v>0</v>
      </c>
      <c r="H423" s="598">
        <v>0</v>
      </c>
      <c r="I423" s="598">
        <v>0</v>
      </c>
      <c r="J423" s="598">
        <v>0</v>
      </c>
      <c r="K423" s="598">
        <v>0</v>
      </c>
      <c r="L423" s="598">
        <v>0</v>
      </c>
      <c r="M423" s="600"/>
      <c r="N423" s="600"/>
      <c r="O423" s="138"/>
      <c r="P423" s="195"/>
      <c r="Q423" s="180"/>
      <c r="R423" s="195"/>
      <c r="S423" s="181"/>
      <c r="T423" s="111"/>
      <c r="U423" s="151"/>
      <c r="V423" s="195"/>
      <c r="W423" s="111"/>
      <c r="X423" s="195"/>
    </row>
    <row r="424" spans="1:24" x14ac:dyDescent="0.25">
      <c r="A424" s="213">
        <v>8040</v>
      </c>
      <c r="B424" s="214" t="s">
        <v>2081</v>
      </c>
      <c r="C424" s="597" t="s">
        <v>1829</v>
      </c>
      <c r="D424" s="597" t="s">
        <v>1829</v>
      </c>
      <c r="E424" s="597" t="s">
        <v>1829</v>
      </c>
      <c r="F424" s="598">
        <v>0</v>
      </c>
      <c r="G424" s="598">
        <v>0</v>
      </c>
      <c r="H424" s="598">
        <v>0</v>
      </c>
      <c r="I424" s="598">
        <v>0</v>
      </c>
      <c r="J424" s="598">
        <v>0</v>
      </c>
      <c r="K424" s="598">
        <v>0</v>
      </c>
      <c r="L424" s="598">
        <v>0</v>
      </c>
      <c r="M424" s="600"/>
      <c r="N424" s="600"/>
      <c r="O424" s="138"/>
      <c r="P424" s="195"/>
      <c r="Q424" s="180"/>
      <c r="R424" s="195"/>
      <c r="S424" s="181"/>
      <c r="T424" s="111"/>
      <c r="U424" s="151"/>
      <c r="V424" s="195"/>
      <c r="W424" s="111"/>
      <c r="X424" s="195"/>
    </row>
    <row r="425" spans="1:24" x14ac:dyDescent="0.25">
      <c r="A425" s="213">
        <v>8041</v>
      </c>
      <c r="B425" s="214" t="s">
        <v>2082</v>
      </c>
      <c r="C425" s="597" t="s">
        <v>1829</v>
      </c>
      <c r="D425" s="597" t="s">
        <v>1829</v>
      </c>
      <c r="E425" s="597" t="s">
        <v>1829</v>
      </c>
      <c r="F425" s="598">
        <v>0</v>
      </c>
      <c r="G425" s="598">
        <v>0</v>
      </c>
      <c r="H425" s="598">
        <v>0</v>
      </c>
      <c r="I425" s="598">
        <v>0</v>
      </c>
      <c r="J425" s="598">
        <v>0</v>
      </c>
      <c r="K425" s="598">
        <v>0</v>
      </c>
      <c r="L425" s="598">
        <v>0</v>
      </c>
      <c r="M425" s="600"/>
      <c r="N425" s="600"/>
      <c r="O425" s="138"/>
      <c r="P425" s="195"/>
      <c r="Q425" s="180"/>
      <c r="R425" s="195"/>
      <c r="S425" s="181"/>
      <c r="T425" s="111"/>
      <c r="U425" s="151"/>
      <c r="V425" s="195"/>
      <c r="W425" s="111"/>
      <c r="X425" s="195"/>
    </row>
    <row r="426" spans="1:24" x14ac:dyDescent="0.25">
      <c r="A426" s="213">
        <v>8042</v>
      </c>
      <c r="B426" s="214" t="s">
        <v>2083</v>
      </c>
      <c r="C426" s="597" t="s">
        <v>1829</v>
      </c>
      <c r="D426" s="597" t="s">
        <v>1829</v>
      </c>
      <c r="E426" s="597" t="s">
        <v>1829</v>
      </c>
      <c r="F426" s="598">
        <v>0</v>
      </c>
      <c r="G426" s="598">
        <v>0</v>
      </c>
      <c r="H426" s="598">
        <v>0</v>
      </c>
      <c r="I426" s="598">
        <v>0</v>
      </c>
      <c r="J426" s="598">
        <v>0</v>
      </c>
      <c r="K426" s="598">
        <v>0</v>
      </c>
      <c r="L426" s="598">
        <v>0</v>
      </c>
      <c r="M426" s="600"/>
      <c r="N426" s="600"/>
      <c r="O426" s="138"/>
      <c r="P426" s="195"/>
      <c r="Q426" s="180"/>
      <c r="R426" s="195"/>
      <c r="S426" s="181"/>
      <c r="T426" s="111"/>
      <c r="U426" s="151"/>
      <c r="V426" s="195"/>
      <c r="W426" s="111"/>
      <c r="X426" s="195"/>
    </row>
    <row r="427" spans="1:24" x14ac:dyDescent="0.25">
      <c r="A427" s="213">
        <v>8044</v>
      </c>
      <c r="B427" s="214" t="s">
        <v>2084</v>
      </c>
      <c r="C427" s="597" t="s">
        <v>1829</v>
      </c>
      <c r="D427" s="597" t="s">
        <v>1829</v>
      </c>
      <c r="E427" s="597" t="s">
        <v>1829</v>
      </c>
      <c r="F427" s="598">
        <v>0</v>
      </c>
      <c r="G427" s="598">
        <v>0</v>
      </c>
      <c r="H427" s="598">
        <v>0</v>
      </c>
      <c r="I427" s="598">
        <v>0</v>
      </c>
      <c r="J427" s="598">
        <v>0</v>
      </c>
      <c r="K427" s="598">
        <v>0</v>
      </c>
      <c r="L427" s="598">
        <v>0</v>
      </c>
      <c r="M427" s="600"/>
      <c r="N427" s="600"/>
      <c r="O427" s="138"/>
      <c r="P427" s="195"/>
      <c r="Q427" s="180"/>
      <c r="R427" s="195"/>
      <c r="S427" s="181"/>
      <c r="T427" s="111"/>
      <c r="U427" s="151"/>
      <c r="V427" s="195"/>
      <c r="W427" s="111"/>
      <c r="X427" s="195"/>
    </row>
    <row r="428" spans="1:24" x14ac:dyDescent="0.25">
      <c r="A428" s="213">
        <v>8045</v>
      </c>
      <c r="B428" s="214" t="s">
        <v>2085</v>
      </c>
      <c r="C428" s="597" t="s">
        <v>1829</v>
      </c>
      <c r="D428" s="597" t="s">
        <v>1829</v>
      </c>
      <c r="E428" s="597" t="s">
        <v>1829</v>
      </c>
      <c r="F428" s="598">
        <v>0</v>
      </c>
      <c r="G428" s="598">
        <v>0</v>
      </c>
      <c r="H428" s="598">
        <v>0</v>
      </c>
      <c r="I428" s="598">
        <v>0</v>
      </c>
      <c r="J428" s="598">
        <v>0</v>
      </c>
      <c r="K428" s="598">
        <v>0</v>
      </c>
      <c r="L428" s="598">
        <v>0</v>
      </c>
      <c r="M428" s="600"/>
      <c r="N428" s="600"/>
      <c r="O428" s="138"/>
      <c r="P428" s="195"/>
      <c r="Q428" s="180"/>
      <c r="R428" s="195"/>
      <c r="S428" s="181"/>
      <c r="T428" s="111"/>
      <c r="U428" s="151"/>
      <c r="V428" s="195"/>
      <c r="W428" s="111"/>
      <c r="X428" s="195"/>
    </row>
    <row r="429" spans="1:24" x14ac:dyDescent="0.25">
      <c r="A429" s="213">
        <v>8046</v>
      </c>
      <c r="B429" s="214" t="s">
        <v>2086</v>
      </c>
      <c r="C429" s="597" t="s">
        <v>1829</v>
      </c>
      <c r="D429" s="597" t="s">
        <v>1829</v>
      </c>
      <c r="E429" s="597" t="s">
        <v>1829</v>
      </c>
      <c r="F429" s="598">
        <v>0</v>
      </c>
      <c r="G429" s="598">
        <v>0</v>
      </c>
      <c r="H429" s="598">
        <v>0</v>
      </c>
      <c r="I429" s="598">
        <v>0</v>
      </c>
      <c r="J429" s="598">
        <v>0</v>
      </c>
      <c r="K429" s="598">
        <v>0</v>
      </c>
      <c r="L429" s="598">
        <v>0</v>
      </c>
      <c r="M429" s="600"/>
      <c r="N429" s="600"/>
      <c r="O429" s="138"/>
      <c r="P429" s="195"/>
      <c r="Q429" s="180"/>
      <c r="R429" s="195"/>
      <c r="S429" s="181"/>
      <c r="T429" s="111"/>
      <c r="U429" s="151"/>
      <c r="V429" s="195"/>
      <c r="W429" s="111"/>
      <c r="X429" s="195"/>
    </row>
    <row r="430" spans="1:24" x14ac:dyDescent="0.25">
      <c r="A430" s="213">
        <v>8047</v>
      </c>
      <c r="B430" s="214" t="s">
        <v>2087</v>
      </c>
      <c r="C430" s="597" t="s">
        <v>1829</v>
      </c>
      <c r="D430" s="597" t="s">
        <v>1829</v>
      </c>
      <c r="E430" s="597" t="s">
        <v>1829</v>
      </c>
      <c r="F430" s="598">
        <v>0</v>
      </c>
      <c r="G430" s="598">
        <v>0</v>
      </c>
      <c r="H430" s="598">
        <v>0</v>
      </c>
      <c r="I430" s="598">
        <v>0</v>
      </c>
      <c r="J430" s="598">
        <v>0</v>
      </c>
      <c r="K430" s="598">
        <v>0</v>
      </c>
      <c r="L430" s="598">
        <v>0</v>
      </c>
      <c r="M430" s="600"/>
      <c r="N430" s="600"/>
      <c r="O430" s="138"/>
      <c r="P430" s="195"/>
      <c r="Q430" s="180"/>
      <c r="R430" s="195"/>
      <c r="S430" s="181"/>
      <c r="T430" s="111"/>
      <c r="U430" s="151"/>
      <c r="V430" s="195"/>
      <c r="W430" s="111"/>
      <c r="X430" s="195"/>
    </row>
    <row r="431" spans="1:24" x14ac:dyDescent="0.25">
      <c r="A431" s="213">
        <v>8048</v>
      </c>
      <c r="B431" s="214" t="s">
        <v>2088</v>
      </c>
      <c r="C431" s="597" t="s">
        <v>1829</v>
      </c>
      <c r="D431" s="597" t="s">
        <v>1829</v>
      </c>
      <c r="E431" s="597" t="s">
        <v>1829</v>
      </c>
      <c r="F431" s="598">
        <v>0</v>
      </c>
      <c r="G431" s="598">
        <v>0</v>
      </c>
      <c r="H431" s="598">
        <v>0</v>
      </c>
      <c r="I431" s="598">
        <v>0</v>
      </c>
      <c r="J431" s="598">
        <v>0</v>
      </c>
      <c r="K431" s="598">
        <v>0</v>
      </c>
      <c r="L431" s="598">
        <v>0</v>
      </c>
      <c r="M431" s="600"/>
      <c r="N431" s="600"/>
      <c r="O431" s="138"/>
      <c r="P431" s="195"/>
      <c r="Q431" s="180"/>
      <c r="R431" s="195"/>
      <c r="S431" s="181"/>
      <c r="T431" s="111"/>
      <c r="U431" s="151"/>
      <c r="V431" s="195"/>
      <c r="W431" s="111"/>
      <c r="X431" s="195"/>
    </row>
    <row r="432" spans="1:24" x14ac:dyDescent="0.25">
      <c r="A432" s="213">
        <v>8049</v>
      </c>
      <c r="B432" s="214" t="s">
        <v>2089</v>
      </c>
      <c r="C432" s="597" t="s">
        <v>1829</v>
      </c>
      <c r="D432" s="597" t="s">
        <v>1829</v>
      </c>
      <c r="E432" s="597" t="s">
        <v>1829</v>
      </c>
      <c r="F432" s="598">
        <v>0</v>
      </c>
      <c r="G432" s="598">
        <v>0</v>
      </c>
      <c r="H432" s="598">
        <v>0</v>
      </c>
      <c r="I432" s="598">
        <v>0</v>
      </c>
      <c r="J432" s="598">
        <v>0</v>
      </c>
      <c r="K432" s="598">
        <v>0</v>
      </c>
      <c r="L432" s="598">
        <v>0</v>
      </c>
      <c r="M432" s="600"/>
      <c r="N432" s="600"/>
      <c r="O432" s="138"/>
      <c r="P432" s="195"/>
      <c r="Q432" s="180"/>
      <c r="R432" s="195"/>
      <c r="S432" s="181"/>
      <c r="T432" s="111"/>
      <c r="U432" s="151"/>
      <c r="V432" s="195"/>
      <c r="W432" s="111"/>
      <c r="X432" s="195"/>
    </row>
    <row r="433" spans="1:24" x14ac:dyDescent="0.25">
      <c r="A433" s="213">
        <v>8051</v>
      </c>
      <c r="B433" s="214" t="s">
        <v>2090</v>
      </c>
      <c r="C433" s="597" t="s">
        <v>1829</v>
      </c>
      <c r="D433" s="597" t="s">
        <v>1829</v>
      </c>
      <c r="E433" s="597" t="s">
        <v>1829</v>
      </c>
      <c r="F433" s="598">
        <v>0</v>
      </c>
      <c r="G433" s="598">
        <v>0</v>
      </c>
      <c r="H433" s="598">
        <v>0</v>
      </c>
      <c r="I433" s="598">
        <v>0</v>
      </c>
      <c r="J433" s="598">
        <v>0</v>
      </c>
      <c r="K433" s="598">
        <v>0</v>
      </c>
      <c r="L433" s="598">
        <v>0</v>
      </c>
      <c r="M433" s="600"/>
      <c r="N433" s="600"/>
      <c r="O433" s="138"/>
      <c r="P433" s="195"/>
      <c r="Q433" s="180"/>
      <c r="R433" s="195"/>
      <c r="S433" s="181"/>
      <c r="T433" s="111"/>
      <c r="U433" s="151"/>
      <c r="V433" s="195"/>
      <c r="W433" s="111"/>
      <c r="X433" s="195"/>
    </row>
    <row r="434" spans="1:24" x14ac:dyDescent="0.25">
      <c r="A434" s="213">
        <v>8052</v>
      </c>
      <c r="B434" s="214" t="s">
        <v>2091</v>
      </c>
      <c r="C434" s="597" t="s">
        <v>1829</v>
      </c>
      <c r="D434" s="597" t="s">
        <v>1829</v>
      </c>
      <c r="E434" s="597" t="s">
        <v>1829</v>
      </c>
      <c r="F434" s="598">
        <v>0</v>
      </c>
      <c r="G434" s="598">
        <v>0</v>
      </c>
      <c r="H434" s="598">
        <v>0</v>
      </c>
      <c r="I434" s="598">
        <v>0</v>
      </c>
      <c r="J434" s="598">
        <v>0</v>
      </c>
      <c r="K434" s="598">
        <v>0</v>
      </c>
      <c r="L434" s="598">
        <v>0</v>
      </c>
      <c r="M434" s="600"/>
      <c r="N434" s="600"/>
      <c r="O434" s="138"/>
      <c r="P434" s="195"/>
      <c r="Q434" s="180"/>
      <c r="R434" s="195"/>
      <c r="S434" s="181"/>
      <c r="T434" s="111"/>
      <c r="U434" s="151"/>
      <c r="V434" s="195"/>
      <c r="W434" s="111"/>
      <c r="X434" s="195"/>
    </row>
    <row r="435" spans="1:24" x14ac:dyDescent="0.25">
      <c r="A435" s="213">
        <v>8053</v>
      </c>
      <c r="B435" s="214" t="s">
        <v>2092</v>
      </c>
      <c r="C435" s="597" t="s">
        <v>1829</v>
      </c>
      <c r="D435" s="597" t="s">
        <v>1829</v>
      </c>
      <c r="E435" s="597" t="s">
        <v>1829</v>
      </c>
      <c r="F435" s="598">
        <v>0</v>
      </c>
      <c r="G435" s="598">
        <v>0</v>
      </c>
      <c r="H435" s="598">
        <v>0</v>
      </c>
      <c r="I435" s="598">
        <v>0</v>
      </c>
      <c r="J435" s="598">
        <v>0</v>
      </c>
      <c r="K435" s="598">
        <v>0</v>
      </c>
      <c r="L435" s="598">
        <v>0</v>
      </c>
      <c r="M435" s="600"/>
      <c r="N435" s="600"/>
      <c r="O435" s="138"/>
      <c r="P435" s="195"/>
      <c r="Q435" s="180"/>
      <c r="R435" s="195"/>
      <c r="S435" s="181"/>
      <c r="T435" s="111"/>
      <c r="U435" s="151"/>
      <c r="V435" s="195"/>
      <c r="W435" s="111"/>
      <c r="X435" s="195"/>
    </row>
    <row r="436" spans="1:24" x14ac:dyDescent="0.25">
      <c r="A436" s="213">
        <v>8054</v>
      </c>
      <c r="B436" s="214" t="s">
        <v>2093</v>
      </c>
      <c r="C436" s="597" t="s">
        <v>1829</v>
      </c>
      <c r="D436" s="597" t="s">
        <v>1829</v>
      </c>
      <c r="E436" s="597" t="s">
        <v>1829</v>
      </c>
      <c r="F436" s="598">
        <v>0</v>
      </c>
      <c r="G436" s="598">
        <v>0</v>
      </c>
      <c r="H436" s="598">
        <v>0</v>
      </c>
      <c r="I436" s="598">
        <v>0</v>
      </c>
      <c r="J436" s="598">
        <v>0</v>
      </c>
      <c r="K436" s="598">
        <v>0</v>
      </c>
      <c r="L436" s="598">
        <v>0</v>
      </c>
      <c r="M436" s="600"/>
      <c r="N436" s="600"/>
      <c r="O436" s="138"/>
      <c r="P436" s="195"/>
      <c r="Q436" s="180"/>
      <c r="R436" s="195"/>
      <c r="S436" s="181"/>
      <c r="T436" s="111"/>
      <c r="U436" s="151"/>
      <c r="V436" s="195"/>
      <c r="W436" s="111"/>
      <c r="X436" s="195"/>
    </row>
    <row r="437" spans="1:24" x14ac:dyDescent="0.25">
      <c r="A437" s="213">
        <v>8055</v>
      </c>
      <c r="B437" s="214" t="s">
        <v>2094</v>
      </c>
      <c r="C437" s="597" t="s">
        <v>1829</v>
      </c>
      <c r="D437" s="597" t="s">
        <v>1829</v>
      </c>
      <c r="E437" s="597" t="s">
        <v>1829</v>
      </c>
      <c r="F437" s="598">
        <v>0</v>
      </c>
      <c r="G437" s="598">
        <v>0</v>
      </c>
      <c r="H437" s="598">
        <v>0</v>
      </c>
      <c r="I437" s="598">
        <v>0</v>
      </c>
      <c r="J437" s="598">
        <v>0</v>
      </c>
      <c r="K437" s="598">
        <v>0</v>
      </c>
      <c r="L437" s="598">
        <v>0</v>
      </c>
      <c r="M437" s="600"/>
      <c r="N437" s="600"/>
      <c r="O437" s="138"/>
      <c r="P437" s="195"/>
      <c r="Q437" s="180"/>
      <c r="R437" s="195"/>
      <c r="S437" s="181"/>
      <c r="T437" s="111"/>
      <c r="U437" s="151"/>
      <c r="V437" s="195"/>
      <c r="W437" s="111"/>
      <c r="X437" s="195"/>
    </row>
    <row r="438" spans="1:24" x14ac:dyDescent="0.25">
      <c r="A438" s="213">
        <v>8059</v>
      </c>
      <c r="B438" s="214" t="s">
        <v>2095</v>
      </c>
      <c r="C438" s="597" t="s">
        <v>1829</v>
      </c>
      <c r="D438" s="597" t="s">
        <v>1829</v>
      </c>
      <c r="E438" s="597" t="s">
        <v>1829</v>
      </c>
      <c r="F438" s="598">
        <v>0</v>
      </c>
      <c r="G438" s="598">
        <v>0</v>
      </c>
      <c r="H438" s="598">
        <v>0</v>
      </c>
      <c r="I438" s="598">
        <v>0</v>
      </c>
      <c r="J438" s="598">
        <v>0</v>
      </c>
      <c r="K438" s="598">
        <v>0</v>
      </c>
      <c r="L438" s="598">
        <v>0</v>
      </c>
      <c r="M438" s="600"/>
      <c r="N438" s="600"/>
      <c r="O438" s="138"/>
      <c r="P438" s="195"/>
      <c r="Q438" s="180"/>
      <c r="R438" s="195"/>
      <c r="S438" s="181"/>
      <c r="T438" s="111"/>
      <c r="U438" s="151"/>
      <c r="V438" s="195"/>
      <c r="W438" s="111"/>
      <c r="X438" s="195"/>
    </row>
    <row r="439" spans="1:24" x14ac:dyDescent="0.25">
      <c r="A439" s="213">
        <v>8061</v>
      </c>
      <c r="B439" s="214" t="s">
        <v>2096</v>
      </c>
      <c r="C439" s="597" t="s">
        <v>1829</v>
      </c>
      <c r="D439" s="597" t="s">
        <v>1829</v>
      </c>
      <c r="E439" s="597" t="s">
        <v>1829</v>
      </c>
      <c r="F439" s="598">
        <v>0</v>
      </c>
      <c r="G439" s="598">
        <v>0</v>
      </c>
      <c r="H439" s="598">
        <v>0</v>
      </c>
      <c r="I439" s="598">
        <v>0</v>
      </c>
      <c r="J439" s="598">
        <v>0</v>
      </c>
      <c r="K439" s="598">
        <v>0</v>
      </c>
      <c r="L439" s="598">
        <v>0</v>
      </c>
      <c r="M439" s="600"/>
      <c r="N439" s="600"/>
      <c r="O439" s="138"/>
      <c r="P439" s="195"/>
      <c r="Q439" s="180"/>
      <c r="R439" s="195"/>
      <c r="S439" s="181"/>
      <c r="T439" s="111"/>
      <c r="U439" s="151"/>
      <c r="V439" s="195"/>
      <c r="W439" s="111"/>
      <c r="X439" s="195"/>
    </row>
    <row r="440" spans="1:24" x14ac:dyDescent="0.25">
      <c r="A440" s="213">
        <v>8063</v>
      </c>
      <c r="B440" s="214" t="s">
        <v>2097</v>
      </c>
      <c r="C440" s="597" t="s">
        <v>1829</v>
      </c>
      <c r="D440" s="597" t="s">
        <v>1829</v>
      </c>
      <c r="E440" s="597" t="s">
        <v>1829</v>
      </c>
      <c r="F440" s="598">
        <v>0</v>
      </c>
      <c r="G440" s="598">
        <v>0</v>
      </c>
      <c r="H440" s="598">
        <v>0</v>
      </c>
      <c r="I440" s="598">
        <v>0</v>
      </c>
      <c r="J440" s="598">
        <v>0</v>
      </c>
      <c r="K440" s="598">
        <v>0</v>
      </c>
      <c r="L440" s="598">
        <v>0</v>
      </c>
      <c r="M440" s="600"/>
      <c r="N440" s="600"/>
      <c r="O440" s="138"/>
      <c r="P440" s="195"/>
      <c r="Q440" s="180"/>
      <c r="R440" s="195"/>
      <c r="S440" s="181"/>
      <c r="T440" s="111"/>
      <c r="U440" s="151"/>
      <c r="V440" s="195"/>
      <c r="W440" s="111"/>
      <c r="X440" s="195"/>
    </row>
    <row r="441" spans="1:24" x14ac:dyDescent="0.25">
      <c r="A441" s="213">
        <v>8064</v>
      </c>
      <c r="B441" s="214" t="s">
        <v>2098</v>
      </c>
      <c r="C441" s="597" t="s">
        <v>1829</v>
      </c>
      <c r="D441" s="597" t="s">
        <v>1829</v>
      </c>
      <c r="E441" s="597" t="s">
        <v>1829</v>
      </c>
      <c r="F441" s="598">
        <v>0</v>
      </c>
      <c r="G441" s="598">
        <v>0</v>
      </c>
      <c r="H441" s="598">
        <v>0</v>
      </c>
      <c r="I441" s="598">
        <v>0</v>
      </c>
      <c r="J441" s="598">
        <v>0</v>
      </c>
      <c r="K441" s="598">
        <v>0</v>
      </c>
      <c r="L441" s="598">
        <v>0</v>
      </c>
      <c r="M441" s="600"/>
      <c r="N441" s="600"/>
      <c r="O441" s="138"/>
      <c r="P441" s="195"/>
      <c r="Q441" s="180"/>
      <c r="R441" s="195"/>
      <c r="S441" s="181"/>
      <c r="T441" s="111"/>
      <c r="U441" s="151"/>
      <c r="V441" s="195"/>
      <c r="W441" s="111"/>
      <c r="X441" s="195"/>
    </row>
    <row r="442" spans="1:24" x14ac:dyDescent="0.25">
      <c r="A442" s="213">
        <v>8067</v>
      </c>
      <c r="B442" s="214" t="s">
        <v>2099</v>
      </c>
      <c r="C442" s="597" t="s">
        <v>1829</v>
      </c>
      <c r="D442" s="597" t="s">
        <v>1829</v>
      </c>
      <c r="E442" s="597" t="s">
        <v>1829</v>
      </c>
      <c r="F442" s="598">
        <v>0</v>
      </c>
      <c r="G442" s="598">
        <v>0</v>
      </c>
      <c r="H442" s="598">
        <v>0</v>
      </c>
      <c r="I442" s="598">
        <v>0</v>
      </c>
      <c r="J442" s="598">
        <v>0</v>
      </c>
      <c r="K442" s="598">
        <v>0</v>
      </c>
      <c r="L442" s="598">
        <v>0</v>
      </c>
      <c r="M442" s="600"/>
      <c r="N442" s="600"/>
      <c r="O442" s="138"/>
      <c r="P442" s="195"/>
      <c r="Q442" s="180"/>
      <c r="R442" s="195"/>
      <c r="S442" s="181"/>
      <c r="T442" s="111"/>
      <c r="U442" s="151"/>
      <c r="V442" s="195"/>
      <c r="W442" s="111"/>
      <c r="X442" s="195"/>
    </row>
    <row r="443" spans="1:24" x14ac:dyDescent="0.25">
      <c r="A443" s="213">
        <v>8072</v>
      </c>
      <c r="B443" s="214" t="s">
        <v>2100</v>
      </c>
      <c r="C443" s="597" t="s">
        <v>1829</v>
      </c>
      <c r="D443" s="597" t="s">
        <v>1829</v>
      </c>
      <c r="E443" s="597" t="s">
        <v>1829</v>
      </c>
      <c r="F443" s="598">
        <v>0</v>
      </c>
      <c r="G443" s="598">
        <v>0</v>
      </c>
      <c r="H443" s="598">
        <v>0</v>
      </c>
      <c r="I443" s="598">
        <v>0</v>
      </c>
      <c r="J443" s="598">
        <v>0</v>
      </c>
      <c r="K443" s="598">
        <v>0</v>
      </c>
      <c r="L443" s="598">
        <v>0</v>
      </c>
      <c r="M443" s="600"/>
      <c r="N443" s="600"/>
      <c r="O443" s="138"/>
      <c r="P443" s="195"/>
      <c r="Q443" s="180"/>
      <c r="R443" s="195"/>
      <c r="S443" s="181"/>
      <c r="T443" s="111"/>
      <c r="U443" s="151"/>
      <c r="V443" s="195"/>
      <c r="W443" s="111"/>
      <c r="X443" s="195"/>
    </row>
    <row r="444" spans="1:24" x14ac:dyDescent="0.25">
      <c r="A444" s="213">
        <v>8073</v>
      </c>
      <c r="B444" s="214" t="s">
        <v>2101</v>
      </c>
      <c r="C444" s="597" t="s">
        <v>1829</v>
      </c>
      <c r="D444" s="597" t="s">
        <v>1829</v>
      </c>
      <c r="E444" s="597" t="s">
        <v>1829</v>
      </c>
      <c r="F444" s="598">
        <v>0</v>
      </c>
      <c r="G444" s="598">
        <v>0</v>
      </c>
      <c r="H444" s="598">
        <v>0</v>
      </c>
      <c r="I444" s="598">
        <v>0</v>
      </c>
      <c r="J444" s="598">
        <v>0</v>
      </c>
      <c r="K444" s="598">
        <v>0</v>
      </c>
      <c r="L444" s="598">
        <v>0</v>
      </c>
      <c r="M444" s="600"/>
      <c r="N444" s="600"/>
      <c r="O444" s="138"/>
      <c r="P444" s="195"/>
      <c r="Q444" s="180"/>
      <c r="R444" s="195"/>
      <c r="S444" s="181"/>
      <c r="T444" s="111"/>
      <c r="U444" s="151"/>
      <c r="V444" s="195"/>
      <c r="W444" s="111"/>
      <c r="X444" s="195"/>
    </row>
    <row r="445" spans="1:24" x14ac:dyDescent="0.25">
      <c r="A445" s="213">
        <v>8074</v>
      </c>
      <c r="B445" s="214" t="s">
        <v>2102</v>
      </c>
      <c r="C445" s="597" t="s">
        <v>1829</v>
      </c>
      <c r="D445" s="597" t="s">
        <v>1829</v>
      </c>
      <c r="E445" s="597" t="s">
        <v>1829</v>
      </c>
      <c r="F445" s="598">
        <v>0</v>
      </c>
      <c r="G445" s="598">
        <v>0</v>
      </c>
      <c r="H445" s="598">
        <v>0</v>
      </c>
      <c r="I445" s="598">
        <v>0</v>
      </c>
      <c r="J445" s="598">
        <v>0</v>
      </c>
      <c r="K445" s="598">
        <v>0</v>
      </c>
      <c r="L445" s="598">
        <v>0</v>
      </c>
      <c r="M445" s="600"/>
      <c r="N445" s="600"/>
      <c r="O445" s="138"/>
      <c r="P445" s="195"/>
      <c r="Q445" s="180"/>
      <c r="R445" s="195"/>
      <c r="S445" s="181"/>
      <c r="T445" s="111"/>
      <c r="U445" s="151"/>
      <c r="V445" s="195"/>
      <c r="W445" s="111"/>
      <c r="X445" s="195"/>
    </row>
    <row r="446" spans="1:24" x14ac:dyDescent="0.25">
      <c r="A446" s="213">
        <v>8075</v>
      </c>
      <c r="B446" s="214" t="s">
        <v>2103</v>
      </c>
      <c r="C446" s="597" t="s">
        <v>1829</v>
      </c>
      <c r="D446" s="597" t="s">
        <v>1829</v>
      </c>
      <c r="E446" s="597" t="s">
        <v>1829</v>
      </c>
      <c r="F446" s="598">
        <v>0</v>
      </c>
      <c r="G446" s="598">
        <v>0</v>
      </c>
      <c r="H446" s="598">
        <v>0</v>
      </c>
      <c r="I446" s="598">
        <v>0</v>
      </c>
      <c r="J446" s="598">
        <v>0</v>
      </c>
      <c r="K446" s="598">
        <v>0</v>
      </c>
      <c r="L446" s="598">
        <v>0</v>
      </c>
      <c r="M446" s="600"/>
      <c r="N446" s="600"/>
      <c r="O446" s="138"/>
      <c r="P446" s="195"/>
      <c r="Q446" s="180"/>
      <c r="R446" s="195"/>
      <c r="S446" s="181"/>
      <c r="T446" s="111"/>
      <c r="U446" s="151"/>
      <c r="V446" s="195"/>
      <c r="W446" s="111"/>
      <c r="X446" s="195"/>
    </row>
    <row r="447" spans="1:24" x14ac:dyDescent="0.25">
      <c r="A447" s="213">
        <v>8076</v>
      </c>
      <c r="B447" s="214" t="s">
        <v>2104</v>
      </c>
      <c r="C447" s="597" t="s">
        <v>1829</v>
      </c>
      <c r="D447" s="597" t="s">
        <v>1829</v>
      </c>
      <c r="E447" s="597" t="s">
        <v>1829</v>
      </c>
      <c r="F447" s="598">
        <v>0</v>
      </c>
      <c r="G447" s="598">
        <v>0</v>
      </c>
      <c r="H447" s="598">
        <v>0</v>
      </c>
      <c r="I447" s="598">
        <v>0</v>
      </c>
      <c r="J447" s="598">
        <v>0</v>
      </c>
      <c r="K447" s="598">
        <v>0</v>
      </c>
      <c r="L447" s="598">
        <v>0</v>
      </c>
      <c r="M447" s="600"/>
      <c r="N447" s="600"/>
      <c r="O447" s="138"/>
      <c r="P447" s="195"/>
      <c r="Q447" s="180"/>
      <c r="R447" s="195"/>
      <c r="S447" s="181"/>
      <c r="T447" s="111"/>
      <c r="U447" s="151"/>
      <c r="V447" s="195"/>
      <c r="W447" s="111"/>
      <c r="X447" s="195"/>
    </row>
    <row r="448" spans="1:24" x14ac:dyDescent="0.25">
      <c r="A448" s="213">
        <v>8078</v>
      </c>
      <c r="B448" s="214" t="s">
        <v>843</v>
      </c>
      <c r="C448" s="597" t="s">
        <v>1829</v>
      </c>
      <c r="D448" s="597" t="s">
        <v>1829</v>
      </c>
      <c r="E448" s="597" t="s">
        <v>1829</v>
      </c>
      <c r="F448" s="598">
        <v>0</v>
      </c>
      <c r="G448" s="598">
        <v>0</v>
      </c>
      <c r="H448" s="598">
        <v>0</v>
      </c>
      <c r="I448" s="598">
        <v>203175.82</v>
      </c>
      <c r="J448" s="598">
        <v>0</v>
      </c>
      <c r="K448" s="598">
        <v>0</v>
      </c>
      <c r="L448" s="598">
        <v>203176</v>
      </c>
      <c r="M448" s="600"/>
      <c r="N448" s="600"/>
      <c r="O448" s="138"/>
      <c r="P448" s="195"/>
      <c r="Q448" s="180"/>
      <c r="R448" s="195"/>
      <c r="S448" s="181"/>
      <c r="T448" s="111"/>
      <c r="U448" s="151"/>
      <c r="V448" s="195"/>
      <c r="W448" s="111"/>
      <c r="X448" s="195"/>
    </row>
    <row r="449" spans="1:24" x14ac:dyDescent="0.25">
      <c r="A449" s="213">
        <v>8079</v>
      </c>
      <c r="B449" s="214" t="s">
        <v>2105</v>
      </c>
      <c r="C449" s="597" t="s">
        <v>1829</v>
      </c>
      <c r="D449" s="597" t="s">
        <v>1829</v>
      </c>
      <c r="E449" s="597" t="s">
        <v>1829</v>
      </c>
      <c r="F449" s="598">
        <v>0</v>
      </c>
      <c r="G449" s="598">
        <v>0</v>
      </c>
      <c r="H449" s="598">
        <v>0</v>
      </c>
      <c r="I449" s="598">
        <v>0</v>
      </c>
      <c r="J449" s="598">
        <v>0</v>
      </c>
      <c r="K449" s="598">
        <v>0</v>
      </c>
      <c r="L449" s="598">
        <v>0</v>
      </c>
      <c r="M449" s="600"/>
      <c r="N449" s="600"/>
      <c r="O449" s="138"/>
      <c r="P449" s="195"/>
      <c r="Q449" s="180"/>
      <c r="R449" s="195"/>
      <c r="S449" s="181"/>
      <c r="T449" s="111"/>
      <c r="U449" s="151"/>
      <c r="V449" s="195"/>
      <c r="W449" s="111"/>
      <c r="X449" s="195"/>
    </row>
    <row r="450" spans="1:24" x14ac:dyDescent="0.25">
      <c r="A450" s="213">
        <v>8081</v>
      </c>
      <c r="B450" s="214" t="s">
        <v>2106</v>
      </c>
      <c r="C450" s="597" t="s">
        <v>1829</v>
      </c>
      <c r="D450" s="597" t="s">
        <v>1829</v>
      </c>
      <c r="E450" s="597" t="s">
        <v>1829</v>
      </c>
      <c r="F450" s="598">
        <v>0</v>
      </c>
      <c r="G450" s="598">
        <v>0</v>
      </c>
      <c r="H450" s="598">
        <v>0</v>
      </c>
      <c r="I450" s="598">
        <v>0</v>
      </c>
      <c r="J450" s="598">
        <v>0</v>
      </c>
      <c r="K450" s="598">
        <v>0</v>
      </c>
      <c r="L450" s="598">
        <v>0</v>
      </c>
      <c r="M450" s="600"/>
      <c r="N450" s="600"/>
      <c r="O450" s="138"/>
      <c r="P450" s="195"/>
      <c r="Q450" s="180"/>
      <c r="R450" s="195"/>
      <c r="S450" s="181"/>
      <c r="T450" s="111"/>
      <c r="U450" s="151"/>
      <c r="V450" s="195"/>
      <c r="W450" s="111"/>
      <c r="X450" s="195"/>
    </row>
    <row r="451" spans="1:24" x14ac:dyDescent="0.25">
      <c r="A451" s="213">
        <v>8082</v>
      </c>
      <c r="B451" s="214" t="s">
        <v>2107</v>
      </c>
      <c r="C451" s="597" t="s">
        <v>1829</v>
      </c>
      <c r="D451" s="597" t="s">
        <v>1829</v>
      </c>
      <c r="E451" s="597" t="s">
        <v>1829</v>
      </c>
      <c r="F451" s="598">
        <v>0</v>
      </c>
      <c r="G451" s="598">
        <v>0</v>
      </c>
      <c r="H451" s="598">
        <v>0</v>
      </c>
      <c r="I451" s="598">
        <v>0</v>
      </c>
      <c r="J451" s="598">
        <v>0</v>
      </c>
      <c r="K451" s="598">
        <v>0</v>
      </c>
      <c r="L451" s="598">
        <v>0</v>
      </c>
      <c r="M451" s="600"/>
      <c r="N451" s="600"/>
      <c r="O451" s="138"/>
      <c r="P451" s="195"/>
      <c r="Q451" s="180"/>
      <c r="R451" s="195"/>
      <c r="S451" s="181"/>
      <c r="T451" s="111"/>
      <c r="U451" s="151"/>
      <c r="V451" s="195"/>
      <c r="W451" s="111"/>
      <c r="X451" s="195"/>
    </row>
    <row r="452" spans="1:24" x14ac:dyDescent="0.25">
      <c r="A452" s="213">
        <v>8086</v>
      </c>
      <c r="B452" s="214" t="s">
        <v>2108</v>
      </c>
      <c r="C452" s="597" t="s">
        <v>1829</v>
      </c>
      <c r="D452" s="597" t="s">
        <v>1829</v>
      </c>
      <c r="E452" s="597" t="s">
        <v>1829</v>
      </c>
      <c r="F452" s="598">
        <v>0</v>
      </c>
      <c r="G452" s="598">
        <v>0</v>
      </c>
      <c r="H452" s="598">
        <v>0</v>
      </c>
      <c r="I452" s="598">
        <v>0</v>
      </c>
      <c r="J452" s="598">
        <v>0</v>
      </c>
      <c r="K452" s="598">
        <v>0</v>
      </c>
      <c r="L452" s="598">
        <v>0</v>
      </c>
      <c r="M452" s="600"/>
      <c r="N452" s="600"/>
      <c r="O452" s="138"/>
      <c r="P452" s="195"/>
      <c r="Q452" s="180"/>
      <c r="R452" s="195"/>
      <c r="S452" s="181"/>
      <c r="T452" s="111"/>
      <c r="U452" s="151"/>
      <c r="V452" s="195"/>
      <c r="W452" s="111"/>
      <c r="X452" s="195"/>
    </row>
    <row r="453" spans="1:24" x14ac:dyDescent="0.25">
      <c r="A453" s="213">
        <v>8087</v>
      </c>
      <c r="B453" s="214" t="s">
        <v>2109</v>
      </c>
      <c r="C453" s="597" t="s">
        <v>1829</v>
      </c>
      <c r="D453" s="597" t="s">
        <v>1829</v>
      </c>
      <c r="E453" s="597" t="s">
        <v>1829</v>
      </c>
      <c r="F453" s="598">
        <v>0</v>
      </c>
      <c r="G453" s="598">
        <v>0</v>
      </c>
      <c r="H453" s="598">
        <v>0</v>
      </c>
      <c r="I453" s="598">
        <v>0</v>
      </c>
      <c r="J453" s="598">
        <v>0</v>
      </c>
      <c r="K453" s="598">
        <v>0</v>
      </c>
      <c r="L453" s="598">
        <v>0</v>
      </c>
      <c r="M453" s="600"/>
      <c r="N453" s="600"/>
      <c r="O453" s="138"/>
      <c r="P453" s="195"/>
      <c r="Q453" s="180"/>
      <c r="R453" s="195"/>
      <c r="S453" s="181"/>
      <c r="T453" s="111"/>
      <c r="U453" s="151"/>
      <c r="V453" s="195"/>
      <c r="W453" s="111"/>
      <c r="X453" s="195"/>
    </row>
    <row r="454" spans="1:24" x14ac:dyDescent="0.25">
      <c r="A454" s="213">
        <v>8088</v>
      </c>
      <c r="B454" s="214" t="s">
        <v>2110</v>
      </c>
      <c r="C454" s="597" t="s">
        <v>1829</v>
      </c>
      <c r="D454" s="597" t="s">
        <v>1829</v>
      </c>
      <c r="E454" s="597" t="s">
        <v>1829</v>
      </c>
      <c r="F454" s="598">
        <v>0</v>
      </c>
      <c r="G454" s="598">
        <v>0</v>
      </c>
      <c r="H454" s="598">
        <v>0</v>
      </c>
      <c r="I454" s="598">
        <v>0</v>
      </c>
      <c r="J454" s="598">
        <v>0</v>
      </c>
      <c r="K454" s="598">
        <v>0</v>
      </c>
      <c r="L454" s="598">
        <v>0</v>
      </c>
      <c r="M454" s="600"/>
      <c r="N454" s="600"/>
      <c r="O454" s="138"/>
      <c r="P454" s="195"/>
      <c r="Q454" s="180"/>
      <c r="R454" s="195"/>
      <c r="S454" s="181"/>
      <c r="T454" s="111"/>
      <c r="U454" s="151"/>
      <c r="V454" s="195"/>
      <c r="W454" s="111"/>
      <c r="X454" s="195"/>
    </row>
    <row r="455" spans="1:24" x14ac:dyDescent="0.25">
      <c r="A455" s="213">
        <v>8089</v>
      </c>
      <c r="B455" s="214" t="s">
        <v>2111</v>
      </c>
      <c r="C455" s="597" t="s">
        <v>1829</v>
      </c>
      <c r="D455" s="597" t="s">
        <v>1829</v>
      </c>
      <c r="E455" s="597" t="s">
        <v>1829</v>
      </c>
      <c r="F455" s="598">
        <v>0</v>
      </c>
      <c r="G455" s="598">
        <v>0</v>
      </c>
      <c r="H455" s="598">
        <v>0</v>
      </c>
      <c r="I455" s="598">
        <v>0</v>
      </c>
      <c r="J455" s="598">
        <v>0</v>
      </c>
      <c r="K455" s="598">
        <v>0</v>
      </c>
      <c r="L455" s="598">
        <v>0</v>
      </c>
      <c r="M455" s="600"/>
      <c r="N455" s="600"/>
      <c r="O455" s="138"/>
      <c r="P455" s="195"/>
      <c r="Q455" s="180"/>
      <c r="R455" s="195"/>
      <c r="S455" s="181"/>
      <c r="T455" s="111"/>
      <c r="U455" s="151"/>
      <c r="V455" s="195"/>
      <c r="W455" s="111"/>
      <c r="X455" s="195"/>
    </row>
    <row r="456" spans="1:24" x14ac:dyDescent="0.25">
      <c r="A456" s="213">
        <v>8090</v>
      </c>
      <c r="B456" s="214" t="s">
        <v>2112</v>
      </c>
      <c r="C456" s="597" t="s">
        <v>1829</v>
      </c>
      <c r="D456" s="597" t="s">
        <v>1829</v>
      </c>
      <c r="E456" s="597" t="s">
        <v>1829</v>
      </c>
      <c r="F456" s="598">
        <v>0</v>
      </c>
      <c r="G456" s="598">
        <v>0</v>
      </c>
      <c r="H456" s="598">
        <v>0</v>
      </c>
      <c r="I456" s="598">
        <v>0</v>
      </c>
      <c r="J456" s="598">
        <v>0</v>
      </c>
      <c r="K456" s="598">
        <v>0</v>
      </c>
      <c r="L456" s="598">
        <v>0</v>
      </c>
      <c r="M456" s="600"/>
      <c r="N456" s="600"/>
      <c r="O456" s="138"/>
      <c r="P456" s="195"/>
      <c r="Q456" s="180"/>
      <c r="R456" s="195"/>
      <c r="S456" s="181"/>
      <c r="T456" s="111"/>
      <c r="U456" s="151"/>
      <c r="V456" s="195"/>
      <c r="W456" s="111"/>
      <c r="X456" s="195"/>
    </row>
    <row r="457" spans="1:24" x14ac:dyDescent="0.25">
      <c r="A457" s="213">
        <v>8091</v>
      </c>
      <c r="B457" s="214" t="s">
        <v>2113</v>
      </c>
      <c r="C457" s="597" t="s">
        <v>1829</v>
      </c>
      <c r="D457" s="597" t="s">
        <v>1829</v>
      </c>
      <c r="E457" s="597" t="s">
        <v>1829</v>
      </c>
      <c r="F457" s="598">
        <v>0</v>
      </c>
      <c r="G457" s="598">
        <v>0</v>
      </c>
      <c r="H457" s="598">
        <v>0</v>
      </c>
      <c r="I457" s="598">
        <v>0</v>
      </c>
      <c r="J457" s="598">
        <v>0</v>
      </c>
      <c r="K457" s="598">
        <v>0</v>
      </c>
      <c r="L457" s="598">
        <v>0</v>
      </c>
      <c r="M457" s="600"/>
      <c r="N457" s="600"/>
      <c r="O457" s="138"/>
      <c r="P457" s="195"/>
      <c r="Q457" s="180"/>
      <c r="R457" s="195"/>
      <c r="S457" s="181"/>
      <c r="T457" s="111"/>
      <c r="U457" s="151"/>
      <c r="V457" s="195"/>
      <c r="W457" s="111"/>
      <c r="X457" s="195"/>
    </row>
    <row r="458" spans="1:24" x14ac:dyDescent="0.25">
      <c r="A458" s="213">
        <v>8092</v>
      </c>
      <c r="B458" s="214" t="s">
        <v>2114</v>
      </c>
      <c r="C458" s="597" t="s">
        <v>1829</v>
      </c>
      <c r="D458" s="597" t="s">
        <v>1829</v>
      </c>
      <c r="E458" s="597" t="s">
        <v>1829</v>
      </c>
      <c r="F458" s="598">
        <v>0</v>
      </c>
      <c r="G458" s="598">
        <v>0</v>
      </c>
      <c r="H458" s="598">
        <v>0</v>
      </c>
      <c r="I458" s="598">
        <v>0</v>
      </c>
      <c r="J458" s="598">
        <v>0</v>
      </c>
      <c r="K458" s="598">
        <v>0</v>
      </c>
      <c r="L458" s="598">
        <v>0</v>
      </c>
      <c r="M458" s="600"/>
      <c r="N458" s="600"/>
      <c r="O458" s="138"/>
      <c r="P458" s="195"/>
      <c r="Q458" s="180"/>
      <c r="R458" s="195"/>
      <c r="S458" s="181"/>
      <c r="T458" s="111"/>
      <c r="U458" s="151"/>
      <c r="V458" s="195"/>
      <c r="W458" s="111"/>
      <c r="X458" s="195"/>
    </row>
    <row r="459" spans="1:24" x14ac:dyDescent="0.25">
      <c r="A459" s="213">
        <v>8093</v>
      </c>
      <c r="B459" s="214" t="s">
        <v>2115</v>
      </c>
      <c r="C459" s="597" t="s">
        <v>1829</v>
      </c>
      <c r="D459" s="597" t="s">
        <v>1829</v>
      </c>
      <c r="E459" s="597" t="s">
        <v>1829</v>
      </c>
      <c r="F459" s="598">
        <v>0</v>
      </c>
      <c r="G459" s="598">
        <v>0</v>
      </c>
      <c r="H459" s="598">
        <v>0</v>
      </c>
      <c r="I459" s="598">
        <v>0</v>
      </c>
      <c r="J459" s="598">
        <v>0</v>
      </c>
      <c r="K459" s="598">
        <v>0</v>
      </c>
      <c r="L459" s="598">
        <v>0</v>
      </c>
      <c r="M459" s="600"/>
      <c r="N459" s="600"/>
      <c r="O459" s="138"/>
      <c r="P459" s="195"/>
      <c r="Q459" s="180"/>
      <c r="R459" s="195"/>
      <c r="S459" s="181"/>
      <c r="T459" s="111"/>
      <c r="U459" s="151"/>
      <c r="V459" s="195"/>
      <c r="W459" s="111"/>
      <c r="X459" s="195"/>
    </row>
    <row r="460" spans="1:24" x14ac:dyDescent="0.25">
      <c r="A460" s="213">
        <v>8094</v>
      </c>
      <c r="B460" s="214" t="s">
        <v>2116</v>
      </c>
      <c r="C460" s="597" t="s">
        <v>1829</v>
      </c>
      <c r="D460" s="597" t="s">
        <v>1829</v>
      </c>
      <c r="E460" s="597" t="s">
        <v>1829</v>
      </c>
      <c r="F460" s="598">
        <v>0</v>
      </c>
      <c r="G460" s="598">
        <v>0</v>
      </c>
      <c r="H460" s="598">
        <v>0</v>
      </c>
      <c r="I460" s="598">
        <v>0</v>
      </c>
      <c r="J460" s="598">
        <v>0</v>
      </c>
      <c r="K460" s="598">
        <v>0</v>
      </c>
      <c r="L460" s="598">
        <v>0</v>
      </c>
      <c r="M460" s="600"/>
      <c r="N460" s="600"/>
      <c r="O460" s="138"/>
      <c r="P460" s="195"/>
      <c r="Q460" s="180"/>
      <c r="R460" s="195"/>
      <c r="S460" s="181"/>
      <c r="T460" s="111"/>
      <c r="U460" s="151"/>
      <c r="V460" s="195"/>
      <c r="W460" s="111"/>
      <c r="X460" s="195"/>
    </row>
    <row r="461" spans="1:24" x14ac:dyDescent="0.25">
      <c r="A461" s="213">
        <v>8095</v>
      </c>
      <c r="B461" s="214" t="s">
        <v>2117</v>
      </c>
      <c r="C461" s="597" t="s">
        <v>1829</v>
      </c>
      <c r="D461" s="597" t="s">
        <v>1829</v>
      </c>
      <c r="E461" s="597" t="s">
        <v>1829</v>
      </c>
      <c r="F461" s="598">
        <v>0</v>
      </c>
      <c r="G461" s="598">
        <v>0</v>
      </c>
      <c r="H461" s="598">
        <v>0</v>
      </c>
      <c r="I461" s="598">
        <v>0</v>
      </c>
      <c r="J461" s="598">
        <v>0</v>
      </c>
      <c r="K461" s="598">
        <v>0</v>
      </c>
      <c r="L461" s="598">
        <v>0</v>
      </c>
      <c r="M461" s="600"/>
      <c r="N461" s="600"/>
      <c r="O461" s="138"/>
      <c r="P461" s="195"/>
      <c r="Q461" s="180"/>
      <c r="R461" s="195"/>
      <c r="S461" s="181"/>
      <c r="T461" s="111"/>
      <c r="U461" s="151"/>
      <c r="V461" s="195"/>
      <c r="W461" s="111"/>
      <c r="X461" s="195"/>
    </row>
    <row r="462" spans="1:24" x14ac:dyDescent="0.25">
      <c r="A462" s="213">
        <v>8096</v>
      </c>
      <c r="B462" s="214" t="s">
        <v>844</v>
      </c>
      <c r="C462" s="597" t="s">
        <v>1829</v>
      </c>
      <c r="D462" s="597" t="s">
        <v>1829</v>
      </c>
      <c r="E462" s="597" t="s">
        <v>1829</v>
      </c>
      <c r="F462" s="598">
        <v>0</v>
      </c>
      <c r="G462" s="598">
        <v>0</v>
      </c>
      <c r="H462" s="598">
        <v>0</v>
      </c>
      <c r="I462" s="598">
        <v>36281.120000000003</v>
      </c>
      <c r="J462" s="598">
        <v>0</v>
      </c>
      <c r="K462" s="598">
        <v>0</v>
      </c>
      <c r="L462" s="598">
        <v>36281</v>
      </c>
      <c r="M462" s="600"/>
      <c r="N462" s="600"/>
      <c r="O462" s="138"/>
      <c r="P462" s="195"/>
      <c r="Q462" s="180"/>
      <c r="R462" s="195"/>
      <c r="S462" s="181"/>
      <c r="T462" s="111"/>
      <c r="U462" s="151"/>
      <c r="V462" s="195"/>
      <c r="W462" s="111"/>
      <c r="X462" s="195"/>
    </row>
    <row r="463" spans="1:24" x14ac:dyDescent="0.25">
      <c r="A463" s="213">
        <v>8097</v>
      </c>
      <c r="B463" s="214" t="s">
        <v>2118</v>
      </c>
      <c r="C463" s="597" t="s">
        <v>1829</v>
      </c>
      <c r="D463" s="597" t="s">
        <v>1829</v>
      </c>
      <c r="E463" s="597" t="s">
        <v>1829</v>
      </c>
      <c r="F463" s="598">
        <v>0</v>
      </c>
      <c r="G463" s="598">
        <v>0</v>
      </c>
      <c r="H463" s="598">
        <v>0</v>
      </c>
      <c r="I463" s="598">
        <v>0</v>
      </c>
      <c r="J463" s="598">
        <v>0</v>
      </c>
      <c r="K463" s="598">
        <v>0</v>
      </c>
      <c r="L463" s="598">
        <v>0</v>
      </c>
      <c r="M463" s="600"/>
      <c r="N463" s="600"/>
      <c r="O463" s="138"/>
      <c r="P463" s="195"/>
      <c r="Q463" s="180"/>
      <c r="R463" s="195"/>
      <c r="S463" s="181"/>
      <c r="T463" s="111"/>
      <c r="U463" s="151"/>
      <c r="V463" s="195"/>
      <c r="W463" s="111"/>
      <c r="X463" s="195"/>
    </row>
    <row r="464" spans="1:24" x14ac:dyDescent="0.25">
      <c r="A464" s="213">
        <v>8098</v>
      </c>
      <c r="B464" s="214" t="s">
        <v>845</v>
      </c>
      <c r="C464" s="597" t="s">
        <v>1829</v>
      </c>
      <c r="D464" s="597" t="s">
        <v>1829</v>
      </c>
      <c r="E464" s="597" t="s">
        <v>1829</v>
      </c>
      <c r="F464" s="598">
        <v>0</v>
      </c>
      <c r="G464" s="598">
        <v>0</v>
      </c>
      <c r="H464" s="598">
        <v>0</v>
      </c>
      <c r="I464" s="598">
        <v>3253.9500000000003</v>
      </c>
      <c r="J464" s="598">
        <v>1043.08</v>
      </c>
      <c r="K464" s="598">
        <v>0</v>
      </c>
      <c r="L464" s="598">
        <v>4297</v>
      </c>
      <c r="M464" s="600"/>
      <c r="N464" s="600"/>
      <c r="O464" s="138"/>
      <c r="P464" s="195"/>
      <c r="Q464" s="180"/>
      <c r="R464" s="195"/>
      <c r="S464" s="181"/>
      <c r="T464" s="111"/>
      <c r="U464" s="151"/>
      <c r="V464" s="195"/>
      <c r="W464" s="111"/>
      <c r="X464" s="195"/>
    </row>
    <row r="465" spans="1:24" x14ac:dyDescent="0.25">
      <c r="A465" s="213">
        <v>8099</v>
      </c>
      <c r="B465" s="214" t="s">
        <v>2119</v>
      </c>
      <c r="C465" s="597" t="s">
        <v>1829</v>
      </c>
      <c r="D465" s="597" t="s">
        <v>1829</v>
      </c>
      <c r="E465" s="597" t="s">
        <v>1829</v>
      </c>
      <c r="F465" s="598">
        <v>0</v>
      </c>
      <c r="G465" s="598">
        <v>0</v>
      </c>
      <c r="H465" s="598">
        <v>0</v>
      </c>
      <c r="I465" s="598">
        <v>0</v>
      </c>
      <c r="J465" s="598">
        <v>0</v>
      </c>
      <c r="K465" s="598">
        <v>0</v>
      </c>
      <c r="L465" s="598">
        <v>0</v>
      </c>
      <c r="M465" s="600"/>
      <c r="N465" s="600"/>
      <c r="O465" s="138"/>
      <c r="P465" s="195"/>
      <c r="Q465" s="180"/>
      <c r="R465" s="195"/>
      <c r="S465" s="181"/>
      <c r="T465" s="111"/>
      <c r="U465" s="151"/>
      <c r="V465" s="195"/>
      <c r="W465" s="111"/>
      <c r="X465" s="195"/>
    </row>
    <row r="466" spans="1:24" x14ac:dyDescent="0.25">
      <c r="A466" s="213">
        <v>8110</v>
      </c>
      <c r="B466" s="214" t="s">
        <v>2120</v>
      </c>
      <c r="C466" s="597" t="s">
        <v>1829</v>
      </c>
      <c r="D466" s="597" t="s">
        <v>1829</v>
      </c>
      <c r="E466" s="597" t="s">
        <v>1829</v>
      </c>
      <c r="F466" s="598">
        <v>0</v>
      </c>
      <c r="G466" s="598">
        <v>0</v>
      </c>
      <c r="H466" s="598">
        <v>0</v>
      </c>
      <c r="I466" s="598">
        <v>0</v>
      </c>
      <c r="J466" s="598">
        <v>0</v>
      </c>
      <c r="K466" s="598">
        <v>0</v>
      </c>
      <c r="L466" s="598">
        <v>0</v>
      </c>
      <c r="M466" s="600"/>
      <c r="N466" s="600"/>
      <c r="O466" s="138"/>
      <c r="P466" s="195"/>
      <c r="Q466" s="180"/>
      <c r="R466" s="195"/>
      <c r="S466" s="181"/>
      <c r="T466" s="111"/>
      <c r="U466" s="151"/>
      <c r="V466" s="195"/>
      <c r="W466" s="111"/>
      <c r="X466" s="195"/>
    </row>
    <row r="467" spans="1:24" x14ac:dyDescent="0.25">
      <c r="A467" s="213">
        <v>8113</v>
      </c>
      <c r="B467" s="214" t="s">
        <v>2121</v>
      </c>
      <c r="C467" s="597" t="s">
        <v>1829</v>
      </c>
      <c r="D467" s="597" t="s">
        <v>1829</v>
      </c>
      <c r="E467" s="597" t="s">
        <v>1829</v>
      </c>
      <c r="F467" s="598">
        <v>0</v>
      </c>
      <c r="G467" s="598">
        <v>0</v>
      </c>
      <c r="H467" s="598">
        <v>0</v>
      </c>
      <c r="I467" s="598">
        <v>0</v>
      </c>
      <c r="J467" s="598">
        <v>0</v>
      </c>
      <c r="K467" s="598">
        <v>0</v>
      </c>
      <c r="L467" s="598">
        <v>0</v>
      </c>
      <c r="M467" s="600"/>
      <c r="N467" s="600"/>
      <c r="O467" s="138"/>
      <c r="P467" s="195"/>
      <c r="Q467" s="180"/>
      <c r="R467" s="195"/>
      <c r="S467" s="181"/>
      <c r="T467" s="111"/>
      <c r="U467" s="151"/>
      <c r="V467" s="195"/>
      <c r="W467" s="111"/>
      <c r="X467" s="195"/>
    </row>
    <row r="468" spans="1:24" x14ac:dyDescent="0.25">
      <c r="A468" s="213">
        <v>8117</v>
      </c>
      <c r="B468" s="214" t="s">
        <v>2122</v>
      </c>
      <c r="C468" s="597" t="s">
        <v>1829</v>
      </c>
      <c r="D468" s="597" t="s">
        <v>1829</v>
      </c>
      <c r="E468" s="597" t="s">
        <v>1829</v>
      </c>
      <c r="F468" s="598">
        <v>0</v>
      </c>
      <c r="G468" s="598">
        <v>0</v>
      </c>
      <c r="H468" s="598">
        <v>0</v>
      </c>
      <c r="I468" s="598">
        <v>0</v>
      </c>
      <c r="J468" s="598">
        <v>0</v>
      </c>
      <c r="K468" s="598">
        <v>0</v>
      </c>
      <c r="L468" s="598">
        <v>0</v>
      </c>
      <c r="M468" s="600"/>
      <c r="N468" s="600"/>
      <c r="O468" s="138"/>
      <c r="P468" s="195"/>
      <c r="Q468" s="180"/>
      <c r="R468" s="195"/>
      <c r="S468" s="181"/>
      <c r="T468" s="111"/>
      <c r="U468" s="151"/>
      <c r="V468" s="195"/>
      <c r="W468" s="111"/>
      <c r="X468" s="195"/>
    </row>
    <row r="469" spans="1:24" x14ac:dyDescent="0.25">
      <c r="A469" s="213">
        <v>8120</v>
      </c>
      <c r="B469" s="214" t="s">
        <v>2123</v>
      </c>
      <c r="C469" s="597" t="s">
        <v>1829</v>
      </c>
      <c r="D469" s="597" t="s">
        <v>1829</v>
      </c>
      <c r="E469" s="597" t="s">
        <v>1829</v>
      </c>
      <c r="F469" s="598">
        <v>0</v>
      </c>
      <c r="G469" s="598">
        <v>0</v>
      </c>
      <c r="H469" s="598">
        <v>0</v>
      </c>
      <c r="I469" s="598">
        <v>0</v>
      </c>
      <c r="J469" s="598">
        <v>0</v>
      </c>
      <c r="K469" s="598">
        <v>0</v>
      </c>
      <c r="L469" s="598">
        <v>0</v>
      </c>
      <c r="M469" s="600"/>
      <c r="N469" s="600"/>
      <c r="O469" s="138"/>
      <c r="P469" s="195"/>
      <c r="Q469" s="180"/>
      <c r="R469" s="195"/>
      <c r="S469" s="181"/>
      <c r="T469" s="111"/>
      <c r="U469" s="151"/>
      <c r="V469" s="195"/>
      <c r="W469" s="111"/>
      <c r="X469" s="195"/>
    </row>
    <row r="470" spans="1:24" x14ac:dyDescent="0.25">
      <c r="A470" s="213">
        <v>8124</v>
      </c>
      <c r="B470" s="214" t="s">
        <v>2124</v>
      </c>
      <c r="C470" s="597" t="s">
        <v>1829</v>
      </c>
      <c r="D470" s="597" t="s">
        <v>1829</v>
      </c>
      <c r="E470" s="597" t="s">
        <v>1829</v>
      </c>
      <c r="F470" s="598">
        <v>0</v>
      </c>
      <c r="G470" s="598">
        <v>0</v>
      </c>
      <c r="H470" s="598">
        <v>0</v>
      </c>
      <c r="I470" s="598">
        <v>0</v>
      </c>
      <c r="J470" s="598">
        <v>0</v>
      </c>
      <c r="K470" s="598">
        <v>0</v>
      </c>
      <c r="L470" s="598">
        <v>0</v>
      </c>
      <c r="M470" s="600"/>
      <c r="N470" s="600"/>
      <c r="O470" s="138"/>
      <c r="P470" s="195"/>
      <c r="Q470" s="180"/>
      <c r="R470" s="195"/>
      <c r="S470" s="181"/>
      <c r="T470" s="111"/>
      <c r="U470" s="151"/>
      <c r="V470" s="195"/>
      <c r="W470" s="111"/>
      <c r="X470" s="195"/>
    </row>
    <row r="471" spans="1:24" x14ac:dyDescent="0.25">
      <c r="A471" s="213">
        <v>8137</v>
      </c>
      <c r="B471" s="214" t="s">
        <v>2125</v>
      </c>
      <c r="C471" s="597" t="s">
        <v>1829</v>
      </c>
      <c r="D471" s="597" t="s">
        <v>1829</v>
      </c>
      <c r="E471" s="597" t="s">
        <v>1829</v>
      </c>
      <c r="F471" s="598">
        <v>0</v>
      </c>
      <c r="G471" s="598">
        <v>0</v>
      </c>
      <c r="H471" s="598">
        <v>0</v>
      </c>
      <c r="I471" s="598">
        <v>0</v>
      </c>
      <c r="J471" s="598">
        <v>0</v>
      </c>
      <c r="K471" s="598">
        <v>0</v>
      </c>
      <c r="L471" s="598">
        <v>0</v>
      </c>
      <c r="M471" s="600"/>
      <c r="N471" s="600"/>
      <c r="O471" s="138"/>
      <c r="P471" s="195"/>
      <c r="Q471" s="180"/>
      <c r="R471" s="195"/>
      <c r="S471" s="181"/>
      <c r="T471" s="111"/>
      <c r="U471" s="151"/>
      <c r="V471" s="195"/>
      <c r="W471" s="111"/>
      <c r="X471" s="195"/>
    </row>
    <row r="472" spans="1:24" x14ac:dyDescent="0.25">
      <c r="A472" s="213">
        <v>8152</v>
      </c>
      <c r="B472" s="214" t="s">
        <v>2126</v>
      </c>
      <c r="C472" s="597" t="s">
        <v>1829</v>
      </c>
      <c r="D472" s="597" t="s">
        <v>1829</v>
      </c>
      <c r="E472" s="597" t="s">
        <v>1829</v>
      </c>
      <c r="F472" s="598">
        <v>0</v>
      </c>
      <c r="G472" s="598">
        <v>0</v>
      </c>
      <c r="H472" s="598">
        <v>0</v>
      </c>
      <c r="I472" s="598">
        <v>0</v>
      </c>
      <c r="J472" s="598">
        <v>0</v>
      </c>
      <c r="K472" s="598">
        <v>0</v>
      </c>
      <c r="L472" s="598">
        <v>0</v>
      </c>
      <c r="M472" s="600"/>
      <c r="N472" s="600"/>
      <c r="O472" s="138"/>
      <c r="P472" s="195"/>
      <c r="Q472" s="180"/>
      <c r="R472" s="195"/>
      <c r="S472" s="181"/>
      <c r="T472" s="111"/>
      <c r="U472" s="151"/>
      <c r="V472" s="195"/>
      <c r="W472" s="111"/>
      <c r="X472" s="195"/>
    </row>
    <row r="473" spans="1:24" x14ac:dyDescent="0.25">
      <c r="A473" s="213">
        <v>8163</v>
      </c>
      <c r="B473" s="214" t="s">
        <v>2127</v>
      </c>
      <c r="C473" s="597" t="s">
        <v>1829</v>
      </c>
      <c r="D473" s="597" t="s">
        <v>1829</v>
      </c>
      <c r="E473" s="597" t="s">
        <v>1829</v>
      </c>
      <c r="F473" s="598">
        <v>0</v>
      </c>
      <c r="G473" s="598">
        <v>0</v>
      </c>
      <c r="H473" s="598">
        <v>0</v>
      </c>
      <c r="I473" s="598">
        <v>0</v>
      </c>
      <c r="J473" s="598">
        <v>0</v>
      </c>
      <c r="K473" s="598">
        <v>0</v>
      </c>
      <c r="L473" s="598">
        <v>0</v>
      </c>
      <c r="M473" s="600"/>
      <c r="N473" s="600"/>
      <c r="O473" s="138"/>
      <c r="P473" s="195"/>
      <c r="Q473" s="180"/>
      <c r="R473" s="195"/>
      <c r="S473" s="181"/>
      <c r="T473" s="111"/>
      <c r="U473" s="151"/>
      <c r="V473" s="195"/>
      <c r="W473" s="111"/>
      <c r="X473" s="195"/>
    </row>
    <row r="474" spans="1:24" x14ac:dyDescent="0.25">
      <c r="A474" s="213">
        <v>8167</v>
      </c>
      <c r="B474" s="214" t="s">
        <v>2128</v>
      </c>
      <c r="C474" s="597" t="s">
        <v>1829</v>
      </c>
      <c r="D474" s="597" t="s">
        <v>1829</v>
      </c>
      <c r="E474" s="597" t="s">
        <v>1829</v>
      </c>
      <c r="F474" s="598">
        <v>0</v>
      </c>
      <c r="G474" s="598">
        <v>0</v>
      </c>
      <c r="H474" s="598">
        <v>0</v>
      </c>
      <c r="I474" s="598">
        <v>0</v>
      </c>
      <c r="J474" s="598">
        <v>0</v>
      </c>
      <c r="K474" s="598">
        <v>0</v>
      </c>
      <c r="L474" s="598">
        <v>0</v>
      </c>
      <c r="M474" s="600"/>
      <c r="N474" s="600"/>
      <c r="O474" s="138"/>
      <c r="P474" s="195"/>
      <c r="Q474" s="180"/>
      <c r="R474" s="195"/>
      <c r="S474" s="181"/>
      <c r="T474" s="111"/>
      <c r="U474" s="151"/>
      <c r="V474" s="195"/>
      <c r="W474" s="111"/>
      <c r="X474" s="195"/>
    </row>
    <row r="475" spans="1:24" x14ac:dyDescent="0.25">
      <c r="A475" s="213">
        <v>8168</v>
      </c>
      <c r="B475" s="214" t="s">
        <v>2129</v>
      </c>
      <c r="C475" s="597" t="s">
        <v>1829</v>
      </c>
      <c r="D475" s="597" t="s">
        <v>1829</v>
      </c>
      <c r="E475" s="597" t="s">
        <v>1829</v>
      </c>
      <c r="F475" s="598">
        <v>0</v>
      </c>
      <c r="G475" s="598">
        <v>0</v>
      </c>
      <c r="H475" s="598">
        <v>0</v>
      </c>
      <c r="I475" s="598">
        <v>0</v>
      </c>
      <c r="J475" s="598">
        <v>0</v>
      </c>
      <c r="K475" s="598">
        <v>0</v>
      </c>
      <c r="L475" s="598">
        <v>0</v>
      </c>
      <c r="M475" s="600"/>
      <c r="N475" s="600"/>
      <c r="O475" s="138"/>
      <c r="P475" s="195"/>
      <c r="Q475" s="180"/>
      <c r="R475" s="195"/>
      <c r="S475" s="181"/>
      <c r="T475" s="111"/>
      <c r="U475" s="151"/>
      <c r="V475" s="195"/>
      <c r="W475" s="111"/>
      <c r="X475" s="195"/>
    </row>
    <row r="476" spans="1:24" x14ac:dyDescent="0.25">
      <c r="A476" s="213">
        <v>8190</v>
      </c>
      <c r="B476" s="214" t="s">
        <v>2130</v>
      </c>
      <c r="C476" s="597" t="s">
        <v>1829</v>
      </c>
      <c r="D476" s="597" t="s">
        <v>1829</v>
      </c>
      <c r="E476" s="597" t="s">
        <v>1829</v>
      </c>
      <c r="F476" s="598">
        <v>0</v>
      </c>
      <c r="G476" s="598">
        <v>0</v>
      </c>
      <c r="H476" s="598">
        <v>0</v>
      </c>
      <c r="I476" s="598">
        <v>0</v>
      </c>
      <c r="J476" s="598">
        <v>0</v>
      </c>
      <c r="K476" s="598">
        <v>0</v>
      </c>
      <c r="L476" s="598">
        <v>0</v>
      </c>
      <c r="M476" s="600"/>
      <c r="N476" s="600"/>
      <c r="O476" s="138"/>
      <c r="P476" s="195"/>
      <c r="Q476" s="180"/>
      <c r="R476" s="195"/>
      <c r="S476" s="181"/>
      <c r="T476" s="111"/>
      <c r="U476" s="151"/>
      <c r="V476" s="195"/>
      <c r="W476" s="111"/>
      <c r="X476" s="195"/>
    </row>
    <row r="477" spans="1:24" x14ac:dyDescent="0.25">
      <c r="A477" s="213">
        <v>8193</v>
      </c>
      <c r="B477" s="214" t="s">
        <v>2131</v>
      </c>
      <c r="C477" s="597" t="s">
        <v>1829</v>
      </c>
      <c r="D477" s="597" t="s">
        <v>1829</v>
      </c>
      <c r="E477" s="597" t="s">
        <v>1829</v>
      </c>
      <c r="F477" s="598">
        <v>0</v>
      </c>
      <c r="G477" s="598">
        <v>0</v>
      </c>
      <c r="H477" s="598">
        <v>0</v>
      </c>
      <c r="I477" s="598">
        <v>0</v>
      </c>
      <c r="J477" s="598">
        <v>0</v>
      </c>
      <c r="K477" s="598">
        <v>0</v>
      </c>
      <c r="L477" s="598">
        <v>0</v>
      </c>
      <c r="M477" s="600"/>
      <c r="N477" s="600"/>
      <c r="O477" s="138"/>
      <c r="P477" s="195"/>
      <c r="Q477" s="180"/>
      <c r="R477" s="195"/>
      <c r="S477" s="181"/>
      <c r="T477" s="111"/>
      <c r="U477" s="151"/>
      <c r="V477" s="195"/>
      <c r="W477" s="111"/>
      <c r="X477" s="195"/>
    </row>
    <row r="478" spans="1:24" x14ac:dyDescent="0.25">
      <c r="A478" s="213">
        <v>8195</v>
      </c>
      <c r="B478" s="214" t="s">
        <v>2132</v>
      </c>
      <c r="C478" s="597" t="s">
        <v>1829</v>
      </c>
      <c r="D478" s="597" t="s">
        <v>1829</v>
      </c>
      <c r="E478" s="597" t="s">
        <v>1829</v>
      </c>
      <c r="F478" s="598">
        <v>0</v>
      </c>
      <c r="G478" s="598">
        <v>0</v>
      </c>
      <c r="H478" s="598">
        <v>0</v>
      </c>
      <c r="I478" s="598">
        <v>0</v>
      </c>
      <c r="J478" s="598">
        <v>0</v>
      </c>
      <c r="K478" s="598">
        <v>0</v>
      </c>
      <c r="L478" s="598">
        <v>0</v>
      </c>
      <c r="M478" s="600"/>
      <c r="N478" s="600"/>
      <c r="O478" s="138"/>
      <c r="P478" s="195"/>
      <c r="Q478" s="180"/>
      <c r="R478" s="195"/>
      <c r="S478" s="181"/>
      <c r="T478" s="111"/>
      <c r="U478" s="151"/>
      <c r="V478" s="195"/>
      <c r="W478" s="111"/>
      <c r="X478" s="195"/>
    </row>
    <row r="479" spans="1:24" x14ac:dyDescent="0.25">
      <c r="A479" s="213">
        <v>8196</v>
      </c>
      <c r="B479" s="214" t="s">
        <v>2133</v>
      </c>
      <c r="C479" s="597" t="s">
        <v>1829</v>
      </c>
      <c r="D479" s="597" t="s">
        <v>1829</v>
      </c>
      <c r="E479" s="597" t="s">
        <v>1829</v>
      </c>
      <c r="F479" s="598">
        <v>0</v>
      </c>
      <c r="G479" s="598">
        <v>0</v>
      </c>
      <c r="H479" s="598">
        <v>0</v>
      </c>
      <c r="I479" s="598">
        <v>0</v>
      </c>
      <c r="J479" s="598">
        <v>0</v>
      </c>
      <c r="K479" s="598">
        <v>0</v>
      </c>
      <c r="L479" s="598">
        <v>0</v>
      </c>
      <c r="M479" s="600"/>
      <c r="N479" s="600"/>
      <c r="O479" s="138"/>
      <c r="P479" s="195"/>
      <c r="Q479" s="180"/>
      <c r="R479" s="195"/>
      <c r="S479" s="181"/>
      <c r="T479" s="111"/>
      <c r="U479" s="151"/>
      <c r="V479" s="195"/>
      <c r="W479" s="111"/>
      <c r="X479" s="195"/>
    </row>
    <row r="480" spans="1:24" x14ac:dyDescent="0.25">
      <c r="A480" s="213">
        <v>8197</v>
      </c>
      <c r="B480" s="214" t="s">
        <v>2134</v>
      </c>
      <c r="C480" s="597" t="s">
        <v>1829</v>
      </c>
      <c r="D480" s="597" t="s">
        <v>1829</v>
      </c>
      <c r="E480" s="597" t="s">
        <v>1829</v>
      </c>
      <c r="F480" s="598">
        <v>0</v>
      </c>
      <c r="G480" s="598">
        <v>0</v>
      </c>
      <c r="H480" s="598">
        <v>0</v>
      </c>
      <c r="I480" s="598">
        <v>0</v>
      </c>
      <c r="J480" s="598">
        <v>0</v>
      </c>
      <c r="K480" s="598">
        <v>0</v>
      </c>
      <c r="L480" s="598">
        <v>0</v>
      </c>
      <c r="M480" s="600"/>
      <c r="N480" s="600"/>
      <c r="O480" s="138"/>
      <c r="P480" s="195"/>
      <c r="Q480" s="180"/>
      <c r="R480" s="195"/>
      <c r="S480" s="181"/>
      <c r="T480" s="111"/>
      <c r="U480" s="151"/>
      <c r="V480" s="195"/>
      <c r="W480" s="111"/>
      <c r="X480" s="195"/>
    </row>
    <row r="481" spans="1:24" x14ac:dyDescent="0.25">
      <c r="A481" s="213">
        <v>8198</v>
      </c>
      <c r="B481" s="214" t="s">
        <v>2135</v>
      </c>
      <c r="C481" s="597" t="s">
        <v>1829</v>
      </c>
      <c r="D481" s="597" t="s">
        <v>1829</v>
      </c>
      <c r="E481" s="597" t="s">
        <v>1829</v>
      </c>
      <c r="F481" s="598">
        <v>0</v>
      </c>
      <c r="G481" s="598">
        <v>0</v>
      </c>
      <c r="H481" s="598">
        <v>0</v>
      </c>
      <c r="I481" s="598">
        <v>0</v>
      </c>
      <c r="J481" s="598">
        <v>0</v>
      </c>
      <c r="K481" s="598">
        <v>0</v>
      </c>
      <c r="L481" s="598">
        <v>0</v>
      </c>
      <c r="M481" s="600"/>
      <c r="N481" s="600"/>
      <c r="O481" s="138"/>
      <c r="P481" s="195"/>
      <c r="Q481" s="180"/>
      <c r="R481" s="195"/>
      <c r="S481" s="181"/>
      <c r="T481" s="111"/>
      <c r="U481" s="151"/>
      <c r="V481" s="195"/>
      <c r="W481" s="111"/>
      <c r="X481" s="195"/>
    </row>
    <row r="482" spans="1:24" x14ac:dyDescent="0.25">
      <c r="A482" s="213">
        <v>8204</v>
      </c>
      <c r="B482" s="214" t="s">
        <v>2136</v>
      </c>
      <c r="C482" s="597" t="s">
        <v>1829</v>
      </c>
      <c r="D482" s="597" t="s">
        <v>1829</v>
      </c>
      <c r="E482" s="597" t="s">
        <v>1829</v>
      </c>
      <c r="F482" s="598">
        <v>0</v>
      </c>
      <c r="G482" s="598">
        <v>0</v>
      </c>
      <c r="H482" s="598">
        <v>0</v>
      </c>
      <c r="I482" s="598">
        <v>0</v>
      </c>
      <c r="J482" s="598">
        <v>0</v>
      </c>
      <c r="K482" s="598">
        <v>0</v>
      </c>
      <c r="L482" s="598">
        <v>0</v>
      </c>
      <c r="M482" s="600"/>
      <c r="N482" s="600"/>
      <c r="O482" s="138"/>
      <c r="P482" s="195"/>
      <c r="Q482" s="180"/>
      <c r="R482" s="195"/>
      <c r="S482" s="181"/>
      <c r="T482" s="111"/>
      <c r="U482" s="151"/>
      <c r="V482" s="195"/>
      <c r="W482" s="111"/>
      <c r="X482" s="195"/>
    </row>
    <row r="483" spans="1:24" x14ac:dyDescent="0.25">
      <c r="A483" s="213">
        <v>8211</v>
      </c>
      <c r="B483" s="214" t="s">
        <v>2137</v>
      </c>
      <c r="C483" s="597" t="s">
        <v>1829</v>
      </c>
      <c r="D483" s="597" t="s">
        <v>1829</v>
      </c>
      <c r="E483" s="597" t="s">
        <v>1829</v>
      </c>
      <c r="F483" s="598">
        <v>0</v>
      </c>
      <c r="G483" s="598">
        <v>0</v>
      </c>
      <c r="H483" s="598">
        <v>0</v>
      </c>
      <c r="I483" s="598">
        <v>0</v>
      </c>
      <c r="J483" s="598">
        <v>0</v>
      </c>
      <c r="K483" s="598">
        <v>0</v>
      </c>
      <c r="L483" s="598">
        <v>0</v>
      </c>
      <c r="M483" s="600"/>
      <c r="N483" s="600"/>
      <c r="O483" s="138"/>
      <c r="P483" s="195"/>
      <c r="Q483" s="180"/>
      <c r="R483" s="195"/>
      <c r="S483" s="181"/>
      <c r="T483" s="111"/>
      <c r="U483" s="151"/>
      <c r="V483" s="195"/>
      <c r="W483" s="111"/>
      <c r="X483" s="195"/>
    </row>
    <row r="484" spans="1:24" x14ac:dyDescent="0.25">
      <c r="A484" s="213">
        <v>8214</v>
      </c>
      <c r="B484" s="214" t="s">
        <v>2138</v>
      </c>
      <c r="C484" s="597" t="s">
        <v>1829</v>
      </c>
      <c r="D484" s="597" t="s">
        <v>1829</v>
      </c>
      <c r="E484" s="597" t="s">
        <v>1829</v>
      </c>
      <c r="F484" s="598">
        <v>0</v>
      </c>
      <c r="G484" s="598">
        <v>0</v>
      </c>
      <c r="H484" s="598">
        <v>0</v>
      </c>
      <c r="I484" s="598">
        <v>0</v>
      </c>
      <c r="J484" s="598">
        <v>0</v>
      </c>
      <c r="K484" s="598">
        <v>0</v>
      </c>
      <c r="L484" s="598">
        <v>0</v>
      </c>
      <c r="M484" s="600"/>
      <c r="N484" s="600"/>
      <c r="O484" s="138"/>
      <c r="P484" s="195"/>
      <c r="Q484" s="180"/>
      <c r="R484" s="195"/>
      <c r="S484" s="181"/>
      <c r="T484" s="111"/>
      <c r="U484" s="151"/>
      <c r="V484" s="195"/>
      <c r="W484" s="111"/>
      <c r="X484" s="195"/>
    </row>
    <row r="485" spans="1:24" x14ac:dyDescent="0.25">
      <c r="A485" s="213">
        <v>8220</v>
      </c>
      <c r="B485" s="214" t="s">
        <v>2139</v>
      </c>
      <c r="C485" s="597" t="s">
        <v>1829</v>
      </c>
      <c r="D485" s="597" t="s">
        <v>1829</v>
      </c>
      <c r="E485" s="597" t="s">
        <v>1829</v>
      </c>
      <c r="F485" s="598">
        <v>0</v>
      </c>
      <c r="G485" s="598">
        <v>0</v>
      </c>
      <c r="H485" s="598">
        <v>0</v>
      </c>
      <c r="I485" s="598">
        <v>0</v>
      </c>
      <c r="J485" s="598">
        <v>0</v>
      </c>
      <c r="K485" s="598">
        <v>0</v>
      </c>
      <c r="L485" s="598">
        <v>0</v>
      </c>
      <c r="M485" s="600"/>
      <c r="N485" s="600"/>
      <c r="O485" s="138"/>
      <c r="P485" s="195"/>
      <c r="Q485" s="180"/>
      <c r="R485" s="195"/>
      <c r="S485" s="181"/>
      <c r="T485" s="111"/>
      <c r="U485" s="151"/>
      <c r="V485" s="195"/>
      <c r="W485" s="111"/>
      <c r="X485" s="195"/>
    </row>
    <row r="486" spans="1:24" x14ac:dyDescent="0.25">
      <c r="A486" s="213">
        <v>8222</v>
      </c>
      <c r="B486" s="214" t="s">
        <v>2140</v>
      </c>
      <c r="C486" s="597" t="s">
        <v>1829</v>
      </c>
      <c r="D486" s="597" t="s">
        <v>1829</v>
      </c>
      <c r="E486" s="597" t="s">
        <v>1829</v>
      </c>
      <c r="F486" s="598">
        <v>0</v>
      </c>
      <c r="G486" s="598">
        <v>0</v>
      </c>
      <c r="H486" s="598">
        <v>0</v>
      </c>
      <c r="I486" s="598">
        <v>0</v>
      </c>
      <c r="J486" s="598">
        <v>0</v>
      </c>
      <c r="K486" s="598">
        <v>0</v>
      </c>
      <c r="L486" s="598">
        <v>0</v>
      </c>
      <c r="M486" s="600"/>
      <c r="N486" s="600"/>
      <c r="O486" s="138"/>
      <c r="P486" s="195"/>
      <c r="Q486" s="180"/>
      <c r="R486" s="195"/>
      <c r="S486" s="181"/>
      <c r="T486" s="111"/>
      <c r="U486" s="151"/>
      <c r="V486" s="195"/>
      <c r="W486" s="111"/>
      <c r="X486" s="195"/>
    </row>
    <row r="487" spans="1:24" x14ac:dyDescent="0.25">
      <c r="A487" s="213">
        <v>8225</v>
      </c>
      <c r="B487" s="214" t="s">
        <v>2141</v>
      </c>
      <c r="C487" s="597" t="s">
        <v>1829</v>
      </c>
      <c r="D487" s="597" t="s">
        <v>1829</v>
      </c>
      <c r="E487" s="597" t="s">
        <v>1829</v>
      </c>
      <c r="F487" s="598">
        <v>0</v>
      </c>
      <c r="G487" s="598">
        <v>0</v>
      </c>
      <c r="H487" s="598">
        <v>0</v>
      </c>
      <c r="I487" s="598">
        <v>0</v>
      </c>
      <c r="J487" s="598">
        <v>0</v>
      </c>
      <c r="K487" s="598">
        <v>0</v>
      </c>
      <c r="L487" s="598">
        <v>0</v>
      </c>
      <c r="M487" s="600"/>
      <c r="N487" s="600"/>
      <c r="O487" s="138"/>
      <c r="P487" s="195"/>
      <c r="Q487" s="180"/>
      <c r="R487" s="195"/>
      <c r="S487" s="181"/>
      <c r="T487" s="111"/>
      <c r="U487" s="151"/>
      <c r="V487" s="195"/>
      <c r="W487" s="111"/>
      <c r="X487" s="195"/>
    </row>
    <row r="488" spans="1:24" x14ac:dyDescent="0.25">
      <c r="A488" s="213">
        <v>8226</v>
      </c>
      <c r="B488" s="214" t="s">
        <v>2142</v>
      </c>
      <c r="C488" s="597" t="s">
        <v>1829</v>
      </c>
      <c r="D488" s="597" t="s">
        <v>1829</v>
      </c>
      <c r="E488" s="597" t="s">
        <v>1829</v>
      </c>
      <c r="F488" s="598">
        <v>0</v>
      </c>
      <c r="G488" s="598">
        <v>0</v>
      </c>
      <c r="H488" s="598">
        <v>0</v>
      </c>
      <c r="I488" s="598">
        <v>0</v>
      </c>
      <c r="J488" s="598">
        <v>0</v>
      </c>
      <c r="K488" s="598">
        <v>0</v>
      </c>
      <c r="L488" s="598">
        <v>0</v>
      </c>
      <c r="M488" s="600"/>
      <c r="N488" s="600"/>
      <c r="O488" s="138"/>
      <c r="P488" s="195"/>
      <c r="Q488" s="180"/>
      <c r="R488" s="195"/>
      <c r="S488" s="181"/>
      <c r="T488" s="111"/>
      <c r="U488" s="151"/>
      <c r="V488" s="195"/>
      <c r="W488" s="111"/>
      <c r="X488" s="195"/>
    </row>
    <row r="489" spans="1:24" x14ac:dyDescent="0.25">
      <c r="A489" s="213">
        <v>8234</v>
      </c>
      <c r="B489" s="214" t="s">
        <v>2143</v>
      </c>
      <c r="C489" s="597" t="s">
        <v>1829</v>
      </c>
      <c r="D489" s="597" t="s">
        <v>1829</v>
      </c>
      <c r="E489" s="597" t="s">
        <v>1829</v>
      </c>
      <c r="F489" s="598">
        <v>0</v>
      </c>
      <c r="G489" s="598">
        <v>0</v>
      </c>
      <c r="H489" s="598">
        <v>0</v>
      </c>
      <c r="I489" s="598">
        <v>0</v>
      </c>
      <c r="J489" s="598">
        <v>0</v>
      </c>
      <c r="K489" s="598">
        <v>0</v>
      </c>
      <c r="L489" s="598">
        <v>0</v>
      </c>
      <c r="M489" s="600"/>
      <c r="N489" s="600"/>
      <c r="O489" s="138"/>
      <c r="P489" s="195"/>
      <c r="Q489" s="180"/>
      <c r="R489" s="195"/>
      <c r="S489" s="181"/>
      <c r="T489" s="111"/>
      <c r="U489" s="151"/>
      <c r="V489" s="195"/>
      <c r="W489" s="111"/>
      <c r="X489" s="195"/>
    </row>
    <row r="490" spans="1:24" x14ac:dyDescent="0.25">
      <c r="A490" s="213">
        <v>8243</v>
      </c>
      <c r="B490" s="214" t="s">
        <v>2144</v>
      </c>
      <c r="C490" s="597" t="s">
        <v>1829</v>
      </c>
      <c r="D490" s="597" t="s">
        <v>1829</v>
      </c>
      <c r="E490" s="597" t="s">
        <v>1829</v>
      </c>
      <c r="F490" s="598">
        <v>0</v>
      </c>
      <c r="G490" s="598">
        <v>0</v>
      </c>
      <c r="H490" s="598">
        <v>0</v>
      </c>
      <c r="I490" s="598">
        <v>0</v>
      </c>
      <c r="J490" s="598">
        <v>0</v>
      </c>
      <c r="K490" s="598">
        <v>0</v>
      </c>
      <c r="L490" s="598">
        <v>0</v>
      </c>
      <c r="M490" s="600"/>
      <c r="N490" s="600"/>
      <c r="O490" s="138"/>
      <c r="P490" s="195"/>
      <c r="Q490" s="180"/>
      <c r="R490" s="195"/>
      <c r="S490" s="181"/>
      <c r="T490" s="111"/>
      <c r="U490" s="151"/>
      <c r="V490" s="195"/>
      <c r="W490" s="111"/>
      <c r="X490" s="195"/>
    </row>
    <row r="491" spans="1:24" x14ac:dyDescent="0.25">
      <c r="A491" s="213">
        <v>8250</v>
      </c>
      <c r="B491" s="214" t="s">
        <v>2145</v>
      </c>
      <c r="C491" s="597" t="s">
        <v>1829</v>
      </c>
      <c r="D491" s="597" t="s">
        <v>1829</v>
      </c>
      <c r="E491" s="597" t="s">
        <v>1829</v>
      </c>
      <c r="F491" s="598">
        <v>0</v>
      </c>
      <c r="G491" s="598">
        <v>0</v>
      </c>
      <c r="H491" s="598">
        <v>0</v>
      </c>
      <c r="I491" s="598">
        <v>0</v>
      </c>
      <c r="J491" s="598">
        <v>0</v>
      </c>
      <c r="K491" s="598">
        <v>0</v>
      </c>
      <c r="L491" s="598">
        <v>0</v>
      </c>
      <c r="M491" s="600"/>
      <c r="N491" s="600"/>
      <c r="O491" s="138"/>
      <c r="P491" s="195"/>
      <c r="Q491" s="180"/>
      <c r="R491" s="195"/>
      <c r="S491" s="181"/>
      <c r="T491" s="111"/>
      <c r="U491" s="151"/>
      <c r="V491" s="195"/>
      <c r="W491" s="111"/>
      <c r="X491" s="195"/>
    </row>
    <row r="492" spans="1:24" x14ac:dyDescent="0.25">
      <c r="A492" s="213">
        <v>8267</v>
      </c>
      <c r="B492" s="214" t="s">
        <v>2146</v>
      </c>
      <c r="C492" s="597" t="s">
        <v>1829</v>
      </c>
      <c r="D492" s="597" t="s">
        <v>1829</v>
      </c>
      <c r="E492" s="597" t="s">
        <v>1829</v>
      </c>
      <c r="F492" s="598">
        <v>0</v>
      </c>
      <c r="G492" s="598">
        <v>0</v>
      </c>
      <c r="H492" s="598">
        <v>0</v>
      </c>
      <c r="I492" s="598">
        <v>0</v>
      </c>
      <c r="J492" s="598">
        <v>0</v>
      </c>
      <c r="K492" s="598">
        <v>0</v>
      </c>
      <c r="L492" s="598">
        <v>0</v>
      </c>
      <c r="M492" s="600"/>
      <c r="N492" s="600"/>
      <c r="O492" s="138"/>
      <c r="P492" s="195"/>
      <c r="Q492" s="180"/>
      <c r="R492" s="195"/>
      <c r="S492" s="181"/>
      <c r="T492" s="111"/>
      <c r="U492" s="151"/>
      <c r="V492" s="195"/>
      <c r="W492" s="111"/>
      <c r="X492" s="195"/>
    </row>
    <row r="493" spans="1:24" x14ac:dyDescent="0.25">
      <c r="A493" s="213">
        <v>8270</v>
      </c>
      <c r="B493" s="214" t="s">
        <v>2147</v>
      </c>
      <c r="C493" s="597" t="s">
        <v>1829</v>
      </c>
      <c r="D493" s="597" t="s">
        <v>1829</v>
      </c>
      <c r="E493" s="597" t="s">
        <v>1829</v>
      </c>
      <c r="F493" s="598">
        <v>0</v>
      </c>
      <c r="G493" s="598">
        <v>0</v>
      </c>
      <c r="H493" s="598">
        <v>0</v>
      </c>
      <c r="I493" s="598">
        <v>0</v>
      </c>
      <c r="J493" s="598">
        <v>0</v>
      </c>
      <c r="K493" s="598">
        <v>0</v>
      </c>
      <c r="L493" s="598">
        <v>0</v>
      </c>
      <c r="M493" s="600"/>
      <c r="N493" s="600"/>
      <c r="O493" s="138"/>
      <c r="P493" s="195"/>
      <c r="Q493" s="180"/>
      <c r="R493" s="195"/>
      <c r="S493" s="181"/>
      <c r="T493" s="111"/>
      <c r="U493" s="151"/>
      <c r="V493" s="195"/>
      <c r="W493" s="111"/>
      <c r="X493" s="195"/>
    </row>
    <row r="494" spans="1:24" x14ac:dyDescent="0.25">
      <c r="A494" s="213">
        <v>8283</v>
      </c>
      <c r="B494" s="214" t="s">
        <v>2148</v>
      </c>
      <c r="C494" s="597" t="s">
        <v>1829</v>
      </c>
      <c r="D494" s="597" t="s">
        <v>1829</v>
      </c>
      <c r="E494" s="597" t="s">
        <v>1829</v>
      </c>
      <c r="F494" s="598">
        <v>0</v>
      </c>
      <c r="G494" s="598">
        <v>0</v>
      </c>
      <c r="H494" s="598">
        <v>0</v>
      </c>
      <c r="I494" s="598">
        <v>0</v>
      </c>
      <c r="J494" s="598">
        <v>0</v>
      </c>
      <c r="K494" s="598">
        <v>0</v>
      </c>
      <c r="L494" s="598">
        <v>0</v>
      </c>
      <c r="M494" s="600"/>
      <c r="N494" s="600"/>
      <c r="O494" s="138"/>
      <c r="P494" s="195"/>
      <c r="Q494" s="180"/>
      <c r="R494" s="195"/>
      <c r="S494" s="181"/>
      <c r="T494" s="111"/>
      <c r="U494" s="151"/>
      <c r="V494" s="195"/>
      <c r="W494" s="111"/>
      <c r="X494" s="195"/>
    </row>
    <row r="495" spans="1:24" x14ac:dyDescent="0.25">
      <c r="A495" s="213">
        <v>8297</v>
      </c>
      <c r="B495" s="214" t="s">
        <v>2149</v>
      </c>
      <c r="C495" s="597" t="s">
        <v>1829</v>
      </c>
      <c r="D495" s="597" t="s">
        <v>1829</v>
      </c>
      <c r="E495" s="597" t="s">
        <v>1829</v>
      </c>
      <c r="F495" s="598">
        <v>0</v>
      </c>
      <c r="G495" s="598">
        <v>0</v>
      </c>
      <c r="H495" s="598">
        <v>0</v>
      </c>
      <c r="I495" s="598">
        <v>0</v>
      </c>
      <c r="J495" s="598">
        <v>0</v>
      </c>
      <c r="K495" s="598">
        <v>0</v>
      </c>
      <c r="L495" s="598">
        <v>0</v>
      </c>
      <c r="M495" s="600"/>
      <c r="N495" s="600"/>
      <c r="O495" s="138"/>
      <c r="P495" s="195"/>
      <c r="Q495" s="180"/>
      <c r="R495" s="195"/>
      <c r="S495" s="181"/>
      <c r="T495" s="111"/>
      <c r="U495" s="151"/>
      <c r="V495" s="195"/>
      <c r="W495" s="111"/>
      <c r="X495" s="195"/>
    </row>
    <row r="496" spans="1:24" x14ac:dyDescent="0.25">
      <c r="A496" s="213">
        <v>8301</v>
      </c>
      <c r="B496" s="214" t="s">
        <v>2150</v>
      </c>
      <c r="C496" s="597" t="s">
        <v>1829</v>
      </c>
      <c r="D496" s="597" t="s">
        <v>1829</v>
      </c>
      <c r="E496" s="597" t="s">
        <v>1829</v>
      </c>
      <c r="F496" s="598">
        <v>0</v>
      </c>
      <c r="G496" s="598">
        <v>0</v>
      </c>
      <c r="H496" s="598">
        <v>0</v>
      </c>
      <c r="I496" s="598">
        <v>0</v>
      </c>
      <c r="J496" s="598">
        <v>0</v>
      </c>
      <c r="K496" s="598">
        <v>0</v>
      </c>
      <c r="L496" s="598">
        <v>0</v>
      </c>
      <c r="M496" s="600"/>
      <c r="N496" s="600"/>
      <c r="O496" s="138"/>
      <c r="P496" s="195"/>
      <c r="Q496" s="180"/>
      <c r="R496" s="195"/>
      <c r="S496" s="181"/>
      <c r="T496" s="111"/>
      <c r="U496" s="151"/>
      <c r="V496" s="195"/>
      <c r="W496" s="111"/>
      <c r="X496" s="195"/>
    </row>
    <row r="497" spans="1:24" x14ac:dyDescent="0.25">
      <c r="A497" s="213">
        <v>8302</v>
      </c>
      <c r="B497" s="214" t="s">
        <v>2151</v>
      </c>
      <c r="C497" s="597" t="s">
        <v>1829</v>
      </c>
      <c r="D497" s="597" t="s">
        <v>1829</v>
      </c>
      <c r="E497" s="597" t="s">
        <v>1829</v>
      </c>
      <c r="F497" s="598">
        <v>0</v>
      </c>
      <c r="G497" s="598">
        <v>0</v>
      </c>
      <c r="H497" s="598">
        <v>0</v>
      </c>
      <c r="I497" s="598">
        <v>0</v>
      </c>
      <c r="J497" s="598">
        <v>0</v>
      </c>
      <c r="K497" s="598">
        <v>0</v>
      </c>
      <c r="L497" s="598">
        <v>0</v>
      </c>
      <c r="M497" s="600"/>
      <c r="N497" s="600"/>
      <c r="O497" s="138"/>
      <c r="P497" s="195"/>
      <c r="Q497" s="180"/>
      <c r="R497" s="195"/>
      <c r="S497" s="181"/>
      <c r="T497" s="111"/>
      <c r="U497" s="151"/>
      <c r="V497" s="195"/>
      <c r="W497" s="111"/>
      <c r="X497" s="195"/>
    </row>
    <row r="498" spans="1:24" x14ac:dyDescent="0.25">
      <c r="A498" s="213">
        <v>8303</v>
      </c>
      <c r="B498" s="214" t="s">
        <v>2152</v>
      </c>
      <c r="C498" s="597" t="s">
        <v>1829</v>
      </c>
      <c r="D498" s="597" t="s">
        <v>1829</v>
      </c>
      <c r="E498" s="597" t="s">
        <v>1829</v>
      </c>
      <c r="F498" s="598">
        <v>0</v>
      </c>
      <c r="G498" s="598">
        <v>0</v>
      </c>
      <c r="H498" s="598">
        <v>0</v>
      </c>
      <c r="I498" s="598">
        <v>0</v>
      </c>
      <c r="J498" s="598">
        <v>0</v>
      </c>
      <c r="K498" s="598">
        <v>0</v>
      </c>
      <c r="L498" s="598">
        <v>0</v>
      </c>
      <c r="M498" s="600"/>
      <c r="N498" s="600"/>
      <c r="O498" s="138"/>
      <c r="P498" s="195"/>
      <c r="Q498" s="180"/>
      <c r="R498" s="195"/>
      <c r="S498" s="181"/>
      <c r="T498" s="111"/>
      <c r="U498" s="151"/>
      <c r="V498" s="195"/>
      <c r="W498" s="111"/>
      <c r="X498" s="195"/>
    </row>
    <row r="499" spans="1:24" x14ac:dyDescent="0.25">
      <c r="A499" s="213">
        <v>8304</v>
      </c>
      <c r="B499" s="214" t="s">
        <v>2153</v>
      </c>
      <c r="C499" s="597" t="s">
        <v>1829</v>
      </c>
      <c r="D499" s="597" t="s">
        <v>1829</v>
      </c>
      <c r="E499" s="597" t="s">
        <v>1829</v>
      </c>
      <c r="F499" s="598">
        <v>0</v>
      </c>
      <c r="G499" s="598">
        <v>0</v>
      </c>
      <c r="H499" s="598">
        <v>0</v>
      </c>
      <c r="I499" s="598">
        <v>0</v>
      </c>
      <c r="J499" s="598">
        <v>0</v>
      </c>
      <c r="K499" s="598">
        <v>0</v>
      </c>
      <c r="L499" s="598">
        <v>0</v>
      </c>
      <c r="M499" s="600"/>
      <c r="N499" s="600"/>
      <c r="O499" s="138"/>
      <c r="P499" s="195"/>
      <c r="Q499" s="180"/>
      <c r="R499" s="195"/>
      <c r="S499" s="181"/>
      <c r="T499" s="111"/>
      <c r="U499" s="151"/>
      <c r="V499" s="195"/>
      <c r="W499" s="111"/>
      <c r="X499" s="195"/>
    </row>
    <row r="500" spans="1:24" x14ac:dyDescent="0.25">
      <c r="A500" s="213">
        <v>8305</v>
      </c>
      <c r="B500" s="214" t="s">
        <v>2154</v>
      </c>
      <c r="C500" s="597" t="s">
        <v>1829</v>
      </c>
      <c r="D500" s="597" t="s">
        <v>1829</v>
      </c>
      <c r="E500" s="597" t="s">
        <v>1829</v>
      </c>
      <c r="F500" s="598">
        <v>0</v>
      </c>
      <c r="G500" s="598">
        <v>0</v>
      </c>
      <c r="H500" s="598">
        <v>0</v>
      </c>
      <c r="I500" s="598">
        <v>0</v>
      </c>
      <c r="J500" s="598">
        <v>0</v>
      </c>
      <c r="K500" s="598">
        <v>0</v>
      </c>
      <c r="L500" s="598">
        <v>0</v>
      </c>
      <c r="M500" s="600"/>
      <c r="N500" s="600"/>
      <c r="O500" s="138"/>
      <c r="P500" s="195"/>
      <c r="Q500" s="180"/>
      <c r="R500" s="195"/>
      <c r="S500" s="181"/>
      <c r="T500" s="111"/>
      <c r="U500" s="151"/>
      <c r="V500" s="195"/>
      <c r="W500" s="111"/>
      <c r="X500" s="195"/>
    </row>
    <row r="501" spans="1:24" x14ac:dyDescent="0.25">
      <c r="A501" s="213">
        <v>8306</v>
      </c>
      <c r="B501" s="214" t="s">
        <v>2155</v>
      </c>
      <c r="C501" s="597" t="s">
        <v>1829</v>
      </c>
      <c r="D501" s="597" t="s">
        <v>1829</v>
      </c>
      <c r="E501" s="597" t="s">
        <v>1829</v>
      </c>
      <c r="F501" s="598">
        <v>0</v>
      </c>
      <c r="G501" s="598">
        <v>0</v>
      </c>
      <c r="H501" s="598">
        <v>0</v>
      </c>
      <c r="I501" s="598">
        <v>0</v>
      </c>
      <c r="J501" s="598">
        <v>0</v>
      </c>
      <c r="K501" s="598">
        <v>0</v>
      </c>
      <c r="L501" s="598">
        <v>0</v>
      </c>
      <c r="M501" s="600"/>
      <c r="N501" s="600"/>
      <c r="O501" s="138"/>
      <c r="P501" s="195"/>
      <c r="Q501" s="180"/>
      <c r="R501" s="195"/>
      <c r="S501" s="181"/>
      <c r="T501" s="111"/>
      <c r="U501" s="151"/>
      <c r="V501" s="195"/>
      <c r="W501" s="111"/>
      <c r="X501" s="195"/>
    </row>
    <row r="502" spans="1:24" x14ac:dyDescent="0.25">
      <c r="A502" s="213">
        <v>8308</v>
      </c>
      <c r="B502" s="214" t="s">
        <v>2156</v>
      </c>
      <c r="C502" s="597" t="s">
        <v>1829</v>
      </c>
      <c r="D502" s="597" t="s">
        <v>1829</v>
      </c>
      <c r="E502" s="597" t="s">
        <v>1829</v>
      </c>
      <c r="F502" s="598">
        <v>0</v>
      </c>
      <c r="G502" s="598">
        <v>0</v>
      </c>
      <c r="H502" s="598">
        <v>0</v>
      </c>
      <c r="I502" s="598">
        <v>0</v>
      </c>
      <c r="J502" s="598">
        <v>0</v>
      </c>
      <c r="K502" s="598">
        <v>0</v>
      </c>
      <c r="L502" s="598">
        <v>0</v>
      </c>
      <c r="M502" s="600"/>
      <c r="N502" s="600"/>
      <c r="O502" s="138"/>
      <c r="P502" s="195"/>
      <c r="Q502" s="180"/>
      <c r="R502" s="195"/>
      <c r="S502" s="181"/>
      <c r="T502" s="111"/>
      <c r="U502" s="151"/>
      <c r="V502" s="195"/>
      <c r="W502" s="111"/>
      <c r="X502" s="195"/>
    </row>
    <row r="503" spans="1:24" x14ac:dyDescent="0.25">
      <c r="A503" s="213">
        <v>8310</v>
      </c>
      <c r="B503" s="214" t="s">
        <v>2157</v>
      </c>
      <c r="C503" s="597" t="s">
        <v>1829</v>
      </c>
      <c r="D503" s="597" t="s">
        <v>1829</v>
      </c>
      <c r="E503" s="597" t="s">
        <v>1829</v>
      </c>
      <c r="F503" s="598">
        <v>0</v>
      </c>
      <c r="G503" s="598">
        <v>0</v>
      </c>
      <c r="H503" s="598">
        <v>0</v>
      </c>
      <c r="I503" s="598">
        <v>0</v>
      </c>
      <c r="J503" s="598">
        <v>0</v>
      </c>
      <c r="K503" s="598">
        <v>0</v>
      </c>
      <c r="L503" s="598">
        <v>0</v>
      </c>
      <c r="M503" s="600"/>
      <c r="N503" s="600"/>
      <c r="O503" s="138"/>
      <c r="P503" s="195"/>
      <c r="Q503" s="180"/>
      <c r="R503" s="195"/>
      <c r="S503" s="181"/>
      <c r="T503" s="111"/>
      <c r="U503" s="151"/>
      <c r="V503" s="195"/>
      <c r="W503" s="111"/>
      <c r="X503" s="195"/>
    </row>
    <row r="504" spans="1:24" x14ac:dyDescent="0.25">
      <c r="A504" s="213">
        <v>8311</v>
      </c>
      <c r="B504" s="214" t="s">
        <v>2158</v>
      </c>
      <c r="C504" s="597" t="s">
        <v>1829</v>
      </c>
      <c r="D504" s="597" t="s">
        <v>1829</v>
      </c>
      <c r="E504" s="597" t="s">
        <v>1829</v>
      </c>
      <c r="F504" s="598">
        <v>0</v>
      </c>
      <c r="G504" s="598">
        <v>0</v>
      </c>
      <c r="H504" s="598">
        <v>0</v>
      </c>
      <c r="I504" s="598">
        <v>0</v>
      </c>
      <c r="J504" s="598">
        <v>0</v>
      </c>
      <c r="K504" s="598">
        <v>0</v>
      </c>
      <c r="L504" s="598">
        <v>0</v>
      </c>
      <c r="M504" s="600"/>
      <c r="N504" s="600"/>
      <c r="O504" s="138"/>
      <c r="P504" s="195"/>
      <c r="Q504" s="180"/>
      <c r="R504" s="195"/>
      <c r="S504" s="181"/>
      <c r="T504" s="111"/>
      <c r="U504" s="151"/>
      <c r="V504" s="195"/>
      <c r="W504" s="111"/>
      <c r="X504" s="195"/>
    </row>
    <row r="505" spans="1:24" x14ac:dyDescent="0.25">
      <c r="A505" s="213">
        <v>8312</v>
      </c>
      <c r="B505" s="214" t="s">
        <v>2159</v>
      </c>
      <c r="C505" s="597" t="s">
        <v>1829</v>
      </c>
      <c r="D505" s="597" t="s">
        <v>1829</v>
      </c>
      <c r="E505" s="597" t="s">
        <v>1829</v>
      </c>
      <c r="F505" s="598">
        <v>0</v>
      </c>
      <c r="G505" s="598">
        <v>0</v>
      </c>
      <c r="H505" s="598">
        <v>0</v>
      </c>
      <c r="I505" s="598">
        <v>0</v>
      </c>
      <c r="J505" s="598">
        <v>0</v>
      </c>
      <c r="K505" s="598">
        <v>0</v>
      </c>
      <c r="L505" s="598">
        <v>0</v>
      </c>
      <c r="M505" s="600"/>
      <c r="N505" s="600"/>
      <c r="O505" s="138"/>
      <c r="P505" s="195"/>
      <c r="Q505" s="180"/>
      <c r="R505" s="195"/>
      <c r="S505" s="181"/>
      <c r="T505" s="111"/>
      <c r="U505" s="151"/>
      <c r="V505" s="195"/>
      <c r="W505" s="111"/>
      <c r="X505" s="195"/>
    </row>
    <row r="506" spans="1:24" x14ac:dyDescent="0.25">
      <c r="A506" s="213">
        <v>8314</v>
      </c>
      <c r="B506" s="214" t="s">
        <v>2160</v>
      </c>
      <c r="C506" s="597" t="s">
        <v>1829</v>
      </c>
      <c r="D506" s="597" t="s">
        <v>1829</v>
      </c>
      <c r="E506" s="597" t="s">
        <v>1829</v>
      </c>
      <c r="F506" s="598">
        <v>0</v>
      </c>
      <c r="G506" s="598">
        <v>0</v>
      </c>
      <c r="H506" s="598">
        <v>0</v>
      </c>
      <c r="I506" s="598">
        <v>0</v>
      </c>
      <c r="J506" s="598">
        <v>0</v>
      </c>
      <c r="K506" s="598">
        <v>0</v>
      </c>
      <c r="L506" s="598">
        <v>0</v>
      </c>
      <c r="M506" s="600"/>
      <c r="N506" s="600"/>
      <c r="O506" s="138"/>
      <c r="P506" s="195"/>
      <c r="Q506" s="180"/>
      <c r="R506" s="195"/>
      <c r="S506" s="181"/>
      <c r="T506" s="111"/>
      <c r="U506" s="151"/>
      <c r="V506" s="195"/>
      <c r="W506" s="111"/>
      <c r="X506" s="195"/>
    </row>
    <row r="507" spans="1:24" x14ac:dyDescent="0.25">
      <c r="A507" s="213">
        <v>8320</v>
      </c>
      <c r="B507" s="214" t="s">
        <v>2161</v>
      </c>
      <c r="C507" s="597" t="s">
        <v>1829</v>
      </c>
      <c r="D507" s="597" t="s">
        <v>1829</v>
      </c>
      <c r="E507" s="597" t="s">
        <v>1829</v>
      </c>
      <c r="F507" s="598">
        <v>0</v>
      </c>
      <c r="G507" s="598">
        <v>0</v>
      </c>
      <c r="H507" s="598">
        <v>0</v>
      </c>
      <c r="I507" s="598">
        <v>0</v>
      </c>
      <c r="J507" s="598">
        <v>0</v>
      </c>
      <c r="K507" s="598">
        <v>0</v>
      </c>
      <c r="L507" s="598">
        <v>0</v>
      </c>
      <c r="M507" s="600"/>
      <c r="N507" s="600"/>
      <c r="O507" s="138"/>
      <c r="P507" s="195"/>
      <c r="Q507" s="180"/>
      <c r="R507" s="195"/>
      <c r="S507" s="181"/>
      <c r="T507" s="111"/>
      <c r="U507" s="151"/>
      <c r="V507" s="195"/>
      <c r="W507" s="111"/>
      <c r="X507" s="195"/>
    </row>
    <row r="508" spans="1:24" x14ac:dyDescent="0.25">
      <c r="A508" s="213">
        <v>8321</v>
      </c>
      <c r="B508" s="214" t="s">
        <v>2162</v>
      </c>
      <c r="C508" s="597" t="s">
        <v>1829</v>
      </c>
      <c r="D508" s="597" t="s">
        <v>1829</v>
      </c>
      <c r="E508" s="597" t="s">
        <v>1829</v>
      </c>
      <c r="F508" s="598">
        <v>0</v>
      </c>
      <c r="G508" s="598">
        <v>0</v>
      </c>
      <c r="H508" s="598">
        <v>0</v>
      </c>
      <c r="I508" s="598">
        <v>0</v>
      </c>
      <c r="J508" s="598">
        <v>0</v>
      </c>
      <c r="K508" s="598">
        <v>0</v>
      </c>
      <c r="L508" s="598">
        <v>0</v>
      </c>
      <c r="M508" s="600"/>
      <c r="N508" s="600"/>
      <c r="O508" s="138"/>
      <c r="P508" s="195"/>
      <c r="Q508" s="180"/>
      <c r="R508" s="195"/>
      <c r="S508" s="181"/>
      <c r="T508" s="111"/>
      <c r="U508" s="151"/>
      <c r="V508" s="195"/>
      <c r="W508" s="111"/>
      <c r="X508" s="195"/>
    </row>
    <row r="509" spans="1:24" x14ac:dyDescent="0.25">
      <c r="A509" s="213">
        <v>8322</v>
      </c>
      <c r="B509" s="214" t="s">
        <v>2163</v>
      </c>
      <c r="C509" s="597" t="s">
        <v>1829</v>
      </c>
      <c r="D509" s="597" t="s">
        <v>1829</v>
      </c>
      <c r="E509" s="597" t="s">
        <v>1829</v>
      </c>
      <c r="F509" s="598">
        <v>0</v>
      </c>
      <c r="G509" s="598">
        <v>0</v>
      </c>
      <c r="H509" s="598">
        <v>0</v>
      </c>
      <c r="I509" s="598">
        <v>0</v>
      </c>
      <c r="J509" s="598">
        <v>0</v>
      </c>
      <c r="K509" s="598">
        <v>0</v>
      </c>
      <c r="L509" s="598">
        <v>0</v>
      </c>
      <c r="M509" s="600"/>
      <c r="N509" s="600"/>
      <c r="O509" s="138"/>
      <c r="P509" s="195"/>
      <c r="Q509" s="180"/>
      <c r="R509" s="195"/>
      <c r="S509" s="181"/>
      <c r="T509" s="111"/>
      <c r="U509" s="151"/>
      <c r="V509" s="195"/>
      <c r="W509" s="111"/>
      <c r="X509" s="195"/>
    </row>
    <row r="510" spans="1:24" x14ac:dyDescent="0.25">
      <c r="A510" s="213">
        <v>8323</v>
      </c>
      <c r="B510" s="214" t="s">
        <v>2164</v>
      </c>
      <c r="C510" s="597" t="s">
        <v>1829</v>
      </c>
      <c r="D510" s="597" t="s">
        <v>1829</v>
      </c>
      <c r="E510" s="597" t="s">
        <v>1829</v>
      </c>
      <c r="F510" s="598">
        <v>0</v>
      </c>
      <c r="G510" s="598">
        <v>0</v>
      </c>
      <c r="H510" s="598">
        <v>0</v>
      </c>
      <c r="I510" s="598">
        <v>0</v>
      </c>
      <c r="J510" s="598">
        <v>0</v>
      </c>
      <c r="K510" s="598">
        <v>0</v>
      </c>
      <c r="L510" s="598">
        <v>0</v>
      </c>
      <c r="M510" s="600"/>
      <c r="N510" s="600"/>
      <c r="O510" s="138"/>
      <c r="P510" s="195"/>
      <c r="Q510" s="180"/>
      <c r="R510" s="195"/>
      <c r="S510" s="181"/>
      <c r="T510" s="111"/>
      <c r="U510" s="151"/>
      <c r="V510" s="195"/>
      <c r="W510" s="111"/>
      <c r="X510" s="195"/>
    </row>
    <row r="511" spans="1:24" x14ac:dyDescent="0.25">
      <c r="A511" s="213">
        <v>8324</v>
      </c>
      <c r="B511" s="214" t="s">
        <v>2165</v>
      </c>
      <c r="C511" s="597" t="s">
        <v>1829</v>
      </c>
      <c r="D511" s="597" t="s">
        <v>1829</v>
      </c>
      <c r="E511" s="597" t="s">
        <v>1829</v>
      </c>
      <c r="F511" s="598">
        <v>0</v>
      </c>
      <c r="G511" s="598">
        <v>0</v>
      </c>
      <c r="H511" s="598">
        <v>0</v>
      </c>
      <c r="I511" s="598">
        <v>0</v>
      </c>
      <c r="J511" s="598">
        <v>0</v>
      </c>
      <c r="K511" s="598">
        <v>0</v>
      </c>
      <c r="L511" s="598">
        <v>0</v>
      </c>
      <c r="M511" s="600"/>
      <c r="N511" s="600"/>
      <c r="O511" s="138"/>
      <c r="P511" s="195"/>
      <c r="Q511" s="180"/>
      <c r="R511" s="195"/>
      <c r="S511" s="181"/>
      <c r="T511" s="111"/>
      <c r="U511" s="151"/>
      <c r="V511" s="195"/>
      <c r="W511" s="111"/>
      <c r="X511" s="195"/>
    </row>
    <row r="512" spans="1:24" x14ac:dyDescent="0.25">
      <c r="A512" s="213">
        <v>8325</v>
      </c>
      <c r="B512" s="214" t="s">
        <v>2166</v>
      </c>
      <c r="C512" s="597" t="s">
        <v>1829</v>
      </c>
      <c r="D512" s="597" t="s">
        <v>1829</v>
      </c>
      <c r="E512" s="597" t="s">
        <v>1829</v>
      </c>
      <c r="F512" s="598">
        <v>0</v>
      </c>
      <c r="G512" s="598">
        <v>0</v>
      </c>
      <c r="H512" s="598">
        <v>0</v>
      </c>
      <c r="I512" s="598">
        <v>0</v>
      </c>
      <c r="J512" s="598">
        <v>0</v>
      </c>
      <c r="K512" s="598">
        <v>0</v>
      </c>
      <c r="L512" s="598">
        <v>0</v>
      </c>
      <c r="M512" s="600"/>
      <c r="N512" s="600"/>
      <c r="O512" s="138"/>
      <c r="P512" s="195"/>
      <c r="Q512" s="180"/>
      <c r="R512" s="195"/>
      <c r="S512" s="181"/>
      <c r="T512" s="111"/>
      <c r="U512" s="151"/>
      <c r="V512" s="195"/>
      <c r="W512" s="111"/>
      <c r="X512" s="195"/>
    </row>
    <row r="513" spans="1:24" x14ac:dyDescent="0.25">
      <c r="A513" s="213">
        <v>8326</v>
      </c>
      <c r="B513" s="214" t="s">
        <v>2167</v>
      </c>
      <c r="C513" s="597" t="s">
        <v>1829</v>
      </c>
      <c r="D513" s="597" t="s">
        <v>1829</v>
      </c>
      <c r="E513" s="597" t="s">
        <v>1829</v>
      </c>
      <c r="F513" s="598">
        <v>0</v>
      </c>
      <c r="G513" s="598">
        <v>0</v>
      </c>
      <c r="H513" s="598">
        <v>0</v>
      </c>
      <c r="I513" s="598">
        <v>0</v>
      </c>
      <c r="J513" s="598">
        <v>0</v>
      </c>
      <c r="K513" s="598">
        <v>0</v>
      </c>
      <c r="L513" s="598">
        <v>0</v>
      </c>
      <c r="M513" s="600"/>
      <c r="N513" s="600"/>
      <c r="O513" s="138"/>
      <c r="P513" s="195"/>
      <c r="Q513" s="180"/>
      <c r="R513" s="195"/>
      <c r="S513" s="181"/>
      <c r="T513" s="111"/>
      <c r="U513" s="151"/>
      <c r="V513" s="195"/>
      <c r="W513" s="111"/>
      <c r="X513" s="195"/>
    </row>
    <row r="514" spans="1:24" x14ac:dyDescent="0.25">
      <c r="A514" s="213">
        <v>8327</v>
      </c>
      <c r="B514" s="214" t="s">
        <v>2168</v>
      </c>
      <c r="C514" s="597" t="s">
        <v>1829</v>
      </c>
      <c r="D514" s="597" t="s">
        <v>1829</v>
      </c>
      <c r="E514" s="597" t="s">
        <v>1829</v>
      </c>
      <c r="F514" s="598">
        <v>0</v>
      </c>
      <c r="G514" s="598">
        <v>0</v>
      </c>
      <c r="H514" s="598">
        <v>0</v>
      </c>
      <c r="I514" s="598">
        <v>0</v>
      </c>
      <c r="J514" s="598">
        <v>0</v>
      </c>
      <c r="K514" s="598">
        <v>0</v>
      </c>
      <c r="L514" s="598">
        <v>0</v>
      </c>
      <c r="M514" s="600"/>
      <c r="N514" s="600"/>
      <c r="O514" s="138"/>
      <c r="P514" s="195"/>
      <c r="Q514" s="180"/>
      <c r="R514" s="195"/>
      <c r="S514" s="181"/>
      <c r="T514" s="111"/>
      <c r="U514" s="151"/>
      <c r="V514" s="195"/>
      <c r="W514" s="111"/>
      <c r="X514" s="195"/>
    </row>
    <row r="515" spans="1:24" x14ac:dyDescent="0.25">
      <c r="A515" s="213">
        <v>8340</v>
      </c>
      <c r="B515" s="214" t="s">
        <v>2169</v>
      </c>
      <c r="C515" s="597" t="s">
        <v>1829</v>
      </c>
      <c r="D515" s="597" t="s">
        <v>1829</v>
      </c>
      <c r="E515" s="597" t="s">
        <v>1829</v>
      </c>
      <c r="F515" s="598">
        <v>0</v>
      </c>
      <c r="G515" s="598">
        <v>0</v>
      </c>
      <c r="H515" s="598">
        <v>0</v>
      </c>
      <c r="I515" s="598">
        <v>0</v>
      </c>
      <c r="J515" s="598">
        <v>0</v>
      </c>
      <c r="K515" s="598">
        <v>0</v>
      </c>
      <c r="L515" s="598">
        <v>0</v>
      </c>
      <c r="M515" s="600"/>
      <c r="N515" s="600"/>
      <c r="O515" s="138"/>
      <c r="P515" s="195"/>
      <c r="Q515" s="180"/>
      <c r="R515" s="195"/>
      <c r="S515" s="181"/>
      <c r="T515" s="111"/>
      <c r="U515" s="151"/>
      <c r="V515" s="195"/>
      <c r="W515" s="111"/>
      <c r="X515" s="195"/>
    </row>
    <row r="516" spans="1:24" x14ac:dyDescent="0.25">
      <c r="A516" s="213">
        <v>8342</v>
      </c>
      <c r="B516" s="214" t="s">
        <v>2170</v>
      </c>
      <c r="C516" s="597" t="s">
        <v>1829</v>
      </c>
      <c r="D516" s="597" t="s">
        <v>1829</v>
      </c>
      <c r="E516" s="597" t="s">
        <v>1829</v>
      </c>
      <c r="F516" s="598">
        <v>0</v>
      </c>
      <c r="G516" s="598">
        <v>0</v>
      </c>
      <c r="H516" s="598">
        <v>0</v>
      </c>
      <c r="I516" s="598">
        <v>0</v>
      </c>
      <c r="J516" s="598">
        <v>0</v>
      </c>
      <c r="K516" s="598">
        <v>0</v>
      </c>
      <c r="L516" s="598">
        <v>0</v>
      </c>
      <c r="M516" s="600"/>
      <c r="N516" s="600"/>
      <c r="O516" s="138"/>
      <c r="P516" s="195"/>
      <c r="Q516" s="180"/>
      <c r="R516" s="195"/>
      <c r="S516" s="181"/>
      <c r="T516" s="111"/>
      <c r="U516" s="151"/>
      <c r="V516" s="195"/>
      <c r="W516" s="111"/>
      <c r="X516" s="195"/>
    </row>
    <row r="517" spans="1:24" x14ac:dyDescent="0.25">
      <c r="A517" s="213">
        <v>8343</v>
      </c>
      <c r="B517" s="214" t="s">
        <v>2171</v>
      </c>
      <c r="C517" s="597" t="s">
        <v>1829</v>
      </c>
      <c r="D517" s="597" t="s">
        <v>1829</v>
      </c>
      <c r="E517" s="597" t="s">
        <v>1829</v>
      </c>
      <c r="F517" s="598">
        <v>0</v>
      </c>
      <c r="G517" s="598">
        <v>0</v>
      </c>
      <c r="H517" s="598">
        <v>0</v>
      </c>
      <c r="I517" s="598">
        <v>0</v>
      </c>
      <c r="J517" s="598">
        <v>0</v>
      </c>
      <c r="K517" s="598">
        <v>0</v>
      </c>
      <c r="L517" s="598">
        <v>0</v>
      </c>
      <c r="M517" s="600"/>
      <c r="N517" s="600"/>
      <c r="O517" s="138"/>
      <c r="P517" s="195"/>
      <c r="Q517" s="180"/>
      <c r="R517" s="195"/>
      <c r="S517" s="181"/>
      <c r="T517" s="111"/>
      <c r="U517" s="151"/>
      <c r="V517" s="195"/>
      <c r="W517" s="111"/>
      <c r="X517" s="195"/>
    </row>
    <row r="518" spans="1:24" x14ac:dyDescent="0.25">
      <c r="A518" s="213">
        <v>8344</v>
      </c>
      <c r="B518" s="214" t="s">
        <v>2172</v>
      </c>
      <c r="C518" s="597" t="s">
        <v>1829</v>
      </c>
      <c r="D518" s="597" t="s">
        <v>1829</v>
      </c>
      <c r="E518" s="597" t="s">
        <v>1829</v>
      </c>
      <c r="F518" s="598">
        <v>0</v>
      </c>
      <c r="G518" s="598">
        <v>0</v>
      </c>
      <c r="H518" s="598">
        <v>0</v>
      </c>
      <c r="I518" s="598">
        <v>0</v>
      </c>
      <c r="J518" s="598">
        <v>0</v>
      </c>
      <c r="K518" s="598">
        <v>0</v>
      </c>
      <c r="L518" s="598">
        <v>0</v>
      </c>
      <c r="M518" s="600"/>
      <c r="N518" s="600"/>
      <c r="O518" s="138"/>
      <c r="P518" s="195"/>
      <c r="Q518" s="180"/>
      <c r="R518" s="195"/>
      <c r="S518" s="181"/>
      <c r="T518" s="111"/>
      <c r="U518" s="151"/>
      <c r="V518" s="195"/>
      <c r="W518" s="111"/>
      <c r="X518" s="195"/>
    </row>
    <row r="519" spans="1:24" x14ac:dyDescent="0.25">
      <c r="A519" s="213">
        <v>8345</v>
      </c>
      <c r="B519" s="214" t="s">
        <v>2173</v>
      </c>
      <c r="C519" s="597" t="s">
        <v>1829</v>
      </c>
      <c r="D519" s="597" t="s">
        <v>1829</v>
      </c>
      <c r="E519" s="597" t="s">
        <v>1829</v>
      </c>
      <c r="F519" s="598">
        <v>0</v>
      </c>
      <c r="G519" s="598">
        <v>0</v>
      </c>
      <c r="H519" s="598">
        <v>0</v>
      </c>
      <c r="I519" s="598">
        <v>0</v>
      </c>
      <c r="J519" s="598">
        <v>0</v>
      </c>
      <c r="K519" s="598">
        <v>0</v>
      </c>
      <c r="L519" s="598">
        <v>0</v>
      </c>
      <c r="M519" s="600"/>
      <c r="N519" s="600"/>
      <c r="O519" s="138"/>
      <c r="P519" s="195"/>
      <c r="Q519" s="180"/>
      <c r="R519" s="195"/>
      <c r="S519" s="181"/>
      <c r="T519" s="111"/>
      <c r="U519" s="151"/>
      <c r="V519" s="195"/>
      <c r="W519" s="111"/>
      <c r="X519" s="195"/>
    </row>
    <row r="520" spans="1:24" x14ac:dyDescent="0.25">
      <c r="A520" s="213">
        <v>8347</v>
      </c>
      <c r="B520" s="214" t="s">
        <v>2174</v>
      </c>
      <c r="C520" s="597" t="s">
        <v>1829</v>
      </c>
      <c r="D520" s="597" t="s">
        <v>1829</v>
      </c>
      <c r="E520" s="597" t="s">
        <v>1829</v>
      </c>
      <c r="F520" s="598">
        <v>0</v>
      </c>
      <c r="G520" s="598">
        <v>0</v>
      </c>
      <c r="H520" s="598">
        <v>0</v>
      </c>
      <c r="I520" s="598">
        <v>0</v>
      </c>
      <c r="J520" s="598">
        <v>0</v>
      </c>
      <c r="K520" s="598">
        <v>0</v>
      </c>
      <c r="L520" s="598">
        <v>0</v>
      </c>
      <c r="M520" s="600"/>
      <c r="N520" s="600"/>
      <c r="O520" s="138"/>
      <c r="P520" s="195"/>
      <c r="Q520" s="180"/>
      <c r="R520" s="195"/>
      <c r="S520" s="181"/>
      <c r="T520" s="111"/>
      <c r="U520" s="151"/>
      <c r="V520" s="195"/>
      <c r="W520" s="111"/>
      <c r="X520" s="195"/>
    </row>
    <row r="521" spans="1:24" x14ac:dyDescent="0.25">
      <c r="A521" s="213">
        <v>8348</v>
      </c>
      <c r="B521" s="214" t="s">
        <v>846</v>
      </c>
      <c r="C521" s="597" t="s">
        <v>1829</v>
      </c>
      <c r="D521" s="597" t="s">
        <v>1829</v>
      </c>
      <c r="E521" s="597" t="s">
        <v>1829</v>
      </c>
      <c r="F521" s="598">
        <v>0</v>
      </c>
      <c r="G521" s="598">
        <v>0</v>
      </c>
      <c r="H521" s="598">
        <v>0</v>
      </c>
      <c r="I521" s="598">
        <v>815.97</v>
      </c>
      <c r="J521" s="598">
        <v>0</v>
      </c>
      <c r="K521" s="598">
        <v>0</v>
      </c>
      <c r="L521" s="598">
        <v>816</v>
      </c>
      <c r="M521" s="600"/>
      <c r="N521" s="600"/>
      <c r="O521" s="138"/>
      <c r="P521" s="195"/>
      <c r="Q521" s="180"/>
      <c r="R521" s="195"/>
      <c r="S521" s="181"/>
      <c r="T521" s="111"/>
      <c r="U521" s="151"/>
      <c r="V521" s="195"/>
      <c r="W521" s="111"/>
      <c r="X521" s="195"/>
    </row>
    <row r="522" spans="1:24" x14ac:dyDescent="0.25">
      <c r="A522" s="213">
        <v>8351</v>
      </c>
      <c r="B522" s="214" t="s">
        <v>2175</v>
      </c>
      <c r="C522" s="597" t="s">
        <v>1829</v>
      </c>
      <c r="D522" s="597" t="s">
        <v>1829</v>
      </c>
      <c r="E522" s="597" t="s">
        <v>1829</v>
      </c>
      <c r="F522" s="598">
        <v>0</v>
      </c>
      <c r="G522" s="598">
        <v>0</v>
      </c>
      <c r="H522" s="598">
        <v>0</v>
      </c>
      <c r="I522" s="598">
        <v>0</v>
      </c>
      <c r="J522" s="598">
        <v>0</v>
      </c>
      <c r="K522" s="598">
        <v>0</v>
      </c>
      <c r="L522" s="598">
        <v>0</v>
      </c>
      <c r="M522" s="600"/>
      <c r="N522" s="600"/>
      <c r="O522" s="138"/>
      <c r="P522" s="195"/>
      <c r="Q522" s="180"/>
      <c r="R522" s="195"/>
      <c r="S522" s="181"/>
      <c r="T522" s="111"/>
      <c r="U522" s="151"/>
      <c r="V522" s="195"/>
      <c r="W522" s="111"/>
      <c r="X522" s="195"/>
    </row>
    <row r="523" spans="1:24" x14ac:dyDescent="0.25">
      <c r="A523" s="213">
        <v>8353</v>
      </c>
      <c r="B523" s="214" t="s">
        <v>2176</v>
      </c>
      <c r="C523" s="597" t="s">
        <v>1829</v>
      </c>
      <c r="D523" s="597" t="s">
        <v>1829</v>
      </c>
      <c r="E523" s="597" t="s">
        <v>1829</v>
      </c>
      <c r="F523" s="598">
        <v>0</v>
      </c>
      <c r="G523" s="598">
        <v>0</v>
      </c>
      <c r="H523" s="598">
        <v>0</v>
      </c>
      <c r="I523" s="598">
        <v>0</v>
      </c>
      <c r="J523" s="598">
        <v>0</v>
      </c>
      <c r="K523" s="598">
        <v>0</v>
      </c>
      <c r="L523" s="598">
        <v>0</v>
      </c>
      <c r="M523" s="600"/>
      <c r="N523" s="600"/>
      <c r="O523" s="138"/>
      <c r="P523" s="195"/>
      <c r="Q523" s="180"/>
      <c r="R523" s="195"/>
      <c r="S523" s="181"/>
      <c r="T523" s="111"/>
      <c r="U523" s="151"/>
      <c r="V523" s="195"/>
      <c r="W523" s="111"/>
      <c r="X523" s="195"/>
    </row>
    <row r="524" spans="1:24" x14ac:dyDescent="0.25">
      <c r="A524" s="213">
        <v>8354</v>
      </c>
      <c r="B524" s="214" t="s">
        <v>2177</v>
      </c>
      <c r="C524" s="597" t="s">
        <v>1829</v>
      </c>
      <c r="D524" s="597" t="s">
        <v>1829</v>
      </c>
      <c r="E524" s="597" t="s">
        <v>1829</v>
      </c>
      <c r="F524" s="598">
        <v>0</v>
      </c>
      <c r="G524" s="598">
        <v>0</v>
      </c>
      <c r="H524" s="598">
        <v>0</v>
      </c>
      <c r="I524" s="598">
        <v>0</v>
      </c>
      <c r="J524" s="598">
        <v>0</v>
      </c>
      <c r="K524" s="598">
        <v>0</v>
      </c>
      <c r="L524" s="598">
        <v>0</v>
      </c>
      <c r="M524" s="600"/>
      <c r="N524" s="600"/>
      <c r="O524" s="138"/>
      <c r="P524" s="195"/>
      <c r="Q524" s="180"/>
      <c r="R524" s="195"/>
      <c r="S524" s="181"/>
      <c r="T524" s="111"/>
      <c r="U524" s="151"/>
      <c r="V524" s="195"/>
      <c r="W524" s="111"/>
      <c r="X524" s="195"/>
    </row>
    <row r="525" spans="1:24" x14ac:dyDescent="0.25">
      <c r="A525" s="213">
        <v>8357</v>
      </c>
      <c r="B525" s="214" t="s">
        <v>2178</v>
      </c>
      <c r="C525" s="597" t="s">
        <v>1829</v>
      </c>
      <c r="D525" s="597" t="s">
        <v>1829</v>
      </c>
      <c r="E525" s="597" t="s">
        <v>1829</v>
      </c>
      <c r="F525" s="598">
        <v>0</v>
      </c>
      <c r="G525" s="598">
        <v>0</v>
      </c>
      <c r="H525" s="598">
        <v>0</v>
      </c>
      <c r="I525" s="598">
        <v>0</v>
      </c>
      <c r="J525" s="598">
        <v>0</v>
      </c>
      <c r="K525" s="598">
        <v>0</v>
      </c>
      <c r="L525" s="598">
        <v>0</v>
      </c>
      <c r="M525" s="600"/>
      <c r="N525" s="600"/>
      <c r="O525" s="138"/>
      <c r="P525" s="195"/>
      <c r="Q525" s="180"/>
      <c r="R525" s="195"/>
      <c r="S525" s="181"/>
      <c r="T525" s="111"/>
      <c r="U525" s="151"/>
      <c r="V525" s="195"/>
      <c r="W525" s="111"/>
      <c r="X525" s="195"/>
    </row>
    <row r="526" spans="1:24" x14ac:dyDescent="0.25">
      <c r="A526" s="213">
        <v>8359</v>
      </c>
      <c r="B526" s="214" t="s">
        <v>2179</v>
      </c>
      <c r="C526" s="597" t="s">
        <v>1829</v>
      </c>
      <c r="D526" s="597" t="s">
        <v>1829</v>
      </c>
      <c r="E526" s="597" t="s">
        <v>1829</v>
      </c>
      <c r="F526" s="598">
        <v>0</v>
      </c>
      <c r="G526" s="598">
        <v>0</v>
      </c>
      <c r="H526" s="598">
        <v>0</v>
      </c>
      <c r="I526" s="598">
        <v>0</v>
      </c>
      <c r="J526" s="598">
        <v>0</v>
      </c>
      <c r="K526" s="598">
        <v>0</v>
      </c>
      <c r="L526" s="598">
        <v>0</v>
      </c>
      <c r="M526" s="600"/>
      <c r="N526" s="600"/>
      <c r="O526" s="138"/>
      <c r="P526" s="195"/>
      <c r="Q526" s="180"/>
      <c r="R526" s="195"/>
      <c r="S526" s="181"/>
      <c r="T526" s="111"/>
      <c r="U526" s="151"/>
      <c r="V526" s="195"/>
      <c r="W526" s="111"/>
      <c r="X526" s="195"/>
    </row>
    <row r="527" spans="1:24" x14ac:dyDescent="0.25">
      <c r="A527" s="213">
        <v>8361</v>
      </c>
      <c r="B527" s="214" t="s">
        <v>2180</v>
      </c>
      <c r="C527" s="597" t="s">
        <v>1829</v>
      </c>
      <c r="D527" s="597" t="s">
        <v>1829</v>
      </c>
      <c r="E527" s="597" t="s">
        <v>1829</v>
      </c>
      <c r="F527" s="598">
        <v>0</v>
      </c>
      <c r="G527" s="598">
        <v>0</v>
      </c>
      <c r="H527" s="598">
        <v>0</v>
      </c>
      <c r="I527" s="598">
        <v>0</v>
      </c>
      <c r="J527" s="598">
        <v>0</v>
      </c>
      <c r="K527" s="598">
        <v>0</v>
      </c>
      <c r="L527" s="598">
        <v>0</v>
      </c>
      <c r="M527" s="600"/>
      <c r="N527" s="600"/>
      <c r="O527" s="138"/>
      <c r="P527" s="195"/>
      <c r="Q527" s="180"/>
      <c r="R527" s="195"/>
      <c r="S527" s="181"/>
      <c r="T527" s="111"/>
      <c r="U527" s="151"/>
      <c r="V527" s="195"/>
      <c r="W527" s="111"/>
      <c r="X527" s="195"/>
    </row>
    <row r="528" spans="1:24" x14ac:dyDescent="0.25">
      <c r="A528" s="213">
        <v>8362</v>
      </c>
      <c r="B528" s="214" t="s">
        <v>2181</v>
      </c>
      <c r="C528" s="597" t="s">
        <v>1829</v>
      </c>
      <c r="D528" s="597" t="s">
        <v>1829</v>
      </c>
      <c r="E528" s="597" t="s">
        <v>1829</v>
      </c>
      <c r="F528" s="598">
        <v>0</v>
      </c>
      <c r="G528" s="598">
        <v>0</v>
      </c>
      <c r="H528" s="598">
        <v>0</v>
      </c>
      <c r="I528" s="598">
        <v>0</v>
      </c>
      <c r="J528" s="598">
        <v>0</v>
      </c>
      <c r="K528" s="598">
        <v>0</v>
      </c>
      <c r="L528" s="598">
        <v>0</v>
      </c>
      <c r="M528" s="600"/>
      <c r="N528" s="600"/>
      <c r="O528" s="138"/>
      <c r="P528" s="195"/>
      <c r="Q528" s="180"/>
      <c r="R528" s="195"/>
      <c r="S528" s="181"/>
      <c r="T528" s="111"/>
      <c r="U528" s="151"/>
      <c r="V528" s="195"/>
      <c r="W528" s="111"/>
      <c r="X528" s="195"/>
    </row>
    <row r="529" spans="1:24" x14ac:dyDescent="0.25">
      <c r="A529" s="213">
        <v>8504</v>
      </c>
      <c r="B529" s="214" t="s">
        <v>2182</v>
      </c>
      <c r="C529" s="597" t="s">
        <v>1829</v>
      </c>
      <c r="D529" s="597" t="s">
        <v>1829</v>
      </c>
      <c r="E529" s="597" t="s">
        <v>1829</v>
      </c>
      <c r="F529" s="598">
        <v>0</v>
      </c>
      <c r="G529" s="598">
        <v>0</v>
      </c>
      <c r="H529" s="598">
        <v>0</v>
      </c>
      <c r="I529" s="598">
        <v>0</v>
      </c>
      <c r="J529" s="598">
        <v>0</v>
      </c>
      <c r="K529" s="598">
        <v>0</v>
      </c>
      <c r="L529" s="598">
        <v>0</v>
      </c>
      <c r="M529" s="600"/>
      <c r="N529" s="600"/>
      <c r="O529" s="138"/>
      <c r="P529" s="195"/>
      <c r="Q529" s="180"/>
      <c r="R529" s="195"/>
      <c r="S529" s="181"/>
      <c r="T529" s="111"/>
      <c r="U529" s="151"/>
      <c r="V529" s="195"/>
      <c r="W529" s="111"/>
      <c r="X529" s="195"/>
    </row>
    <row r="530" spans="1:24" x14ac:dyDescent="0.25">
      <c r="A530" s="213">
        <v>8509</v>
      </c>
      <c r="B530" s="214" t="s">
        <v>2183</v>
      </c>
      <c r="C530" s="597" t="s">
        <v>1829</v>
      </c>
      <c r="D530" s="597" t="s">
        <v>1829</v>
      </c>
      <c r="E530" s="597" t="s">
        <v>1829</v>
      </c>
      <c r="F530" s="598">
        <v>0</v>
      </c>
      <c r="G530" s="598">
        <v>0</v>
      </c>
      <c r="H530" s="598">
        <v>0</v>
      </c>
      <c r="I530" s="598">
        <v>0</v>
      </c>
      <c r="J530" s="598">
        <v>0</v>
      </c>
      <c r="K530" s="598">
        <v>0</v>
      </c>
      <c r="L530" s="598">
        <v>0</v>
      </c>
      <c r="M530" s="600"/>
      <c r="N530" s="600"/>
      <c r="O530" s="138"/>
      <c r="P530" s="195"/>
      <c r="Q530" s="180"/>
      <c r="R530" s="195"/>
      <c r="S530" s="181"/>
      <c r="T530" s="111"/>
      <c r="U530" s="151"/>
      <c r="V530" s="195"/>
      <c r="W530" s="111"/>
      <c r="X530" s="195"/>
    </row>
    <row r="531" spans="1:24" x14ac:dyDescent="0.25">
      <c r="A531" s="213">
        <v>8558</v>
      </c>
      <c r="B531" s="214" t="s">
        <v>2184</v>
      </c>
      <c r="C531" s="597" t="s">
        <v>1829</v>
      </c>
      <c r="D531" s="597" t="s">
        <v>1829</v>
      </c>
      <c r="E531" s="597" t="s">
        <v>1829</v>
      </c>
      <c r="F531" s="598">
        <v>0</v>
      </c>
      <c r="G531" s="598">
        <v>0</v>
      </c>
      <c r="H531" s="598">
        <v>0</v>
      </c>
      <c r="I531" s="598">
        <v>0</v>
      </c>
      <c r="J531" s="598">
        <v>0</v>
      </c>
      <c r="K531" s="598">
        <v>0</v>
      </c>
      <c r="L531" s="598">
        <v>0</v>
      </c>
      <c r="M531" s="600"/>
      <c r="N531" s="600"/>
      <c r="O531" s="138"/>
      <c r="P531" s="195"/>
      <c r="Q531" s="180"/>
      <c r="R531" s="195"/>
      <c r="S531" s="181"/>
      <c r="T531" s="111"/>
      <c r="U531" s="151"/>
      <c r="V531" s="195"/>
      <c r="W531" s="111"/>
      <c r="X531" s="195"/>
    </row>
    <row r="532" spans="1:24" x14ac:dyDescent="0.25">
      <c r="A532" s="213">
        <v>8810</v>
      </c>
      <c r="B532" s="214" t="s">
        <v>2185</v>
      </c>
      <c r="C532" s="597" t="s">
        <v>1829</v>
      </c>
      <c r="D532" s="597" t="s">
        <v>1829</v>
      </c>
      <c r="E532" s="597" t="s">
        <v>1829</v>
      </c>
      <c r="F532" s="598">
        <v>0</v>
      </c>
      <c r="G532" s="598">
        <v>0</v>
      </c>
      <c r="H532" s="598">
        <v>0</v>
      </c>
      <c r="I532" s="598">
        <v>0</v>
      </c>
      <c r="J532" s="598">
        <v>0</v>
      </c>
      <c r="K532" s="598">
        <v>0</v>
      </c>
      <c r="L532" s="598">
        <v>0</v>
      </c>
      <c r="M532" s="600"/>
      <c r="N532" s="600"/>
      <c r="O532" s="138"/>
      <c r="P532" s="195"/>
      <c r="Q532" s="180"/>
      <c r="R532" s="195"/>
      <c r="S532" s="181"/>
      <c r="T532" s="111"/>
      <c r="U532" s="151"/>
      <c r="V532" s="195"/>
      <c r="W532" s="111"/>
      <c r="X532" s="195"/>
    </row>
    <row r="533" spans="1:24" x14ac:dyDescent="0.25">
      <c r="A533" s="213">
        <v>8932</v>
      </c>
      <c r="B533" s="214" t="s">
        <v>2186</v>
      </c>
      <c r="C533" s="597" t="s">
        <v>1829</v>
      </c>
      <c r="D533" s="597" t="s">
        <v>1829</v>
      </c>
      <c r="E533" s="597" t="s">
        <v>1829</v>
      </c>
      <c r="F533" s="598">
        <v>0</v>
      </c>
      <c r="G533" s="598">
        <v>0</v>
      </c>
      <c r="H533" s="598">
        <v>0</v>
      </c>
      <c r="I533" s="598">
        <v>0</v>
      </c>
      <c r="J533" s="598">
        <v>0</v>
      </c>
      <c r="K533" s="598">
        <v>0</v>
      </c>
      <c r="L533" s="598">
        <v>0</v>
      </c>
      <c r="M533" s="600"/>
      <c r="N533" s="600"/>
      <c r="O533" s="138"/>
      <c r="P533" s="195"/>
      <c r="Q533" s="180"/>
      <c r="R533" s="195"/>
      <c r="S533" s="181"/>
      <c r="T533" s="111"/>
      <c r="U533" s="151"/>
      <c r="V533" s="195"/>
      <c r="W533" s="111"/>
      <c r="X533" s="195"/>
    </row>
    <row r="534" spans="1:24" x14ac:dyDescent="0.25">
      <c r="A534" s="213">
        <v>8950</v>
      </c>
      <c r="B534" s="214" t="s">
        <v>2187</v>
      </c>
      <c r="C534" s="597" t="s">
        <v>1829</v>
      </c>
      <c r="D534" s="597" t="s">
        <v>1829</v>
      </c>
      <c r="E534" s="597" t="s">
        <v>1829</v>
      </c>
      <c r="F534" s="598">
        <v>0</v>
      </c>
      <c r="G534" s="598">
        <v>0</v>
      </c>
      <c r="H534" s="598">
        <v>0</v>
      </c>
      <c r="I534" s="598">
        <v>0</v>
      </c>
      <c r="J534" s="598">
        <v>0</v>
      </c>
      <c r="K534" s="598">
        <v>0</v>
      </c>
      <c r="L534" s="598">
        <v>0</v>
      </c>
      <c r="M534" s="606"/>
      <c r="N534" s="606"/>
      <c r="O534" s="195"/>
      <c r="P534" s="195"/>
      <c r="Q534" s="180"/>
      <c r="R534" s="195"/>
      <c r="S534" s="181"/>
      <c r="T534" s="111"/>
      <c r="U534" s="151"/>
      <c r="V534" s="195"/>
      <c r="W534" s="111"/>
      <c r="X534" s="195"/>
    </row>
    <row r="535" spans="1:24" x14ac:dyDescent="0.25">
      <c r="A535" s="213">
        <v>8954</v>
      </c>
      <c r="B535" s="214" t="s">
        <v>2188</v>
      </c>
      <c r="C535" s="597" t="s">
        <v>1829</v>
      </c>
      <c r="D535" s="597" t="s">
        <v>1829</v>
      </c>
      <c r="E535" s="597" t="s">
        <v>1829</v>
      </c>
      <c r="F535" s="598">
        <v>0</v>
      </c>
      <c r="G535" s="598">
        <v>0</v>
      </c>
      <c r="H535" s="598">
        <v>0</v>
      </c>
      <c r="I535" s="598">
        <v>0</v>
      </c>
      <c r="J535" s="598">
        <v>0</v>
      </c>
      <c r="K535" s="598">
        <v>0</v>
      </c>
      <c r="L535" s="598">
        <v>0</v>
      </c>
      <c r="M535" s="606"/>
      <c r="N535" s="606"/>
      <c r="O535" s="195"/>
      <c r="P535" s="195"/>
      <c r="Q535" s="180"/>
      <c r="R535" s="195"/>
      <c r="S535" s="181"/>
      <c r="T535" s="111"/>
      <c r="U535" s="151"/>
      <c r="V535" s="195"/>
      <c r="W535" s="111"/>
      <c r="X535" s="195"/>
    </row>
    <row r="536" spans="1:24" x14ac:dyDescent="0.25">
      <c r="A536" s="213">
        <v>9009</v>
      </c>
      <c r="B536" s="214" t="s">
        <v>2189</v>
      </c>
      <c r="C536" s="597" t="s">
        <v>1829</v>
      </c>
      <c r="D536" s="597" t="s">
        <v>1829</v>
      </c>
      <c r="E536" s="597" t="s">
        <v>1829</v>
      </c>
      <c r="F536" s="598">
        <v>0</v>
      </c>
      <c r="G536" s="598">
        <v>0</v>
      </c>
      <c r="H536" s="598">
        <v>0</v>
      </c>
      <c r="I536" s="598">
        <v>0</v>
      </c>
      <c r="J536" s="598">
        <v>0</v>
      </c>
      <c r="K536" s="598">
        <v>0</v>
      </c>
      <c r="L536" s="598">
        <v>0</v>
      </c>
      <c r="M536" s="606"/>
      <c r="N536" s="606"/>
      <c r="O536" s="195"/>
      <c r="P536" s="195"/>
      <c r="Q536" s="180"/>
      <c r="R536" s="195"/>
      <c r="S536" s="181"/>
      <c r="T536" s="111"/>
      <c r="U536" s="151"/>
      <c r="V536" s="195"/>
      <c r="W536" s="111"/>
      <c r="X536" s="195"/>
    </row>
    <row r="537" spans="1:24" x14ac:dyDescent="0.25">
      <c r="A537" s="213">
        <v>9010</v>
      </c>
      <c r="B537" s="214" t="s">
        <v>2190</v>
      </c>
      <c r="C537" s="597" t="s">
        <v>1829</v>
      </c>
      <c r="D537" s="597" t="s">
        <v>1829</v>
      </c>
      <c r="E537" s="597" t="s">
        <v>1829</v>
      </c>
      <c r="F537" s="598">
        <v>0</v>
      </c>
      <c r="G537" s="598">
        <v>0</v>
      </c>
      <c r="H537" s="598">
        <v>0</v>
      </c>
      <c r="I537" s="598">
        <v>0</v>
      </c>
      <c r="J537" s="598">
        <v>0</v>
      </c>
      <c r="K537" s="598">
        <v>0</v>
      </c>
      <c r="L537" s="598">
        <v>0</v>
      </c>
      <c r="M537" s="606"/>
      <c r="N537" s="606"/>
      <c r="O537" s="195"/>
      <c r="P537" s="195"/>
      <c r="Q537" s="180"/>
      <c r="R537" s="195"/>
      <c r="S537" s="181"/>
      <c r="T537" s="111"/>
      <c r="U537" s="151"/>
      <c r="V537" s="195"/>
      <c r="W537" s="111"/>
      <c r="X537" s="195"/>
    </row>
    <row r="538" spans="1:24" x14ac:dyDescent="0.25">
      <c r="A538" s="213">
        <v>9024</v>
      </c>
      <c r="B538" s="214" t="s">
        <v>2191</v>
      </c>
      <c r="C538" s="597" t="s">
        <v>1829</v>
      </c>
      <c r="D538" s="597" t="s">
        <v>1829</v>
      </c>
      <c r="E538" s="597" t="s">
        <v>1829</v>
      </c>
      <c r="F538" s="598">
        <v>0</v>
      </c>
      <c r="G538" s="598">
        <v>0</v>
      </c>
      <c r="H538" s="598">
        <v>0</v>
      </c>
      <c r="I538" s="598">
        <v>0</v>
      </c>
      <c r="J538" s="598">
        <v>0</v>
      </c>
      <c r="K538" s="598">
        <v>0</v>
      </c>
      <c r="L538" s="598">
        <v>0</v>
      </c>
      <c r="M538" s="606"/>
      <c r="N538" s="606"/>
      <c r="O538" s="195"/>
      <c r="P538" s="195"/>
      <c r="Q538" s="180"/>
      <c r="R538" s="195"/>
      <c r="S538" s="181"/>
      <c r="T538" s="111"/>
      <c r="U538" s="151"/>
      <c r="V538" s="195"/>
      <c r="W538" s="111"/>
      <c r="X538" s="195"/>
    </row>
    <row r="539" spans="1:24" x14ac:dyDescent="0.25">
      <c r="A539" s="213">
        <v>9047</v>
      </c>
      <c r="B539" s="214" t="s">
        <v>2192</v>
      </c>
      <c r="C539" s="597" t="s">
        <v>1829</v>
      </c>
      <c r="D539" s="597" t="s">
        <v>1829</v>
      </c>
      <c r="E539" s="597" t="s">
        <v>1829</v>
      </c>
      <c r="F539" s="598">
        <v>0</v>
      </c>
      <c r="G539" s="598">
        <v>0</v>
      </c>
      <c r="H539" s="598">
        <v>0</v>
      </c>
      <c r="I539" s="598">
        <v>0</v>
      </c>
      <c r="J539" s="598">
        <v>0</v>
      </c>
      <c r="K539" s="598">
        <v>0</v>
      </c>
      <c r="L539" s="598">
        <v>0</v>
      </c>
      <c r="M539" s="606"/>
      <c r="N539" s="606"/>
      <c r="O539" s="195"/>
      <c r="P539" s="195"/>
      <c r="Q539" s="180"/>
      <c r="R539" s="195"/>
      <c r="S539" s="181"/>
      <c r="T539" s="111"/>
      <c r="U539" s="151"/>
      <c r="V539" s="195"/>
      <c r="W539" s="111"/>
      <c r="X539" s="195"/>
    </row>
    <row r="540" spans="1:24" x14ac:dyDescent="0.25">
      <c r="A540" s="213">
        <v>9203</v>
      </c>
      <c r="B540" s="214" t="s">
        <v>2193</v>
      </c>
      <c r="C540" s="597" t="s">
        <v>1829</v>
      </c>
      <c r="D540" s="597" t="s">
        <v>1829</v>
      </c>
      <c r="E540" s="597" t="s">
        <v>1829</v>
      </c>
      <c r="F540" s="598">
        <v>0</v>
      </c>
      <c r="G540" s="598">
        <v>0</v>
      </c>
      <c r="H540" s="598">
        <v>0</v>
      </c>
      <c r="I540" s="598">
        <v>0</v>
      </c>
      <c r="J540" s="598">
        <v>0</v>
      </c>
      <c r="K540" s="598">
        <v>0</v>
      </c>
      <c r="L540" s="598">
        <v>0</v>
      </c>
      <c r="M540" s="606"/>
      <c r="N540" s="606"/>
      <c r="O540" s="195"/>
      <c r="P540" s="195"/>
      <c r="Q540" s="180"/>
      <c r="R540" s="195"/>
      <c r="S540" s="181"/>
      <c r="T540" s="111"/>
      <c r="U540" s="151"/>
      <c r="V540" s="195"/>
      <c r="W540" s="111"/>
      <c r="X540" s="195"/>
    </row>
    <row r="541" spans="1:24" x14ac:dyDescent="0.25">
      <c r="A541" s="213">
        <v>9219</v>
      </c>
      <c r="B541" s="214" t="s">
        <v>2194</v>
      </c>
      <c r="C541" s="597" t="s">
        <v>1829</v>
      </c>
      <c r="D541" s="597" t="s">
        <v>1829</v>
      </c>
      <c r="E541" s="597" t="s">
        <v>1829</v>
      </c>
      <c r="F541" s="598">
        <v>0</v>
      </c>
      <c r="G541" s="598">
        <v>0</v>
      </c>
      <c r="H541" s="598">
        <v>0</v>
      </c>
      <c r="I541" s="598">
        <v>0</v>
      </c>
      <c r="J541" s="598">
        <v>0</v>
      </c>
      <c r="K541" s="598">
        <v>0</v>
      </c>
      <c r="L541" s="598">
        <v>0</v>
      </c>
      <c r="M541" s="600"/>
      <c r="N541" s="600"/>
      <c r="O541" s="138"/>
      <c r="P541" s="195"/>
      <c r="Q541" s="180"/>
      <c r="R541" s="195"/>
      <c r="S541" s="181"/>
      <c r="T541" s="111"/>
      <c r="U541" s="151"/>
      <c r="V541" s="195"/>
      <c r="W541" s="111"/>
      <c r="X541" s="195"/>
    </row>
    <row r="542" spans="1:24" x14ac:dyDescent="0.25">
      <c r="A542" s="213">
        <v>9243</v>
      </c>
      <c r="B542" s="214" t="s">
        <v>2195</v>
      </c>
      <c r="C542" s="597" t="s">
        <v>1829</v>
      </c>
      <c r="D542" s="597" t="s">
        <v>1829</v>
      </c>
      <c r="E542" s="597" t="s">
        <v>1829</v>
      </c>
      <c r="F542" s="598">
        <v>0</v>
      </c>
      <c r="G542" s="598">
        <v>0</v>
      </c>
      <c r="H542" s="598">
        <v>0</v>
      </c>
      <c r="I542" s="598">
        <v>0</v>
      </c>
      <c r="J542" s="598">
        <v>0</v>
      </c>
      <c r="K542" s="598">
        <v>0</v>
      </c>
      <c r="L542" s="598">
        <v>0</v>
      </c>
      <c r="M542" s="600"/>
      <c r="N542" s="600"/>
      <c r="O542" s="138"/>
      <c r="P542" s="195"/>
      <c r="Q542" s="180"/>
      <c r="R542" s="195"/>
      <c r="S542" s="181"/>
      <c r="T542" s="111"/>
      <c r="U542" s="151"/>
      <c r="V542" s="195"/>
      <c r="W542" s="111"/>
      <c r="X542" s="195"/>
    </row>
    <row r="543" spans="1:24" x14ac:dyDescent="0.25">
      <c r="A543" s="213">
        <v>9310</v>
      </c>
      <c r="B543" s="214" t="s">
        <v>842</v>
      </c>
      <c r="C543" s="597" t="s">
        <v>1829</v>
      </c>
      <c r="D543" s="597" t="s">
        <v>1829</v>
      </c>
      <c r="E543" s="597" t="s">
        <v>1829</v>
      </c>
      <c r="F543" s="598">
        <v>0</v>
      </c>
      <c r="G543" s="598">
        <v>-2151.2600000000002</v>
      </c>
      <c r="H543" s="598">
        <v>0</v>
      </c>
      <c r="I543" s="598">
        <v>0</v>
      </c>
      <c r="J543" s="598">
        <v>0</v>
      </c>
      <c r="K543" s="598">
        <v>0</v>
      </c>
      <c r="L543" s="598">
        <v>-2151</v>
      </c>
      <c r="M543" s="606"/>
      <c r="N543" s="606"/>
      <c r="O543" s="195"/>
      <c r="P543" s="195"/>
      <c r="Q543" s="180"/>
      <c r="R543" s="195"/>
      <c r="S543" s="181"/>
      <c r="T543" s="111"/>
      <c r="U543" s="151"/>
      <c r="V543" s="195"/>
      <c r="W543" s="111"/>
      <c r="X543" s="195"/>
    </row>
    <row r="544" spans="1:24" x14ac:dyDescent="0.25">
      <c r="A544" s="213">
        <v>9900</v>
      </c>
      <c r="B544" s="214" t="s">
        <v>2196</v>
      </c>
      <c r="C544" s="597" t="s">
        <v>1829</v>
      </c>
      <c r="D544" s="597" t="s">
        <v>1829</v>
      </c>
      <c r="E544" s="597" t="s">
        <v>1829</v>
      </c>
      <c r="F544" s="598">
        <v>0</v>
      </c>
      <c r="G544" s="598">
        <v>0</v>
      </c>
      <c r="H544" s="598">
        <v>0</v>
      </c>
      <c r="I544" s="598">
        <v>0</v>
      </c>
      <c r="J544" s="598">
        <v>0</v>
      </c>
      <c r="K544" s="598">
        <v>0</v>
      </c>
      <c r="L544" s="598">
        <v>0</v>
      </c>
      <c r="M544" s="606"/>
      <c r="N544" s="606"/>
      <c r="O544" s="195"/>
      <c r="P544" s="195"/>
      <c r="Q544" s="180"/>
      <c r="R544" s="195"/>
      <c r="S544" s="181"/>
      <c r="T544" s="111"/>
      <c r="U544" s="151"/>
      <c r="V544" s="195"/>
      <c r="W544" s="111"/>
      <c r="X544" s="195"/>
    </row>
    <row r="545" spans="1:24" x14ac:dyDescent="0.25">
      <c r="A545" s="213" t="s">
        <v>2197</v>
      </c>
      <c r="B545" s="215" t="s">
        <v>2198</v>
      </c>
      <c r="C545" s="597" t="s">
        <v>1829</v>
      </c>
      <c r="D545" s="597" t="s">
        <v>1829</v>
      </c>
      <c r="E545" s="597" t="s">
        <v>1829</v>
      </c>
      <c r="F545" s="598">
        <v>0</v>
      </c>
      <c r="G545" s="598">
        <v>-11461.31</v>
      </c>
      <c r="H545" s="598">
        <v>0</v>
      </c>
      <c r="I545" s="598">
        <v>0</v>
      </c>
      <c r="J545" s="598">
        <v>0</v>
      </c>
      <c r="K545" s="598">
        <v>0</v>
      </c>
      <c r="L545" s="598">
        <v>-11461</v>
      </c>
      <c r="M545" s="606"/>
      <c r="N545" s="606"/>
      <c r="O545" s="195"/>
      <c r="P545" s="195"/>
      <c r="Q545" s="180"/>
      <c r="R545" s="195"/>
      <c r="S545" s="181"/>
      <c r="T545" s="111"/>
      <c r="U545" s="151"/>
      <c r="V545" s="195"/>
      <c r="W545" s="111"/>
      <c r="X545" s="195"/>
    </row>
    <row r="546" spans="1:24" ht="15.75" thickBot="1" x14ac:dyDescent="0.3">
      <c r="A546" s="216" t="s">
        <v>847</v>
      </c>
      <c r="B546" s="151"/>
      <c r="C546" s="619">
        <v>0</v>
      </c>
      <c r="D546" s="619">
        <v>0</v>
      </c>
      <c r="E546" s="619">
        <v>0</v>
      </c>
      <c r="F546" s="620">
        <v>667117.51</v>
      </c>
      <c r="G546" s="620">
        <v>27185.200000000004</v>
      </c>
      <c r="H546" s="620">
        <v>298684.09999999998</v>
      </c>
      <c r="I546" s="620">
        <v>243526.86000000002</v>
      </c>
      <c r="J546" s="620">
        <v>1043.08</v>
      </c>
      <c r="K546" s="620">
        <v>0</v>
      </c>
      <c r="L546" s="620">
        <v>1237557</v>
      </c>
      <c r="M546" s="600"/>
      <c r="N546" s="600"/>
      <c r="O546" s="138"/>
      <c r="P546" s="195"/>
      <c r="Q546" s="180"/>
      <c r="R546" s="195"/>
      <c r="S546" s="181"/>
      <c r="T546" s="111"/>
      <c r="U546" s="151"/>
      <c r="V546" s="195"/>
      <c r="W546" s="111"/>
      <c r="X546" s="195"/>
    </row>
    <row r="547" spans="1:24" ht="15.75" thickTop="1" x14ac:dyDescent="0.25">
      <c r="A547" s="216"/>
      <c r="B547" s="217"/>
      <c r="C547" s="597"/>
      <c r="D547" s="597"/>
      <c r="E547" s="597"/>
      <c r="F547" s="598"/>
      <c r="G547" s="598"/>
      <c r="H547" s="598"/>
      <c r="I547" s="598"/>
      <c r="J547" s="598"/>
      <c r="K547" s="598"/>
      <c r="L547" s="598"/>
      <c r="M547" s="600"/>
      <c r="N547" s="600"/>
      <c r="O547" s="138"/>
      <c r="P547" s="195"/>
      <c r="Q547" s="180"/>
      <c r="R547" s="195"/>
      <c r="S547" s="181"/>
      <c r="T547" s="111"/>
      <c r="U547" s="151"/>
      <c r="V547" s="195"/>
      <c r="W547" s="111"/>
      <c r="X547" s="195"/>
    </row>
    <row r="548" spans="1:24" x14ac:dyDescent="0.25">
      <c r="A548" s="216"/>
      <c r="B548" s="217"/>
      <c r="C548" s="597"/>
      <c r="D548" s="597"/>
      <c r="E548" s="597"/>
      <c r="F548" s="598"/>
      <c r="G548" s="598"/>
      <c r="H548" s="598"/>
      <c r="I548" s="598"/>
      <c r="J548" s="598"/>
      <c r="K548" s="598"/>
      <c r="L548" s="598"/>
      <c r="M548" s="600"/>
      <c r="N548" s="600"/>
      <c r="O548" s="138"/>
      <c r="P548" s="195"/>
      <c r="Q548" s="180"/>
      <c r="R548" s="195"/>
      <c r="S548" s="181"/>
      <c r="T548" s="111"/>
      <c r="U548" s="151"/>
      <c r="V548" s="195"/>
      <c r="W548" s="111"/>
      <c r="X548" s="195"/>
    </row>
    <row r="549" spans="1:24" x14ac:dyDescent="0.25">
      <c r="A549" s="218" t="s">
        <v>101</v>
      </c>
      <c r="B549" s="217"/>
      <c r="C549" s="597">
        <f t="shared" ref="C549:K549" si="2">C147+C165+C546</f>
        <v>169336213</v>
      </c>
      <c r="D549" s="597">
        <f t="shared" si="2"/>
        <v>8761162</v>
      </c>
      <c r="E549" s="597">
        <f t="shared" si="2"/>
        <v>2409256</v>
      </c>
      <c r="F549" s="598">
        <f t="shared" si="2"/>
        <v>601728047.50999999</v>
      </c>
      <c r="G549" s="598">
        <f t="shared" si="2"/>
        <v>545742641.20000005</v>
      </c>
      <c r="H549" s="598">
        <f t="shared" si="2"/>
        <v>617979718.75</v>
      </c>
      <c r="I549" s="598">
        <f t="shared" si="2"/>
        <v>46153375.859999999</v>
      </c>
      <c r="J549" s="598">
        <f t="shared" si="2"/>
        <v>183442133.08000001</v>
      </c>
      <c r="K549" s="598">
        <f t="shared" si="2"/>
        <v>113892833</v>
      </c>
      <c r="L549" s="598">
        <v>2289156500.9216609</v>
      </c>
      <c r="M549" s="600"/>
      <c r="N549" s="600"/>
      <c r="O549" s="138"/>
      <c r="P549" s="195"/>
      <c r="Q549" s="180"/>
      <c r="R549" s="195"/>
      <c r="S549" s="181"/>
      <c r="T549" s="111"/>
      <c r="U549" s="151"/>
      <c r="V549" s="195"/>
      <c r="W549" s="111"/>
      <c r="X549" s="195"/>
    </row>
    <row r="550" spans="1:24" x14ac:dyDescent="0.25">
      <c r="A550" s="216"/>
      <c r="B550" s="217"/>
      <c r="C550" s="597"/>
      <c r="D550" s="597"/>
      <c r="E550" s="597"/>
      <c r="F550" s="598"/>
      <c r="G550" s="598"/>
      <c r="H550" s="598"/>
      <c r="I550" s="598"/>
      <c r="J550" s="598"/>
      <c r="K550" s="598"/>
      <c r="L550" s="598"/>
      <c r="M550" s="600"/>
      <c r="N550" s="600"/>
      <c r="O550" s="138"/>
      <c r="P550" s="195"/>
      <c r="Q550" s="180"/>
      <c r="R550" s="195"/>
      <c r="S550" s="181"/>
      <c r="T550" s="111"/>
      <c r="U550" s="151"/>
      <c r="V550" s="195"/>
      <c r="W550" s="111"/>
      <c r="X550" s="195"/>
    </row>
    <row r="551" spans="1:24" x14ac:dyDescent="0.25">
      <c r="A551" s="219" t="s">
        <v>110</v>
      </c>
      <c r="B551" s="151"/>
      <c r="C551" s="597">
        <v>238723490</v>
      </c>
      <c r="D551" s="597">
        <v>334506130</v>
      </c>
      <c r="E551" s="597">
        <v>3421750786</v>
      </c>
      <c r="F551" s="614">
        <v>601728049</v>
      </c>
      <c r="G551" s="614">
        <v>545742642</v>
      </c>
      <c r="H551" s="614">
        <v>617979721</v>
      </c>
      <c r="I551" s="614">
        <v>46153375</v>
      </c>
      <c r="J551" s="614">
        <v>183442135</v>
      </c>
      <c r="K551" s="614">
        <v>113892833</v>
      </c>
      <c r="L551" s="598">
        <v>2108938755</v>
      </c>
      <c r="M551" s="600"/>
      <c r="N551" s="600"/>
      <c r="O551" s="138"/>
      <c r="P551" s="195"/>
      <c r="Q551" s="180"/>
      <c r="R551" s="195"/>
      <c r="S551" s="181"/>
      <c r="T551" s="111"/>
      <c r="U551" s="151"/>
      <c r="V551" s="195"/>
      <c r="W551" s="111"/>
      <c r="X551" s="195"/>
    </row>
    <row r="552" spans="1:24" x14ac:dyDescent="0.25">
      <c r="A552" s="132"/>
      <c r="B552" s="132"/>
      <c r="C552" s="597"/>
      <c r="D552" s="597"/>
      <c r="E552" s="597"/>
      <c r="F552" s="598"/>
      <c r="G552" s="598"/>
      <c r="H552" s="598"/>
      <c r="I552" s="598"/>
      <c r="J552" s="598"/>
      <c r="K552" s="598"/>
      <c r="L552" s="598"/>
      <c r="M552" s="600"/>
      <c r="N552" s="600"/>
      <c r="O552" s="138"/>
      <c r="P552" s="195"/>
      <c r="Q552" s="180"/>
      <c r="R552" s="195"/>
      <c r="S552" s="181"/>
      <c r="T552" s="111"/>
      <c r="U552" s="151"/>
      <c r="V552" s="195"/>
      <c r="W552" s="111"/>
      <c r="X552" s="195"/>
    </row>
    <row r="553" spans="1:24" ht="15.75" thickBot="1" x14ac:dyDescent="0.3">
      <c r="A553" s="195" t="s">
        <v>1015</v>
      </c>
      <c r="B553" s="186"/>
      <c r="C553" s="621"/>
      <c r="D553" s="621"/>
      <c r="E553" s="621"/>
      <c r="F553" s="618">
        <v>9295.4900000095367</v>
      </c>
      <c r="G553" s="618">
        <v>186904.79999995232</v>
      </c>
      <c r="H553" s="618">
        <v>75660.728339195251</v>
      </c>
      <c r="I553" s="618">
        <v>-0.85999999940395355</v>
      </c>
      <c r="J553" s="618">
        <v>1.9199999868869781</v>
      </c>
      <c r="K553" s="618">
        <v>731</v>
      </c>
      <c r="L553" s="620">
        <v>272593.07833914459</v>
      </c>
      <c r="M553" s="600"/>
      <c r="N553" s="600"/>
      <c r="O553" s="138"/>
      <c r="P553" s="195"/>
      <c r="Q553" s="180"/>
      <c r="R553" s="195"/>
      <c r="S553" s="181"/>
      <c r="T553" s="111"/>
      <c r="U553" s="493"/>
      <c r="V553" s="195"/>
      <c r="W553" s="111"/>
      <c r="X553" s="195"/>
    </row>
    <row r="554" spans="1:24" ht="15.75" thickTop="1" x14ac:dyDescent="0.25">
      <c r="A554" s="143"/>
      <c r="B554" s="143"/>
      <c r="C554" s="151"/>
      <c r="D554" s="151"/>
      <c r="E554" s="151"/>
      <c r="F554" s="208"/>
      <c r="G554" s="208"/>
      <c r="H554" s="208"/>
      <c r="I554" s="208"/>
      <c r="J554" s="208"/>
      <c r="K554" s="208"/>
      <c r="L554" s="208"/>
      <c r="M554" s="195"/>
      <c r="N554" s="492"/>
      <c r="O554" s="195"/>
      <c r="P554" s="195"/>
      <c r="Q554" s="180"/>
      <c r="R554" s="195"/>
      <c r="S554" s="181"/>
      <c r="T554" s="182"/>
      <c r="U554" s="457"/>
      <c r="V554" s="195"/>
      <c r="W554" s="111"/>
      <c r="X554" s="195"/>
    </row>
    <row r="555" spans="1:24" x14ac:dyDescent="0.25">
      <c r="A555" s="143"/>
      <c r="B555" s="143"/>
      <c r="C555" s="151"/>
      <c r="D555" s="151"/>
      <c r="E555" s="151"/>
      <c r="F555" s="208"/>
      <c r="G555" s="208"/>
      <c r="H555" s="208"/>
      <c r="I555" s="208"/>
      <c r="J555" s="208"/>
      <c r="K555" s="208"/>
      <c r="L555" s="208"/>
      <c r="M555" s="195"/>
      <c r="N555" s="492"/>
      <c r="O555" s="195"/>
      <c r="P555" s="195"/>
      <c r="Q555" s="180"/>
      <c r="R555" s="195"/>
      <c r="S555" s="181"/>
      <c r="T555" s="182"/>
      <c r="U555" s="457"/>
      <c r="V555" s="195"/>
      <c r="W555" s="111"/>
      <c r="X555" s="195"/>
    </row>
    <row r="556" spans="1:24" x14ac:dyDescent="0.25">
      <c r="A556" s="143"/>
      <c r="B556" s="143"/>
      <c r="C556" s="151"/>
      <c r="D556" s="195"/>
      <c r="E556" s="195"/>
      <c r="F556" s="208"/>
      <c r="G556" s="208"/>
      <c r="H556" s="208"/>
      <c r="I556" s="208"/>
      <c r="J556" s="208"/>
      <c r="K556" s="208"/>
      <c r="L556" s="208"/>
      <c r="M556" s="195"/>
      <c r="N556" s="492"/>
      <c r="O556" s="195"/>
      <c r="P556" s="195"/>
      <c r="Q556" s="180"/>
      <c r="R556" s="195"/>
      <c r="S556" s="181"/>
      <c r="T556" s="182"/>
      <c r="U556" s="457"/>
      <c r="V556" s="195"/>
      <c r="W556" s="111"/>
      <c r="X556" s="195"/>
    </row>
    <row r="557" spans="1:24" x14ac:dyDescent="0.25">
      <c r="A557" s="143"/>
      <c r="B557" s="143"/>
      <c r="C557" s="151"/>
      <c r="D557" s="195"/>
      <c r="E557" s="195"/>
      <c r="F557" s="208"/>
      <c r="G557" s="208"/>
      <c r="H557" s="208"/>
      <c r="I557" s="208"/>
      <c r="J557" s="208"/>
      <c r="K557" s="208"/>
      <c r="L557" s="208"/>
      <c r="M557" s="195"/>
      <c r="N557" s="492"/>
      <c r="O557" s="195"/>
      <c r="P557" s="195"/>
      <c r="Q557" s="180"/>
      <c r="R557" s="195"/>
      <c r="S557" s="181"/>
      <c r="T557" s="182"/>
      <c r="U557" s="457"/>
      <c r="V557" s="195"/>
      <c r="W557" s="111"/>
      <c r="X557" s="195"/>
    </row>
    <row r="558" spans="1:24" x14ac:dyDescent="0.25">
      <c r="A558" s="143"/>
      <c r="B558" s="143"/>
      <c r="C558" s="151"/>
      <c r="D558" s="187"/>
      <c r="E558" s="202"/>
      <c r="F558" s="208"/>
      <c r="G558" s="208"/>
      <c r="H558" s="208"/>
      <c r="I558" s="208"/>
      <c r="J558" s="208"/>
      <c r="K558" s="208"/>
      <c r="L558" s="208"/>
      <c r="M558" s="195"/>
      <c r="N558" s="492"/>
      <c r="O558" s="195"/>
      <c r="P558" s="195"/>
      <c r="Q558" s="180"/>
      <c r="R558" s="195"/>
      <c r="S558" s="181"/>
      <c r="T558" s="182"/>
      <c r="U558" s="457"/>
      <c r="V558" s="195"/>
      <c r="W558" s="111"/>
      <c r="X558" s="195"/>
    </row>
    <row r="559" spans="1:24" x14ac:dyDescent="0.25">
      <c r="A559" s="143"/>
      <c r="B559" s="143"/>
      <c r="C559" s="151"/>
      <c r="D559" s="187"/>
      <c r="E559" s="202"/>
      <c r="F559" s="208"/>
      <c r="G559" s="208"/>
      <c r="H559" s="208"/>
      <c r="I559" s="208"/>
      <c r="J559" s="208"/>
      <c r="K559" s="208"/>
      <c r="L559" s="208"/>
      <c r="M559" s="195"/>
      <c r="N559" s="492"/>
      <c r="O559" s="195"/>
      <c r="P559" s="195"/>
      <c r="Q559" s="180"/>
      <c r="R559" s="195"/>
      <c r="S559" s="181"/>
      <c r="T559" s="182"/>
      <c r="U559" s="457"/>
      <c r="V559" s="195"/>
      <c r="W559" s="111"/>
      <c r="X559" s="195"/>
    </row>
    <row r="560" spans="1:24" x14ac:dyDescent="0.25">
      <c r="A560" s="143"/>
      <c r="B560" s="143"/>
      <c r="C560" s="151"/>
      <c r="D560" s="187"/>
      <c r="E560" s="220"/>
      <c r="F560" s="208"/>
      <c r="G560" s="208"/>
      <c r="H560" s="208"/>
      <c r="I560" s="208"/>
      <c r="J560" s="208"/>
      <c r="K560" s="208"/>
      <c r="L560" s="208"/>
      <c r="M560" s="195"/>
      <c r="N560" s="492"/>
      <c r="O560" s="195"/>
      <c r="P560" s="195"/>
      <c r="Q560" s="180"/>
      <c r="R560" s="195"/>
      <c r="S560" s="181"/>
      <c r="T560" s="182"/>
      <c r="U560" s="457"/>
      <c r="V560" s="195"/>
      <c r="W560" s="111"/>
      <c r="X560" s="195"/>
    </row>
    <row r="561" spans="1:24" x14ac:dyDescent="0.25">
      <c r="A561" s="143"/>
      <c r="B561" s="143"/>
      <c r="C561" s="151"/>
      <c r="D561" s="187"/>
      <c r="E561" s="202"/>
      <c r="F561" s="208"/>
      <c r="G561" s="208"/>
      <c r="H561" s="208"/>
      <c r="I561" s="208"/>
      <c r="J561" s="208"/>
      <c r="K561" s="208"/>
      <c r="L561" s="208"/>
      <c r="M561" s="195"/>
      <c r="N561" s="492"/>
      <c r="O561" s="195"/>
      <c r="P561" s="195"/>
      <c r="Q561" s="180"/>
      <c r="R561" s="195"/>
      <c r="S561" s="181"/>
      <c r="T561" s="182"/>
      <c r="U561" s="457"/>
      <c r="V561" s="195"/>
      <c r="W561" s="111"/>
      <c r="X561" s="195"/>
    </row>
    <row r="562" spans="1:24" x14ac:dyDescent="0.25">
      <c r="A562" s="143"/>
      <c r="B562" s="143"/>
      <c r="C562" s="151"/>
      <c r="D562" s="187"/>
      <c r="E562" s="202"/>
      <c r="F562" s="208"/>
      <c r="G562" s="208"/>
      <c r="H562" s="208"/>
      <c r="I562" s="208"/>
      <c r="J562" s="208"/>
      <c r="K562" s="208"/>
      <c r="L562" s="208"/>
      <c r="M562" s="195"/>
      <c r="N562" s="492"/>
      <c r="O562" s="195"/>
      <c r="P562" s="195"/>
      <c r="Q562" s="180"/>
      <c r="R562" s="195"/>
      <c r="S562" s="181"/>
      <c r="T562" s="182"/>
      <c r="U562" s="457"/>
      <c r="V562" s="195"/>
      <c r="W562" s="111"/>
      <c r="X562" s="195"/>
    </row>
    <row r="563" spans="1:24" x14ac:dyDescent="0.25">
      <c r="A563" s="143"/>
      <c r="B563" s="143"/>
      <c r="C563" s="151"/>
      <c r="D563" s="187"/>
      <c r="E563" s="202"/>
      <c r="F563" s="208"/>
      <c r="G563" s="208"/>
      <c r="H563" s="208"/>
      <c r="I563" s="208"/>
      <c r="J563" s="208"/>
      <c r="K563" s="208"/>
      <c r="L563" s="208"/>
      <c r="M563" s="195"/>
      <c r="N563" s="492"/>
      <c r="O563" s="195"/>
      <c r="P563" s="195"/>
      <c r="Q563" s="180"/>
      <c r="R563" s="195"/>
      <c r="S563" s="181"/>
      <c r="T563" s="182"/>
      <c r="U563" s="457"/>
      <c r="V563" s="195"/>
      <c r="W563" s="111"/>
      <c r="X563" s="195"/>
    </row>
    <row r="564" spans="1:24" x14ac:dyDescent="0.25">
      <c r="A564" s="143"/>
      <c r="B564" s="143"/>
      <c r="C564" s="151"/>
      <c r="D564" s="195"/>
      <c r="E564" s="202"/>
      <c r="F564" s="208"/>
      <c r="G564" s="208"/>
      <c r="H564" s="208"/>
      <c r="I564" s="208"/>
      <c r="J564" s="208"/>
      <c r="K564" s="208"/>
      <c r="L564" s="208"/>
      <c r="M564" s="195"/>
      <c r="N564" s="492"/>
      <c r="O564" s="195"/>
      <c r="P564" s="195"/>
      <c r="Q564" s="180"/>
      <c r="R564" s="195"/>
      <c r="S564" s="181"/>
      <c r="T564" s="182"/>
      <c r="U564" s="457"/>
      <c r="V564" s="195"/>
      <c r="W564" s="111"/>
      <c r="X564" s="195"/>
    </row>
    <row r="565" spans="1:24" x14ac:dyDescent="0.25">
      <c r="A565" s="143"/>
      <c r="B565" s="143"/>
      <c r="C565" s="151"/>
      <c r="D565" s="195"/>
      <c r="E565" s="195"/>
      <c r="F565" s="208"/>
      <c r="G565" s="208"/>
      <c r="H565" s="208"/>
      <c r="I565" s="208"/>
      <c r="J565" s="208"/>
      <c r="K565" s="208"/>
      <c r="L565" s="208"/>
      <c r="M565" s="195"/>
      <c r="N565" s="492"/>
      <c r="O565" s="195"/>
      <c r="P565" s="195"/>
      <c r="Q565" s="180"/>
      <c r="R565" s="195"/>
      <c r="S565" s="181"/>
      <c r="T565" s="182"/>
      <c r="U565" s="457"/>
      <c r="V565" s="195"/>
      <c r="W565" s="111"/>
      <c r="X565" s="195"/>
    </row>
  </sheetData>
  <autoFilter ref="A7:X553"/>
  <conditionalFormatting sqref="F87:K89 F37:K41 C11:K12 C98:K98 C105:K115 C157:K164 C19:K36 C47:K86 C168:K545 C124:K143 D121:E121 G121:K121 D122:K123">
    <cfRule type="cellIs" dxfId="16" priority="12" stopIfTrue="1" operator="equal">
      <formula>0</formula>
    </cfRule>
  </conditionalFormatting>
  <conditionalFormatting sqref="C104">
    <cfRule type="cellIs" dxfId="15" priority="11" stopIfTrue="1" operator="equal">
      <formula>0</formula>
    </cfRule>
  </conditionalFormatting>
  <conditionalFormatting sqref="G104">
    <cfRule type="cellIs" dxfId="14" priority="2" stopIfTrue="1" operator="equal">
      <formula>0</formula>
    </cfRule>
  </conditionalFormatting>
  <conditionalFormatting sqref="D104">
    <cfRule type="cellIs" dxfId="13" priority="10" stopIfTrue="1" operator="equal">
      <formula>0</formula>
    </cfRule>
  </conditionalFormatting>
  <conditionalFormatting sqref="C122">
    <cfRule type="cellIs" dxfId="12" priority="5" stopIfTrue="1" operator="equal">
      <formula>0</formula>
    </cfRule>
  </conditionalFormatting>
  <conditionalFormatting sqref="F104">
    <cfRule type="cellIs" dxfId="11" priority="9" stopIfTrue="1" operator="equal">
      <formula>0</formula>
    </cfRule>
  </conditionalFormatting>
  <conditionalFormatting sqref="H104">
    <cfRule type="cellIs" dxfId="10" priority="8" stopIfTrue="1" operator="equal">
      <formula>0</formula>
    </cfRule>
  </conditionalFormatting>
  <conditionalFormatting sqref="E104">
    <cfRule type="cellIs" dxfId="9" priority="4" stopIfTrue="1" operator="equal">
      <formula>0</formula>
    </cfRule>
  </conditionalFormatting>
  <conditionalFormatting sqref="K104">
    <cfRule type="cellIs" dxfId="8" priority="7" stopIfTrue="1" operator="equal">
      <formula>0</formula>
    </cfRule>
  </conditionalFormatting>
  <conditionalFormatting sqref="C121">
    <cfRule type="cellIs" dxfId="7" priority="6" stopIfTrue="1" operator="equal">
      <formula>0</formula>
    </cfRule>
  </conditionalFormatting>
  <conditionalFormatting sqref="F121">
    <cfRule type="cellIs" dxfId="6" priority="3" stopIfTrue="1" operator="equal">
      <formula>0</formula>
    </cfRule>
  </conditionalFormatting>
  <conditionalFormatting sqref="C123">
    <cfRule type="cellIs" dxfId="5" priority="1" stopIfTrue="1" operator="equal">
      <formula>0</formula>
    </cfRule>
  </conditionalFormatting>
  <printOptions horizontalCentered="1"/>
  <pageMargins left="0.25" right="0.25" top="0.75" bottom="0.75" header="0.3" footer="0.3"/>
  <pageSetup scale="54" fitToHeight="0" pageOrder="overThenDown" orientation="landscape" verticalDpi="1200" r:id="rId1"/>
  <headerFooter alignWithMargins="0">
    <oddHeader>&amp;RWP- Plant Study 2011
&amp;P of &amp;N</oddHeader>
    <oddFooter>&amp;C&amp;A</oddFooter>
  </headerFooter>
  <rowBreaks count="5" manualBreakCount="5">
    <brk id="44" max="15" man="1"/>
    <brk id="95" max="15" man="1"/>
    <brk id="145" max="15" man="1"/>
    <brk id="166" max="15" man="1"/>
    <brk id="530"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C88"/>
  <sheetViews>
    <sheetView zoomScale="70" zoomScaleNormal="70" zoomScaleSheetLayoutView="50" zoomScalePageLayoutView="60" workbookViewId="0">
      <selection activeCell="A2" sqref="A2"/>
    </sheetView>
  </sheetViews>
  <sheetFormatPr defaultRowHeight="15" x14ac:dyDescent="0.25"/>
  <cols>
    <col min="1" max="1" width="34.28515625" style="95" bestFit="1" customWidth="1"/>
    <col min="2" max="2" width="14" style="357" customWidth="1"/>
    <col min="3" max="3" width="13.5703125" style="95" customWidth="1"/>
    <col min="4" max="5" width="12.42578125" style="95" customWidth="1"/>
    <col min="6" max="6" width="10.85546875" style="95" customWidth="1"/>
    <col min="7" max="7" width="7.7109375" style="95" customWidth="1"/>
    <col min="8" max="8" width="8.85546875" style="95" customWidth="1"/>
    <col min="9" max="9" width="13.5703125" style="95" customWidth="1"/>
    <col min="10" max="10" width="2.140625" style="95" customWidth="1"/>
    <col min="11" max="11" width="16.140625" style="95" customWidth="1"/>
    <col min="12" max="12" width="11.140625" style="95" customWidth="1"/>
    <col min="13" max="13" width="12.42578125" style="95" customWidth="1"/>
    <col min="14" max="29" width="16.140625" style="95" customWidth="1"/>
    <col min="30" max="30" width="11.5703125" style="95" customWidth="1"/>
    <col min="31" max="31" width="10.42578125" style="95" customWidth="1"/>
    <col min="32" max="32" width="13.5703125" style="95" bestFit="1" customWidth="1"/>
    <col min="33" max="34" width="13.42578125" style="95" bestFit="1" customWidth="1"/>
    <col min="35" max="35" width="14.85546875" style="95" customWidth="1"/>
    <col min="36" max="38" width="10.42578125" style="95" customWidth="1"/>
    <col min="39" max="39" width="9.140625" style="95"/>
    <col min="40" max="42" width="13.7109375" style="95" customWidth="1"/>
    <col min="43" max="43" width="7.28515625" style="95" customWidth="1"/>
    <col min="44" max="46" width="13.7109375" style="95" customWidth="1"/>
    <col min="47" max="47" width="9.140625" style="95"/>
    <col min="48" max="48" width="20.85546875" style="357" bestFit="1" customWidth="1"/>
    <col min="49" max="49" width="12" style="95" customWidth="1"/>
    <col min="50" max="52" width="9.140625" style="95"/>
    <col min="53" max="53" width="12.5703125" style="95" customWidth="1"/>
    <col min="54" max="16384" width="9.140625" style="95"/>
  </cols>
  <sheetData>
    <row r="1" spans="1:55" ht="15.75" thickBot="1" x14ac:dyDescent="0.3">
      <c r="A1" s="356"/>
    </row>
    <row r="2" spans="1:55" ht="21" thickBot="1" x14ac:dyDescent="0.35">
      <c r="A2" s="356"/>
      <c r="B2" s="358"/>
      <c r="C2" s="719" t="s">
        <v>1275</v>
      </c>
      <c r="D2" s="714"/>
      <c r="E2" s="714"/>
      <c r="F2" s="714"/>
      <c r="G2" s="714"/>
      <c r="H2" s="714"/>
      <c r="I2" s="715"/>
      <c r="K2" s="719" t="s">
        <v>799</v>
      </c>
      <c r="L2" s="714"/>
      <c r="M2" s="714"/>
      <c r="N2" s="714" t="s">
        <v>800</v>
      </c>
      <c r="O2" s="714"/>
      <c r="P2" s="714"/>
      <c r="Q2" s="714" t="s">
        <v>119</v>
      </c>
      <c r="R2" s="714"/>
      <c r="S2" s="714"/>
      <c r="T2" s="359"/>
      <c r="U2" s="714" t="s">
        <v>799</v>
      </c>
      <c r="V2" s="714"/>
      <c r="W2" s="714"/>
      <c r="X2" s="714" t="s">
        <v>800</v>
      </c>
      <c r="Y2" s="714"/>
      <c r="Z2" s="714"/>
      <c r="AA2" s="714" t="s">
        <v>119</v>
      </c>
      <c r="AB2" s="714"/>
      <c r="AC2" s="715"/>
      <c r="AF2" s="716" t="s">
        <v>112</v>
      </c>
      <c r="AG2" s="717"/>
      <c r="AH2" s="717"/>
      <c r="AI2" s="717"/>
      <c r="AJ2" s="717"/>
      <c r="AK2" s="717"/>
      <c r="AL2" s="718"/>
      <c r="AN2" s="716" t="s">
        <v>113</v>
      </c>
      <c r="AO2" s="717"/>
      <c r="AP2" s="717"/>
      <c r="AQ2" s="717"/>
      <c r="AR2" s="717"/>
      <c r="AS2" s="717"/>
      <c r="AT2" s="718"/>
    </row>
    <row r="3" spans="1:55" ht="15.75" thickBot="1" x14ac:dyDescent="0.3">
      <c r="AF3" s="714" t="s">
        <v>800</v>
      </c>
      <c r="AG3" s="714"/>
      <c r="AH3" s="714"/>
      <c r="AJ3" s="714" t="s">
        <v>800</v>
      </c>
      <c r="AK3" s="714"/>
      <c r="AL3" s="714"/>
      <c r="AN3" s="714" t="s">
        <v>800</v>
      </c>
      <c r="AO3" s="714"/>
      <c r="AP3" s="714"/>
      <c r="AR3" s="714" t="s">
        <v>800</v>
      </c>
      <c r="AS3" s="714"/>
      <c r="AT3" s="714"/>
      <c r="AW3" s="714" t="s">
        <v>800</v>
      </c>
      <c r="AX3" s="714"/>
      <c r="AY3" s="714"/>
      <c r="BA3" s="714" t="s">
        <v>800</v>
      </c>
      <c r="BB3" s="714"/>
      <c r="BC3" s="714"/>
    </row>
    <row r="4" spans="1:55" x14ac:dyDescent="0.25">
      <c r="A4" s="360" t="s">
        <v>1273</v>
      </c>
      <c r="B4" s="360" t="s">
        <v>1274</v>
      </c>
      <c r="C4" s="360" t="s">
        <v>995</v>
      </c>
      <c r="D4" s="360" t="s">
        <v>996</v>
      </c>
      <c r="E4" s="360" t="s">
        <v>997</v>
      </c>
      <c r="F4" s="360" t="s">
        <v>1446</v>
      </c>
      <c r="G4" s="360" t="s">
        <v>1458</v>
      </c>
      <c r="H4" s="360" t="s">
        <v>1459</v>
      </c>
      <c r="I4" s="360" t="s">
        <v>1429</v>
      </c>
      <c r="K4" s="360" t="s">
        <v>995</v>
      </c>
      <c r="L4" s="360" t="s">
        <v>996</v>
      </c>
      <c r="M4" s="360" t="s">
        <v>997</v>
      </c>
      <c r="N4" s="360" t="s">
        <v>995</v>
      </c>
      <c r="O4" s="360" t="s">
        <v>996</v>
      </c>
      <c r="P4" s="360" t="s">
        <v>997</v>
      </c>
      <c r="Q4" s="360" t="s">
        <v>995</v>
      </c>
      <c r="R4" s="360" t="s">
        <v>996</v>
      </c>
      <c r="S4" s="360" t="s">
        <v>997</v>
      </c>
      <c r="T4" s="360"/>
      <c r="U4" s="360" t="s">
        <v>1508</v>
      </c>
      <c r="V4" s="360" t="s">
        <v>1458</v>
      </c>
      <c r="W4" s="360" t="s">
        <v>1459</v>
      </c>
      <c r="X4" s="360" t="s">
        <v>1508</v>
      </c>
      <c r="Y4" s="360" t="s">
        <v>1458</v>
      </c>
      <c r="Z4" s="360" t="s">
        <v>1459</v>
      </c>
      <c r="AA4" s="360" t="s">
        <v>1508</v>
      </c>
      <c r="AB4" s="360" t="s">
        <v>1458</v>
      </c>
      <c r="AC4" s="360" t="s">
        <v>1459</v>
      </c>
      <c r="AF4" s="360" t="s">
        <v>995</v>
      </c>
      <c r="AG4" s="360" t="s">
        <v>996</v>
      </c>
      <c r="AH4" s="360" t="s">
        <v>997</v>
      </c>
      <c r="AJ4" s="360" t="s">
        <v>1508</v>
      </c>
      <c r="AK4" s="360" t="s">
        <v>1458</v>
      </c>
      <c r="AL4" s="360" t="s">
        <v>1459</v>
      </c>
      <c r="AN4" s="360" t="s">
        <v>995</v>
      </c>
      <c r="AO4" s="360" t="s">
        <v>996</v>
      </c>
      <c r="AP4" s="360" t="s">
        <v>997</v>
      </c>
      <c r="AR4" s="360" t="s">
        <v>1508</v>
      </c>
      <c r="AS4" s="360" t="s">
        <v>1458</v>
      </c>
      <c r="AT4" s="360" t="s">
        <v>1459</v>
      </c>
      <c r="AV4" s="360" t="s">
        <v>115</v>
      </c>
      <c r="AW4" s="360" t="s">
        <v>995</v>
      </c>
      <c r="AX4" s="360" t="s">
        <v>996</v>
      </c>
      <c r="AY4" s="360" t="s">
        <v>997</v>
      </c>
      <c r="BA4" s="360" t="s">
        <v>1508</v>
      </c>
      <c r="BB4" s="360" t="s">
        <v>1458</v>
      </c>
      <c r="BC4" s="360" t="s">
        <v>1459</v>
      </c>
    </row>
    <row r="5" spans="1:55" ht="15" customHeight="1" x14ac:dyDescent="0.25">
      <c r="A5" s="40" t="s">
        <v>1003</v>
      </c>
      <c r="B5" s="18">
        <v>4026</v>
      </c>
      <c r="C5" s="626">
        <v>2910822.12</v>
      </c>
      <c r="D5" s="626">
        <v>0</v>
      </c>
      <c r="E5" s="626">
        <v>27104.880000000001</v>
      </c>
      <c r="F5" s="626">
        <v>0</v>
      </c>
      <c r="G5" s="626">
        <v>0</v>
      </c>
      <c r="H5" s="626">
        <v>0</v>
      </c>
      <c r="I5" s="627">
        <f t="shared" ref="I5:I55" si="0">SUM(C5:H5)</f>
        <v>2937927</v>
      </c>
      <c r="J5" s="628"/>
      <c r="K5" s="627">
        <v>0</v>
      </c>
      <c r="L5" s="627">
        <v>0</v>
      </c>
      <c r="M5" s="627">
        <v>0</v>
      </c>
      <c r="N5" s="627">
        <f>IF('Plant Total by Account'!$J$1=1,AF5,IF('Plant Total by Account'!$J$1=2,AN5,"Input Toggle"))</f>
        <v>2910822.12</v>
      </c>
      <c r="O5" s="627">
        <f>IF('Plant Total by Account'!$J$1=1,AG5,IF('Plant Total by Account'!$J$1=2,AO5,"Input Toggle"))</f>
        <v>0</v>
      </c>
      <c r="P5" s="627">
        <f>IF('Plant Total by Account'!$J$1=1,AH5,IF('Plant Total by Account'!$J$1=2,AP5,"Input Toggle"))</f>
        <v>27104.880000000001</v>
      </c>
      <c r="Q5" s="627">
        <f>C5-N5</f>
        <v>0</v>
      </c>
      <c r="R5" s="627">
        <f>IF((D5-O5)&lt;0,D5,D5-O5)</f>
        <v>0</v>
      </c>
      <c r="S5" s="627">
        <f>E5-P5</f>
        <v>0</v>
      </c>
      <c r="T5" s="388"/>
      <c r="U5" s="627">
        <v>0</v>
      </c>
      <c r="V5" s="627">
        <v>0</v>
      </c>
      <c r="W5" s="627">
        <v>0</v>
      </c>
      <c r="X5" s="627">
        <f>IF('Plant Total by Account'!$J$1=1,AJ5,IF('Plant Total by Account'!$J$1=2,AR5,"Input Toggle"))</f>
        <v>0</v>
      </c>
      <c r="Y5" s="627">
        <f>IF('Plant Total by Account'!$J$1=1,AK5,IF('Plant Total by Account'!$J$1=2,AS5,"Input Toggle"))</f>
        <v>0</v>
      </c>
      <c r="Z5" s="627">
        <f>IF('Plant Total by Account'!$J$1=1,AL5,IF('Plant Total by Account'!$J$1=2,AT5,"Input Toggle"))</f>
        <v>0</v>
      </c>
      <c r="AA5" s="627">
        <f t="shared" ref="AA5:AA67" si="1">F5-X5</f>
        <v>0</v>
      </c>
      <c r="AB5" s="627">
        <f t="shared" ref="AB5:AB67" si="2">G5-Y5</f>
        <v>0</v>
      </c>
      <c r="AC5" s="627">
        <f t="shared" ref="AC5:AC67" si="3">H5-Z5</f>
        <v>0</v>
      </c>
      <c r="AD5" s="388">
        <f t="shared" ref="AD5:AD67" si="4">I5-SUM(K5:AC5)</f>
        <v>0</v>
      </c>
      <c r="AE5" s="388"/>
      <c r="AF5" s="627">
        <f>SUMIF('ISO w_System Splits'!$D$8:$D$469,$B5,'ISO w_System Splits'!H$8:H$469)</f>
        <v>2910822.12</v>
      </c>
      <c r="AG5" s="627">
        <f>SUMIF('ISO w_System Splits'!$D$8:$D$469,$B5,'ISO w_System Splits'!I$8:I$469)</f>
        <v>0</v>
      </c>
      <c r="AH5" s="627">
        <f>SUMIF('ISO w_System Splits'!$D$8:$D$469,$B5,'ISO w_System Splits'!J$8:J$469)</f>
        <v>27104.880000000001</v>
      </c>
      <c r="AI5" s="388"/>
      <c r="AJ5" s="627">
        <v>0</v>
      </c>
      <c r="AK5" s="627">
        <v>0</v>
      </c>
      <c r="AL5" s="627">
        <v>0</v>
      </c>
      <c r="AM5" s="388"/>
      <c r="AN5" s="627">
        <f>SUMIF('ISO w_System Splits'!$D$8:$D$615,$B5,'ISO w_System Splits'!H$8:H$615)-SUMIF('ISO w_System Splits'!$D$470:$D$520,$B5,'ISO w_System Splits'!H$470:H$520)</f>
        <v>2910822.12</v>
      </c>
      <c r="AO5" s="627">
        <f>SUMIF('ISO w_System Splits'!$D$8:$D$615,$B5,'ISO w_System Splits'!I$8:I$615)-SUMIF('ISO w_System Splits'!$D$470:$D$520,$B5,'ISO w_System Splits'!I$470:I$520)</f>
        <v>0</v>
      </c>
      <c r="AP5" s="627">
        <f>SUMIF('ISO w_System Splits'!$D$8:$D$615,$B5,'ISO w_System Splits'!J$8:J$615)-SUMIF('ISO w_System Splits'!$D$470:$D$520,$B5,'ISO w_System Splits'!J$470:J$520)</f>
        <v>27104.880000000001</v>
      </c>
      <c r="AQ5" s="388"/>
      <c r="AR5" s="627">
        <v>0</v>
      </c>
      <c r="AS5" s="627">
        <v>0</v>
      </c>
      <c r="AT5" s="627">
        <v>0</v>
      </c>
      <c r="AW5" s="95">
        <f t="shared" ref="AW5:AW36" si="5">AF:AF-AN:AN</f>
        <v>0</v>
      </c>
      <c r="AX5" s="95">
        <f t="shared" ref="AX5:AX36" si="6">AG:AG-AO:AO</f>
        <v>0</v>
      </c>
      <c r="AY5" s="95">
        <f t="shared" ref="AY5:AY36" si="7">AH:AH-AP:AP</f>
        <v>0</v>
      </c>
      <c r="BA5" s="95">
        <f t="shared" ref="BA5:BA36" si="8">AJ:AJ-AR:AR</f>
        <v>0</v>
      </c>
      <c r="BB5" s="95">
        <f t="shared" ref="BB5:BB36" si="9">AK:AK-AS:AS</f>
        <v>0</v>
      </c>
      <c r="BC5" s="95">
        <f t="shared" ref="BC5:BC36" si="10">AL:AL-AT:AT</f>
        <v>0</v>
      </c>
    </row>
    <row r="6" spans="1:55" ht="15" customHeight="1" x14ac:dyDescent="0.25">
      <c r="A6" s="40" t="s">
        <v>1000</v>
      </c>
      <c r="B6" s="18">
        <v>4031</v>
      </c>
      <c r="C6" s="626">
        <v>0</v>
      </c>
      <c r="D6" s="626">
        <v>95840.85</v>
      </c>
      <c r="E6" s="626">
        <v>0</v>
      </c>
      <c r="F6" s="626">
        <v>0</v>
      </c>
      <c r="G6" s="626">
        <v>0</v>
      </c>
      <c r="H6" s="626">
        <v>0</v>
      </c>
      <c r="I6" s="627">
        <f t="shared" si="0"/>
        <v>95840.85</v>
      </c>
      <c r="J6" s="628"/>
      <c r="K6" s="627">
        <v>0</v>
      </c>
      <c r="L6" s="627">
        <v>0</v>
      </c>
      <c r="M6" s="627">
        <v>0</v>
      </c>
      <c r="N6" s="627">
        <f>IF('Plant Total by Account'!$J$1=1,AF6,IF('Plant Total by Account'!$J$1=2,AN6,"Input Toggle"))</f>
        <v>0</v>
      </c>
      <c r="O6" s="627">
        <f>IF('Plant Total by Account'!$J$1=1,AG6,IF('Plant Total by Account'!$J$1=2,AO6,"Input Toggle"))</f>
        <v>95840.85</v>
      </c>
      <c r="P6" s="627">
        <f>IF('Plant Total by Account'!$J$1=1,AH6,IF('Plant Total by Account'!$J$1=2,AP6,"Input Toggle"))</f>
        <v>0</v>
      </c>
      <c r="Q6" s="627">
        <f t="shared" ref="Q6:Q68" si="11">C6-N6</f>
        <v>0</v>
      </c>
      <c r="R6" s="627">
        <f t="shared" ref="R6:R68" si="12">IF((D6-O6)&lt;0,D6,D6-O6)</f>
        <v>0</v>
      </c>
      <c r="S6" s="627">
        <f t="shared" ref="S6:S68" si="13">E6-P6</f>
        <v>0</v>
      </c>
      <c r="T6" s="388"/>
      <c r="U6" s="627">
        <v>0</v>
      </c>
      <c r="V6" s="627">
        <v>0</v>
      </c>
      <c r="W6" s="627">
        <v>0</v>
      </c>
      <c r="X6" s="627">
        <f>IF('Plant Total by Account'!$J$1=1,AJ6,IF('Plant Total by Account'!$J$1=2,AR6,"Input Toggle"))</f>
        <v>0</v>
      </c>
      <c r="Y6" s="627">
        <f>IF('Plant Total by Account'!$J$1=1,AK6,IF('Plant Total by Account'!$J$1=2,AS6,"Input Toggle"))</f>
        <v>0</v>
      </c>
      <c r="Z6" s="627">
        <f>IF('Plant Total by Account'!$J$1=1,AL6,IF('Plant Total by Account'!$J$1=2,AT6,"Input Toggle"))</f>
        <v>0</v>
      </c>
      <c r="AA6" s="627">
        <f t="shared" si="1"/>
        <v>0</v>
      </c>
      <c r="AB6" s="627">
        <f t="shared" si="2"/>
        <v>0</v>
      </c>
      <c r="AC6" s="627">
        <f t="shared" si="3"/>
        <v>0</v>
      </c>
      <c r="AD6" s="388">
        <f t="shared" si="4"/>
        <v>0</v>
      </c>
      <c r="AE6" s="388"/>
      <c r="AF6" s="627">
        <f>SUMIF('ISO w_System Splits'!$D$8:$D$469,$B6,'ISO w_System Splits'!H$8:H$469)</f>
        <v>0</v>
      </c>
      <c r="AG6" s="627">
        <f>SUMIF('ISO w_System Splits'!$D$8:$D$469,$B6,'ISO w_System Splits'!I$8:I$469)</f>
        <v>95840.85</v>
      </c>
      <c r="AH6" s="627">
        <f>SUMIF('ISO w_System Splits'!$D$8:$D$469,$B6,'ISO w_System Splits'!J$8:J$469)</f>
        <v>0</v>
      </c>
      <c r="AI6" s="388"/>
      <c r="AJ6" s="627">
        <v>0</v>
      </c>
      <c r="AK6" s="627">
        <v>0</v>
      </c>
      <c r="AL6" s="627">
        <v>0</v>
      </c>
      <c r="AM6" s="388"/>
      <c r="AN6" s="627">
        <f>SUMIF('ISO w_System Splits'!$D$8:$D$615,$B6,'ISO w_System Splits'!H$8:H$615)-SUMIF('ISO w_System Splits'!$D$470:$D$520,$B6,'ISO w_System Splits'!H$470:H$520)</f>
        <v>0</v>
      </c>
      <c r="AO6" s="627">
        <f>SUMIF('ISO w_System Splits'!$D$8:$D$615,$B6,'ISO w_System Splits'!I$8:I$615)-SUMIF('ISO w_System Splits'!$D$470:$D$520,$B6,'ISO w_System Splits'!I$470:I$520)</f>
        <v>95840.85</v>
      </c>
      <c r="AP6" s="627">
        <f>SUMIF('ISO w_System Splits'!$D$8:$D$615,$B6,'ISO w_System Splits'!J$8:J$615)-SUMIF('ISO w_System Splits'!$D$470:$D$520,$B6,'ISO w_System Splits'!J$470:J$520)</f>
        <v>0</v>
      </c>
      <c r="AQ6" s="388"/>
      <c r="AR6" s="627">
        <v>0</v>
      </c>
      <c r="AS6" s="627">
        <v>0</v>
      </c>
      <c r="AT6" s="627">
        <v>0</v>
      </c>
      <c r="AW6" s="95">
        <f t="shared" si="5"/>
        <v>0</v>
      </c>
      <c r="AX6" s="95">
        <f t="shared" si="6"/>
        <v>0</v>
      </c>
      <c r="AY6" s="95">
        <f t="shared" si="7"/>
        <v>0</v>
      </c>
      <c r="BA6" s="95">
        <f t="shared" si="8"/>
        <v>0</v>
      </c>
      <c r="BB6" s="95">
        <f t="shared" si="9"/>
        <v>0</v>
      </c>
      <c r="BC6" s="95">
        <f t="shared" si="10"/>
        <v>0</v>
      </c>
    </row>
    <row r="7" spans="1:55" ht="15" customHeight="1" x14ac:dyDescent="0.25">
      <c r="A7" s="40" t="s">
        <v>1001</v>
      </c>
      <c r="B7" s="18">
        <v>4034</v>
      </c>
      <c r="C7" s="626">
        <v>0</v>
      </c>
      <c r="D7" s="626">
        <v>540.83000000000004</v>
      </c>
      <c r="E7" s="626">
        <v>0</v>
      </c>
      <c r="F7" s="626">
        <v>0</v>
      </c>
      <c r="G7" s="626">
        <v>0</v>
      </c>
      <c r="H7" s="626">
        <v>0</v>
      </c>
      <c r="I7" s="627">
        <f t="shared" si="0"/>
        <v>540.83000000000004</v>
      </c>
      <c r="J7" s="628"/>
      <c r="K7" s="627">
        <v>0</v>
      </c>
      <c r="L7" s="627">
        <v>0</v>
      </c>
      <c r="M7" s="627">
        <v>0</v>
      </c>
      <c r="N7" s="627">
        <f>IF('Plant Total by Account'!$J$1=1,AF7,IF('Plant Total by Account'!$J$1=2,AN7,"Input Toggle"))</f>
        <v>0</v>
      </c>
      <c r="O7" s="627">
        <f>IF('Plant Total by Account'!$J$1=1,AG7,IF('Plant Total by Account'!$J$1=2,AO7,"Input Toggle"))</f>
        <v>540.83000000000004</v>
      </c>
      <c r="P7" s="627">
        <f>IF('Plant Total by Account'!$J$1=1,AH7,IF('Plant Total by Account'!$J$1=2,AP7,"Input Toggle"))</f>
        <v>0</v>
      </c>
      <c r="Q7" s="627">
        <f t="shared" si="11"/>
        <v>0</v>
      </c>
      <c r="R7" s="627">
        <f t="shared" si="12"/>
        <v>0</v>
      </c>
      <c r="S7" s="627">
        <f t="shared" si="13"/>
        <v>0</v>
      </c>
      <c r="T7" s="388"/>
      <c r="U7" s="627">
        <v>0</v>
      </c>
      <c r="V7" s="627">
        <v>0</v>
      </c>
      <c r="W7" s="627">
        <v>0</v>
      </c>
      <c r="X7" s="627">
        <f>IF('Plant Total by Account'!$J$1=1,AJ7,IF('Plant Total by Account'!$J$1=2,AR7,"Input Toggle"))</f>
        <v>0</v>
      </c>
      <c r="Y7" s="627">
        <f>IF('Plant Total by Account'!$J$1=1,AK7,IF('Plant Total by Account'!$J$1=2,AS7,"Input Toggle"))</f>
        <v>0</v>
      </c>
      <c r="Z7" s="627">
        <f>IF('Plant Total by Account'!$J$1=1,AL7,IF('Plant Total by Account'!$J$1=2,AT7,"Input Toggle"))</f>
        <v>0</v>
      </c>
      <c r="AA7" s="627">
        <f t="shared" si="1"/>
        <v>0</v>
      </c>
      <c r="AB7" s="627">
        <f t="shared" si="2"/>
        <v>0</v>
      </c>
      <c r="AC7" s="627">
        <f t="shared" si="3"/>
        <v>0</v>
      </c>
      <c r="AD7" s="388">
        <f t="shared" si="4"/>
        <v>0</v>
      </c>
      <c r="AE7" s="388"/>
      <c r="AF7" s="627">
        <f>SUMIF('ISO w_System Splits'!$D$8:$D$469,$B7,'ISO w_System Splits'!H$8:H$469)</f>
        <v>0</v>
      </c>
      <c r="AG7" s="627">
        <f>SUMIF('ISO w_System Splits'!$D$8:$D$469,$B7,'ISO w_System Splits'!I$8:I$469)</f>
        <v>540.83000000000004</v>
      </c>
      <c r="AH7" s="627">
        <f>SUMIF('ISO w_System Splits'!$D$8:$D$469,$B7,'ISO w_System Splits'!J$8:J$469)</f>
        <v>0</v>
      </c>
      <c r="AI7" s="388"/>
      <c r="AJ7" s="627">
        <v>0</v>
      </c>
      <c r="AK7" s="627">
        <v>0</v>
      </c>
      <c r="AL7" s="627">
        <v>0</v>
      </c>
      <c r="AM7" s="388"/>
      <c r="AN7" s="627">
        <f>SUMIF('ISO w_System Splits'!$D$8:$D$615,$B7,'ISO w_System Splits'!H$8:H$615)-SUMIF('ISO w_System Splits'!$D$470:$D$520,$B7,'ISO w_System Splits'!H$470:H$520)</f>
        <v>0</v>
      </c>
      <c r="AO7" s="627">
        <f>SUMIF('ISO w_System Splits'!$D$8:$D$615,$B7,'ISO w_System Splits'!I$8:I$615)-SUMIF('ISO w_System Splits'!$D$470:$D$520,$B7,'ISO w_System Splits'!I$470:I$520)</f>
        <v>540.83000000000004</v>
      </c>
      <c r="AP7" s="627">
        <f>SUMIF('ISO w_System Splits'!$D$8:$D$615,$B7,'ISO w_System Splits'!J$8:J$615)-SUMIF('ISO w_System Splits'!$D$470:$D$520,$B7,'ISO w_System Splits'!J$470:J$520)</f>
        <v>0</v>
      </c>
      <c r="AQ7" s="388"/>
      <c r="AR7" s="627">
        <v>0</v>
      </c>
      <c r="AS7" s="627">
        <v>0</v>
      </c>
      <c r="AT7" s="627">
        <v>0</v>
      </c>
      <c r="AW7" s="95">
        <f t="shared" si="5"/>
        <v>0</v>
      </c>
      <c r="AX7" s="95">
        <f t="shared" si="6"/>
        <v>0</v>
      </c>
      <c r="AY7" s="95">
        <f t="shared" si="7"/>
        <v>0</v>
      </c>
      <c r="BA7" s="95">
        <f t="shared" si="8"/>
        <v>0</v>
      </c>
      <c r="BB7" s="95">
        <f t="shared" si="9"/>
        <v>0</v>
      </c>
      <c r="BC7" s="95">
        <f t="shared" si="10"/>
        <v>0</v>
      </c>
    </row>
    <row r="8" spans="1:55" ht="15" customHeight="1" x14ac:dyDescent="0.25">
      <c r="A8" s="40" t="s">
        <v>1316</v>
      </c>
      <c r="B8" s="18">
        <v>4045</v>
      </c>
      <c r="C8" s="626">
        <v>179131.19</v>
      </c>
      <c r="D8" s="626">
        <v>0</v>
      </c>
      <c r="E8" s="626">
        <v>0</v>
      </c>
      <c r="F8" s="626">
        <v>0</v>
      </c>
      <c r="G8" s="626">
        <v>0</v>
      </c>
      <c r="H8" s="626">
        <v>0</v>
      </c>
      <c r="I8" s="627">
        <f t="shared" si="0"/>
        <v>179131.19</v>
      </c>
      <c r="J8" s="628"/>
      <c r="K8" s="627">
        <v>0</v>
      </c>
      <c r="L8" s="627">
        <v>0</v>
      </c>
      <c r="M8" s="627">
        <v>0</v>
      </c>
      <c r="N8" s="627">
        <f>IF('Plant Total by Account'!$J$1=1,AF8,IF('Plant Total by Account'!$J$1=2,AN8,"Input Toggle"))</f>
        <v>179131.18999999997</v>
      </c>
      <c r="O8" s="627">
        <f>IF('Plant Total by Account'!$J$1=1,AG8,IF('Plant Total by Account'!$J$1=2,AO8,"Input Toggle"))</f>
        <v>0</v>
      </c>
      <c r="P8" s="627">
        <f>IF('Plant Total by Account'!$J$1=1,AH8,IF('Plant Total by Account'!$J$1=2,AP8,"Input Toggle"))</f>
        <v>0</v>
      </c>
      <c r="Q8" s="627">
        <f t="shared" si="11"/>
        <v>0</v>
      </c>
      <c r="R8" s="627">
        <f t="shared" si="12"/>
        <v>0</v>
      </c>
      <c r="S8" s="627">
        <f t="shared" si="13"/>
        <v>0</v>
      </c>
      <c r="T8" s="388"/>
      <c r="U8" s="627">
        <v>0</v>
      </c>
      <c r="V8" s="627">
        <v>0</v>
      </c>
      <c r="W8" s="627">
        <v>0</v>
      </c>
      <c r="X8" s="627">
        <f>IF('Plant Total by Account'!$J$1=1,AJ8,IF('Plant Total by Account'!$J$1=2,AR8,"Input Toggle"))</f>
        <v>0</v>
      </c>
      <c r="Y8" s="627">
        <f>IF('Plant Total by Account'!$J$1=1,AK8,IF('Plant Total by Account'!$J$1=2,AS8,"Input Toggle"))</f>
        <v>0</v>
      </c>
      <c r="Z8" s="627">
        <f>IF('Plant Total by Account'!$J$1=1,AL8,IF('Plant Total by Account'!$J$1=2,AT8,"Input Toggle"))</f>
        <v>0</v>
      </c>
      <c r="AA8" s="627">
        <f t="shared" si="1"/>
        <v>0</v>
      </c>
      <c r="AB8" s="627">
        <f t="shared" si="2"/>
        <v>0</v>
      </c>
      <c r="AC8" s="627">
        <f t="shared" si="3"/>
        <v>0</v>
      </c>
      <c r="AD8" s="388">
        <f t="shared" si="4"/>
        <v>0</v>
      </c>
      <c r="AE8" s="388"/>
      <c r="AF8" s="627">
        <f>SUMIF('ISO w_System Splits'!$D$8:$D$469,$B8,'ISO w_System Splits'!H$8:H$469)</f>
        <v>179131.18999999997</v>
      </c>
      <c r="AG8" s="627">
        <f>SUMIF('ISO w_System Splits'!$D$8:$D$469,$B8,'ISO w_System Splits'!I$8:I$469)</f>
        <v>0</v>
      </c>
      <c r="AH8" s="627">
        <f>SUMIF('ISO w_System Splits'!$D$8:$D$469,$B8,'ISO w_System Splits'!J$8:J$469)</f>
        <v>0</v>
      </c>
      <c r="AI8" s="388"/>
      <c r="AJ8" s="627">
        <v>0</v>
      </c>
      <c r="AK8" s="627">
        <v>0</v>
      </c>
      <c r="AL8" s="627">
        <v>0</v>
      </c>
      <c r="AM8" s="388"/>
      <c r="AN8" s="627">
        <f>SUMIF('ISO w_System Splits'!$D$8:$D$615,$B8,'ISO w_System Splits'!H$8:H$615)-SUMIF('ISO w_System Splits'!$D$470:$D$520,$B8,'ISO w_System Splits'!H$470:H$520)</f>
        <v>179131.18999999997</v>
      </c>
      <c r="AO8" s="627">
        <f>SUMIF('ISO w_System Splits'!$D$8:$D$615,$B8,'ISO w_System Splits'!I$8:I$615)-SUMIF('ISO w_System Splits'!$D$470:$D$520,$B8,'ISO w_System Splits'!I$470:I$520)</f>
        <v>0</v>
      </c>
      <c r="AP8" s="627">
        <f>SUMIF('ISO w_System Splits'!$D$8:$D$615,$B8,'ISO w_System Splits'!J$8:J$615)-SUMIF('ISO w_System Splits'!$D$470:$D$520,$B8,'ISO w_System Splits'!J$470:J$520)</f>
        <v>0</v>
      </c>
      <c r="AQ8" s="388"/>
      <c r="AR8" s="627">
        <v>0</v>
      </c>
      <c r="AS8" s="627">
        <v>0</v>
      </c>
      <c r="AT8" s="627">
        <v>0</v>
      </c>
      <c r="AW8" s="95">
        <f t="shared" si="5"/>
        <v>0</v>
      </c>
      <c r="AX8" s="95">
        <f t="shared" si="6"/>
        <v>0</v>
      </c>
      <c r="AY8" s="95">
        <f t="shared" si="7"/>
        <v>0</v>
      </c>
      <c r="BA8" s="95">
        <f t="shared" si="8"/>
        <v>0</v>
      </c>
      <c r="BB8" s="95">
        <f t="shared" si="9"/>
        <v>0</v>
      </c>
      <c r="BC8" s="95">
        <f t="shared" si="10"/>
        <v>0</v>
      </c>
    </row>
    <row r="9" spans="1:55" ht="15" customHeight="1" x14ac:dyDescent="0.25">
      <c r="A9" s="40" t="s">
        <v>1317</v>
      </c>
      <c r="B9" s="18">
        <v>4046</v>
      </c>
      <c r="C9" s="626">
        <v>186657</v>
      </c>
      <c r="D9" s="626">
        <v>0</v>
      </c>
      <c r="E9" s="626">
        <v>0</v>
      </c>
      <c r="F9" s="626">
        <v>0</v>
      </c>
      <c r="G9" s="626">
        <v>0</v>
      </c>
      <c r="H9" s="626">
        <v>0</v>
      </c>
      <c r="I9" s="627">
        <f t="shared" si="0"/>
        <v>186657</v>
      </c>
      <c r="J9" s="628"/>
      <c r="K9" s="627">
        <v>0</v>
      </c>
      <c r="L9" s="627">
        <v>0</v>
      </c>
      <c r="M9" s="627">
        <v>0</v>
      </c>
      <c r="N9" s="627">
        <f>IF('Plant Total by Account'!$J$1=1,AF9,IF('Plant Total by Account'!$J$1=2,AN9,"Input Toggle"))</f>
        <v>186657</v>
      </c>
      <c r="O9" s="627">
        <f>IF('Plant Total by Account'!$J$1=1,AG9,IF('Plant Total by Account'!$J$1=2,AO9,"Input Toggle"))</f>
        <v>0</v>
      </c>
      <c r="P9" s="627">
        <f>IF('Plant Total by Account'!$J$1=1,AH9,IF('Plant Total by Account'!$J$1=2,AP9,"Input Toggle"))</f>
        <v>0</v>
      </c>
      <c r="Q9" s="627">
        <f t="shared" si="11"/>
        <v>0</v>
      </c>
      <c r="R9" s="627">
        <f t="shared" si="12"/>
        <v>0</v>
      </c>
      <c r="S9" s="627">
        <f t="shared" si="13"/>
        <v>0</v>
      </c>
      <c r="T9" s="388"/>
      <c r="U9" s="627">
        <v>0</v>
      </c>
      <c r="V9" s="627">
        <v>0</v>
      </c>
      <c r="W9" s="627">
        <v>0</v>
      </c>
      <c r="X9" s="627">
        <f>IF('Plant Total by Account'!$J$1=1,AJ9,IF('Plant Total by Account'!$J$1=2,AR9,"Input Toggle"))</f>
        <v>0</v>
      </c>
      <c r="Y9" s="627">
        <f>IF('Plant Total by Account'!$J$1=1,AK9,IF('Plant Total by Account'!$J$1=2,AS9,"Input Toggle"))</f>
        <v>0</v>
      </c>
      <c r="Z9" s="627">
        <f>IF('Plant Total by Account'!$J$1=1,AL9,IF('Plant Total by Account'!$J$1=2,AT9,"Input Toggle"))</f>
        <v>0</v>
      </c>
      <c r="AA9" s="627">
        <f t="shared" si="1"/>
        <v>0</v>
      </c>
      <c r="AB9" s="627">
        <f t="shared" si="2"/>
        <v>0</v>
      </c>
      <c r="AC9" s="627">
        <f t="shared" si="3"/>
        <v>0</v>
      </c>
      <c r="AD9" s="388">
        <f t="shared" si="4"/>
        <v>0</v>
      </c>
      <c r="AE9" s="388"/>
      <c r="AF9" s="627">
        <f>SUMIF('ISO w_System Splits'!$D$8:$D$469,$B9,'ISO w_System Splits'!H$8:H$469)</f>
        <v>186657</v>
      </c>
      <c r="AG9" s="627">
        <f>SUMIF('ISO w_System Splits'!$D$8:$D$469,$B9,'ISO w_System Splits'!I$8:I$469)</f>
        <v>0</v>
      </c>
      <c r="AH9" s="627">
        <f>SUMIF('ISO w_System Splits'!$D$8:$D$469,$B9,'ISO w_System Splits'!J$8:J$469)</f>
        <v>0</v>
      </c>
      <c r="AI9" s="388"/>
      <c r="AJ9" s="627">
        <v>0</v>
      </c>
      <c r="AK9" s="627">
        <v>0</v>
      </c>
      <c r="AL9" s="627">
        <v>0</v>
      </c>
      <c r="AM9" s="388"/>
      <c r="AN9" s="627">
        <f>SUMIF('ISO w_System Splits'!$D$8:$D$615,$B9,'ISO w_System Splits'!H$8:H$615)-SUMIF('ISO w_System Splits'!$D$470:$D$520,$B9,'ISO w_System Splits'!H$470:H$520)</f>
        <v>186657</v>
      </c>
      <c r="AO9" s="627">
        <f>SUMIF('ISO w_System Splits'!$D$8:$D$615,$B9,'ISO w_System Splits'!I$8:I$615)-SUMIF('ISO w_System Splits'!$D$470:$D$520,$B9,'ISO w_System Splits'!I$470:I$520)</f>
        <v>0</v>
      </c>
      <c r="AP9" s="627">
        <f>SUMIF('ISO w_System Splits'!$D$8:$D$615,$B9,'ISO w_System Splits'!J$8:J$615)-SUMIF('ISO w_System Splits'!$D$470:$D$520,$B9,'ISO w_System Splits'!J$470:J$520)</f>
        <v>0</v>
      </c>
      <c r="AQ9" s="388"/>
      <c r="AR9" s="627">
        <v>0</v>
      </c>
      <c r="AS9" s="627">
        <v>0</v>
      </c>
      <c r="AT9" s="627">
        <v>0</v>
      </c>
      <c r="AW9" s="95">
        <f t="shared" si="5"/>
        <v>0</v>
      </c>
      <c r="AX9" s="95">
        <f t="shared" si="6"/>
        <v>0</v>
      </c>
      <c r="AY9" s="95">
        <f t="shared" si="7"/>
        <v>0</v>
      </c>
      <c r="BA9" s="95">
        <f t="shared" si="8"/>
        <v>0</v>
      </c>
      <c r="BB9" s="95">
        <f t="shared" si="9"/>
        <v>0</v>
      </c>
      <c r="BC9" s="95">
        <f t="shared" si="10"/>
        <v>0</v>
      </c>
    </row>
    <row r="10" spans="1:55" ht="15" customHeight="1" x14ac:dyDescent="0.25">
      <c r="A10" s="40" t="s">
        <v>1318</v>
      </c>
      <c r="B10" s="18">
        <v>4059</v>
      </c>
      <c r="C10" s="626">
        <v>13001.630000000001</v>
      </c>
      <c r="D10" s="626">
        <v>0</v>
      </c>
      <c r="E10" s="626">
        <v>0</v>
      </c>
      <c r="F10" s="626">
        <v>0</v>
      </c>
      <c r="G10" s="626">
        <v>0</v>
      </c>
      <c r="H10" s="626">
        <v>0</v>
      </c>
      <c r="I10" s="627">
        <f t="shared" si="0"/>
        <v>13001.630000000001</v>
      </c>
      <c r="J10" s="628"/>
      <c r="K10" s="627">
        <v>0</v>
      </c>
      <c r="L10" s="627">
        <v>0</v>
      </c>
      <c r="M10" s="627">
        <v>0</v>
      </c>
      <c r="N10" s="627">
        <f>IF('Plant Total by Account'!$J$1=1,AF10,IF('Plant Total by Account'!$J$1=2,AN10,"Input Toggle"))</f>
        <v>13001.63</v>
      </c>
      <c r="O10" s="627">
        <f>IF('Plant Total by Account'!$J$1=1,AG10,IF('Plant Total by Account'!$J$1=2,AO10,"Input Toggle"))</f>
        <v>0</v>
      </c>
      <c r="P10" s="627">
        <f>IF('Plant Total by Account'!$J$1=1,AH10,IF('Plant Total by Account'!$J$1=2,AP10,"Input Toggle"))</f>
        <v>0</v>
      </c>
      <c r="Q10" s="627">
        <f t="shared" si="11"/>
        <v>0</v>
      </c>
      <c r="R10" s="627">
        <f t="shared" si="12"/>
        <v>0</v>
      </c>
      <c r="S10" s="627">
        <f t="shared" si="13"/>
        <v>0</v>
      </c>
      <c r="T10" s="388"/>
      <c r="U10" s="627">
        <v>0</v>
      </c>
      <c r="V10" s="627">
        <v>0</v>
      </c>
      <c r="W10" s="627">
        <v>0</v>
      </c>
      <c r="X10" s="627">
        <f>IF('Plant Total by Account'!$J$1=1,AJ10,IF('Plant Total by Account'!$J$1=2,AR10,"Input Toggle"))</f>
        <v>0</v>
      </c>
      <c r="Y10" s="627">
        <f>IF('Plant Total by Account'!$J$1=1,AK10,IF('Plant Total by Account'!$J$1=2,AS10,"Input Toggle"))</f>
        <v>0</v>
      </c>
      <c r="Z10" s="627">
        <f>IF('Plant Total by Account'!$J$1=1,AL10,IF('Plant Total by Account'!$J$1=2,AT10,"Input Toggle"))</f>
        <v>0</v>
      </c>
      <c r="AA10" s="627">
        <f t="shared" si="1"/>
        <v>0</v>
      </c>
      <c r="AB10" s="627">
        <f t="shared" si="2"/>
        <v>0</v>
      </c>
      <c r="AC10" s="627">
        <f t="shared" si="3"/>
        <v>0</v>
      </c>
      <c r="AD10" s="388">
        <f t="shared" si="4"/>
        <v>0</v>
      </c>
      <c r="AE10" s="388"/>
      <c r="AF10" s="627">
        <f>SUMIF('ISO w_System Splits'!$D$8:$D$469,$B10,'ISO w_System Splits'!H$8:H$469)</f>
        <v>13001.63</v>
      </c>
      <c r="AG10" s="627">
        <f>SUMIF('ISO w_System Splits'!$D$8:$D$469,$B10,'ISO w_System Splits'!I$8:I$469)</f>
        <v>0</v>
      </c>
      <c r="AH10" s="627">
        <f>SUMIF('ISO w_System Splits'!$D$8:$D$469,$B10,'ISO w_System Splits'!J$8:J$469)</f>
        <v>0</v>
      </c>
      <c r="AI10" s="388"/>
      <c r="AJ10" s="627">
        <v>0</v>
      </c>
      <c r="AK10" s="627">
        <v>0</v>
      </c>
      <c r="AL10" s="627">
        <v>0</v>
      </c>
      <c r="AM10" s="388"/>
      <c r="AN10" s="627">
        <f>SUMIF('ISO w_System Splits'!$D$8:$D$615,$B10,'ISO w_System Splits'!H$8:H$615)-SUMIF('ISO w_System Splits'!$D$470:$D$520,$B10,'ISO w_System Splits'!H$470:H$520)</f>
        <v>13001.63</v>
      </c>
      <c r="AO10" s="627">
        <f>SUMIF('ISO w_System Splits'!$D$8:$D$615,$B10,'ISO w_System Splits'!I$8:I$615)-SUMIF('ISO w_System Splits'!$D$470:$D$520,$B10,'ISO w_System Splits'!I$470:I$520)</f>
        <v>0</v>
      </c>
      <c r="AP10" s="627">
        <f>SUMIF('ISO w_System Splits'!$D$8:$D$615,$B10,'ISO w_System Splits'!J$8:J$615)-SUMIF('ISO w_System Splits'!$D$470:$D$520,$B10,'ISO w_System Splits'!J$470:J$520)</f>
        <v>0</v>
      </c>
      <c r="AQ10" s="388"/>
      <c r="AR10" s="627">
        <v>0</v>
      </c>
      <c r="AS10" s="627">
        <v>0</v>
      </c>
      <c r="AT10" s="627">
        <v>0</v>
      </c>
      <c r="AW10" s="95">
        <f t="shared" si="5"/>
        <v>0</v>
      </c>
      <c r="AX10" s="95">
        <f t="shared" si="6"/>
        <v>0</v>
      </c>
      <c r="AY10" s="95">
        <f t="shared" si="7"/>
        <v>0</v>
      </c>
      <c r="BA10" s="95">
        <f t="shared" si="8"/>
        <v>0</v>
      </c>
      <c r="BB10" s="95">
        <f t="shared" si="9"/>
        <v>0</v>
      </c>
      <c r="BC10" s="95">
        <f t="shared" si="10"/>
        <v>0</v>
      </c>
    </row>
    <row r="11" spans="1:55" ht="15" customHeight="1" x14ac:dyDescent="0.25">
      <c r="A11" s="40" t="s">
        <v>1319</v>
      </c>
      <c r="B11" s="18">
        <v>4070</v>
      </c>
      <c r="C11" s="626">
        <v>61040.14</v>
      </c>
      <c r="D11" s="626">
        <v>0</v>
      </c>
      <c r="E11" s="626">
        <v>0</v>
      </c>
      <c r="F11" s="626">
        <v>0</v>
      </c>
      <c r="G11" s="626">
        <v>0</v>
      </c>
      <c r="H11" s="626">
        <v>0</v>
      </c>
      <c r="I11" s="627">
        <f t="shared" si="0"/>
        <v>61040.14</v>
      </c>
      <c r="J11" s="628"/>
      <c r="K11" s="627">
        <v>0</v>
      </c>
      <c r="L11" s="627">
        <v>0</v>
      </c>
      <c r="M11" s="627">
        <v>0</v>
      </c>
      <c r="N11" s="627">
        <f>IF('Plant Total by Account'!$J$1=1,AF11,IF('Plant Total by Account'!$J$1=2,AN11,"Input Toggle"))</f>
        <v>61040.14</v>
      </c>
      <c r="O11" s="627">
        <f>IF('Plant Total by Account'!$J$1=1,AG11,IF('Plant Total by Account'!$J$1=2,AO11,"Input Toggle"))</f>
        <v>0</v>
      </c>
      <c r="P11" s="627">
        <f>IF('Plant Total by Account'!$J$1=1,AH11,IF('Plant Total by Account'!$J$1=2,AP11,"Input Toggle"))</f>
        <v>0</v>
      </c>
      <c r="Q11" s="627">
        <f t="shared" si="11"/>
        <v>0</v>
      </c>
      <c r="R11" s="627">
        <f t="shared" si="12"/>
        <v>0</v>
      </c>
      <c r="S11" s="627">
        <f t="shared" si="13"/>
        <v>0</v>
      </c>
      <c r="T11" s="388"/>
      <c r="U11" s="627">
        <v>0</v>
      </c>
      <c r="V11" s="627">
        <v>0</v>
      </c>
      <c r="W11" s="627">
        <v>0</v>
      </c>
      <c r="X11" s="627">
        <f>IF('Plant Total by Account'!$J$1=1,AJ11,IF('Plant Total by Account'!$J$1=2,AR11,"Input Toggle"))</f>
        <v>0</v>
      </c>
      <c r="Y11" s="627">
        <f>IF('Plant Total by Account'!$J$1=1,AK11,IF('Plant Total by Account'!$J$1=2,AS11,"Input Toggle"))</f>
        <v>0</v>
      </c>
      <c r="Z11" s="627">
        <f>IF('Plant Total by Account'!$J$1=1,AL11,IF('Plant Total by Account'!$J$1=2,AT11,"Input Toggle"))</f>
        <v>0</v>
      </c>
      <c r="AA11" s="627">
        <f t="shared" si="1"/>
        <v>0</v>
      </c>
      <c r="AB11" s="627">
        <f t="shared" si="2"/>
        <v>0</v>
      </c>
      <c r="AC11" s="627">
        <f t="shared" si="3"/>
        <v>0</v>
      </c>
      <c r="AD11" s="388">
        <f t="shared" si="4"/>
        <v>0</v>
      </c>
      <c r="AE11" s="388"/>
      <c r="AF11" s="627">
        <f>SUMIF('ISO w_System Splits'!$D$8:$D$469,$B11,'ISO w_System Splits'!H$8:H$469)</f>
        <v>61040.14</v>
      </c>
      <c r="AG11" s="627">
        <f>SUMIF('ISO w_System Splits'!$D$8:$D$469,$B11,'ISO w_System Splits'!I$8:I$469)</f>
        <v>0</v>
      </c>
      <c r="AH11" s="627">
        <f>SUMIF('ISO w_System Splits'!$D$8:$D$469,$B11,'ISO w_System Splits'!J$8:J$469)</f>
        <v>0</v>
      </c>
      <c r="AI11" s="388"/>
      <c r="AJ11" s="627">
        <v>0</v>
      </c>
      <c r="AK11" s="627">
        <v>0</v>
      </c>
      <c r="AL11" s="627">
        <v>0</v>
      </c>
      <c r="AM11" s="388"/>
      <c r="AN11" s="627">
        <f>SUMIF('ISO w_System Splits'!$D$8:$D$615,$B11,'ISO w_System Splits'!H$8:H$615)-SUMIF('ISO w_System Splits'!$D$470:$D$520,$B11,'ISO w_System Splits'!H$470:H$520)</f>
        <v>61040.14</v>
      </c>
      <c r="AO11" s="627">
        <f>SUMIF('ISO w_System Splits'!$D$8:$D$615,$B11,'ISO w_System Splits'!I$8:I$615)-SUMIF('ISO w_System Splits'!$D$470:$D$520,$B11,'ISO w_System Splits'!I$470:I$520)</f>
        <v>0</v>
      </c>
      <c r="AP11" s="627">
        <f>SUMIF('ISO w_System Splits'!$D$8:$D$615,$B11,'ISO w_System Splits'!J$8:J$615)-SUMIF('ISO w_System Splits'!$D$470:$D$520,$B11,'ISO w_System Splits'!J$470:J$520)</f>
        <v>0</v>
      </c>
      <c r="AQ11" s="388"/>
      <c r="AR11" s="627">
        <v>0</v>
      </c>
      <c r="AS11" s="627">
        <v>0</v>
      </c>
      <c r="AT11" s="627">
        <v>0</v>
      </c>
      <c r="AW11" s="95">
        <f t="shared" si="5"/>
        <v>0</v>
      </c>
      <c r="AX11" s="95">
        <f t="shared" si="6"/>
        <v>0</v>
      </c>
      <c r="AY11" s="95">
        <f t="shared" si="7"/>
        <v>0</v>
      </c>
      <c r="BA11" s="95">
        <f t="shared" si="8"/>
        <v>0</v>
      </c>
      <c r="BB11" s="95">
        <f t="shared" si="9"/>
        <v>0</v>
      </c>
      <c r="BC11" s="95">
        <f t="shared" si="10"/>
        <v>0</v>
      </c>
    </row>
    <row r="12" spans="1:55" ht="15" customHeight="1" x14ac:dyDescent="0.25">
      <c r="A12" s="40" t="s">
        <v>1433</v>
      </c>
      <c r="B12" s="18">
        <v>4101</v>
      </c>
      <c r="C12" s="626">
        <v>1458517.0799999998</v>
      </c>
      <c r="D12" s="626">
        <v>278181.34999999998</v>
      </c>
      <c r="E12" s="626">
        <v>98474.790000000008</v>
      </c>
      <c r="F12" s="626">
        <v>0</v>
      </c>
      <c r="G12" s="626">
        <v>0</v>
      </c>
      <c r="H12" s="626">
        <v>0</v>
      </c>
      <c r="I12" s="627">
        <f t="shared" si="0"/>
        <v>1835173.2199999997</v>
      </c>
      <c r="J12" s="628"/>
      <c r="K12" s="627">
        <v>0</v>
      </c>
      <c r="L12" s="627">
        <v>0</v>
      </c>
      <c r="M12" s="627">
        <v>0</v>
      </c>
      <c r="N12" s="627">
        <f>IF('Plant Total by Account'!$J$1=1,AF12,IF('Plant Total by Account'!$J$1=2,AN12,"Input Toggle"))</f>
        <v>1418562.1815764289</v>
      </c>
      <c r="O12" s="627">
        <f>IF('Plant Total by Account'!$J$1=1,AG12,IF('Plant Total by Account'!$J$1=2,AO12,"Input Toggle"))</f>
        <v>270518.33933738939</v>
      </c>
      <c r="P12" s="627">
        <f>IF('Plant Total by Account'!$J$1=1,AH12,IF('Plant Total by Account'!$J$1=2,AP12,"Input Toggle"))</f>
        <v>95762.123008599126</v>
      </c>
      <c r="Q12" s="627">
        <f t="shared" si="11"/>
        <v>39954.898423570907</v>
      </c>
      <c r="R12" s="627">
        <f t="shared" si="12"/>
        <v>7663.0106626105844</v>
      </c>
      <c r="S12" s="627">
        <f t="shared" si="13"/>
        <v>2712.6669914008817</v>
      </c>
      <c r="T12" s="388"/>
      <c r="U12" s="627">
        <v>0</v>
      </c>
      <c r="V12" s="627">
        <v>0</v>
      </c>
      <c r="W12" s="627">
        <v>0</v>
      </c>
      <c r="X12" s="627">
        <f>IF('Plant Total by Account'!$J$1=1,AJ12,IF('Plant Total by Account'!$J$1=2,AR12,"Input Toggle"))</f>
        <v>0</v>
      </c>
      <c r="Y12" s="627">
        <f>IF('Plant Total by Account'!$J$1=1,AK12,IF('Plant Total by Account'!$J$1=2,AS12,"Input Toggle"))</f>
        <v>0</v>
      </c>
      <c r="Z12" s="627">
        <f>IF('Plant Total by Account'!$J$1=1,AL12,IF('Plant Total by Account'!$J$1=2,AT12,"Input Toggle"))</f>
        <v>0</v>
      </c>
      <c r="AA12" s="627">
        <f t="shared" si="1"/>
        <v>0</v>
      </c>
      <c r="AB12" s="627">
        <f t="shared" si="2"/>
        <v>0</v>
      </c>
      <c r="AC12" s="627">
        <f t="shared" si="3"/>
        <v>0</v>
      </c>
      <c r="AD12" s="388">
        <f t="shared" si="4"/>
        <v>0</v>
      </c>
      <c r="AE12" s="388"/>
      <c r="AF12" s="627">
        <f>SUMIF('ISO w_System Splits'!$D$8:$D$469,$B12,'ISO w_System Splits'!H$8:H$469)</f>
        <v>1418562.1815764289</v>
      </c>
      <c r="AG12" s="627">
        <f>SUMIF('ISO w_System Splits'!$D$8:$D$469,$B12,'ISO w_System Splits'!I$8:I$469)</f>
        <v>270518.33933738939</v>
      </c>
      <c r="AH12" s="627">
        <f>SUMIF('ISO w_System Splits'!$D$8:$D$469,$B12,'ISO w_System Splits'!J$8:J$469)</f>
        <v>95762.123008599126</v>
      </c>
      <c r="AI12" s="388"/>
      <c r="AJ12" s="627">
        <v>0</v>
      </c>
      <c r="AK12" s="627">
        <v>0</v>
      </c>
      <c r="AL12" s="627">
        <v>0</v>
      </c>
      <c r="AM12" s="388"/>
      <c r="AN12" s="627">
        <f>SUMIF('ISO w_System Splits'!$D$8:$D$615,$B12,'ISO w_System Splits'!H$8:H$615)-SUMIF('ISO w_System Splits'!$D$470:$D$520,$B12,'ISO w_System Splits'!H$470:H$520)</f>
        <v>1418562.1815764289</v>
      </c>
      <c r="AO12" s="627">
        <f>SUMIF('ISO w_System Splits'!$D$8:$D$615,$B12,'ISO w_System Splits'!I$8:I$615)-SUMIF('ISO w_System Splits'!$D$470:$D$520,$B12,'ISO w_System Splits'!I$470:I$520)</f>
        <v>270518.33933738939</v>
      </c>
      <c r="AP12" s="627">
        <f>SUMIF('ISO w_System Splits'!$D$8:$D$615,$B12,'ISO w_System Splits'!J$8:J$615)-SUMIF('ISO w_System Splits'!$D$470:$D$520,$B12,'ISO w_System Splits'!J$470:J$520)</f>
        <v>95762.123008599126</v>
      </c>
      <c r="AQ12" s="388"/>
      <c r="AR12" s="627">
        <v>0</v>
      </c>
      <c r="AS12" s="627">
        <v>0</v>
      </c>
      <c r="AT12" s="627">
        <v>0</v>
      </c>
      <c r="AW12" s="95">
        <f t="shared" si="5"/>
        <v>0</v>
      </c>
      <c r="AX12" s="95">
        <f t="shared" si="6"/>
        <v>0</v>
      </c>
      <c r="AY12" s="95">
        <f t="shared" si="7"/>
        <v>0</v>
      </c>
      <c r="BA12" s="95">
        <f t="shared" si="8"/>
        <v>0</v>
      </c>
      <c r="BB12" s="95">
        <f t="shared" si="9"/>
        <v>0</v>
      </c>
      <c r="BC12" s="95">
        <f t="shared" si="10"/>
        <v>0</v>
      </c>
    </row>
    <row r="13" spans="1:55" ht="15" customHeight="1" x14ac:dyDescent="0.25">
      <c r="A13" s="40" t="s">
        <v>508</v>
      </c>
      <c r="B13" s="18">
        <v>4102</v>
      </c>
      <c r="C13" s="626">
        <v>1466127.54</v>
      </c>
      <c r="D13" s="626">
        <v>0</v>
      </c>
      <c r="E13" s="626">
        <v>0</v>
      </c>
      <c r="F13" s="626">
        <v>0</v>
      </c>
      <c r="G13" s="626">
        <v>0</v>
      </c>
      <c r="H13" s="626">
        <v>0</v>
      </c>
      <c r="I13" s="627">
        <f t="shared" si="0"/>
        <v>1466127.54</v>
      </c>
      <c r="J13" s="628"/>
      <c r="K13" s="627">
        <v>0</v>
      </c>
      <c r="L13" s="627">
        <v>0</v>
      </c>
      <c r="M13" s="627">
        <v>0</v>
      </c>
      <c r="N13" s="627">
        <f>IF('Plant Total by Account'!$J$1=1,AF13,IF('Plant Total by Account'!$J$1=2,AN13,"Input Toggle"))</f>
        <v>777708.03908957134</v>
      </c>
      <c r="O13" s="627">
        <f>IF('Plant Total by Account'!$J$1=1,AG13,IF('Plant Total by Account'!$J$1=2,AO13,"Input Toggle"))</f>
        <v>0</v>
      </c>
      <c r="P13" s="627">
        <f>IF('Plant Total by Account'!$J$1=1,AH13,IF('Plant Total by Account'!$J$1=2,AP13,"Input Toggle"))</f>
        <v>0</v>
      </c>
      <c r="Q13" s="627">
        <f t="shared" si="11"/>
        <v>688419.5009104287</v>
      </c>
      <c r="R13" s="627">
        <f t="shared" si="12"/>
        <v>0</v>
      </c>
      <c r="S13" s="627">
        <f t="shared" si="13"/>
        <v>0</v>
      </c>
      <c r="T13" s="388"/>
      <c r="U13" s="627">
        <v>0</v>
      </c>
      <c r="V13" s="627">
        <v>0</v>
      </c>
      <c r="W13" s="627">
        <v>0</v>
      </c>
      <c r="X13" s="627">
        <f>IF('Plant Total by Account'!$J$1=1,AJ13,IF('Plant Total by Account'!$J$1=2,AR13,"Input Toggle"))</f>
        <v>0</v>
      </c>
      <c r="Y13" s="627">
        <f>IF('Plant Total by Account'!$J$1=1,AK13,IF('Plant Total by Account'!$J$1=2,AS13,"Input Toggle"))</f>
        <v>0</v>
      </c>
      <c r="Z13" s="627">
        <f>IF('Plant Total by Account'!$J$1=1,AL13,IF('Plant Total by Account'!$J$1=2,AT13,"Input Toggle"))</f>
        <v>0</v>
      </c>
      <c r="AA13" s="627">
        <f t="shared" si="1"/>
        <v>0</v>
      </c>
      <c r="AB13" s="627">
        <f t="shared" si="2"/>
        <v>0</v>
      </c>
      <c r="AC13" s="627">
        <f t="shared" si="3"/>
        <v>0</v>
      </c>
      <c r="AD13" s="388">
        <f t="shared" si="4"/>
        <v>0</v>
      </c>
      <c r="AE13" s="388"/>
      <c r="AF13" s="627">
        <f>SUMIF('ISO w_System Splits'!$D$8:$D$469,$B13,'ISO w_System Splits'!H$8:H$469)</f>
        <v>777708.03908957134</v>
      </c>
      <c r="AG13" s="627">
        <f>SUMIF('ISO w_System Splits'!$D$8:$D$469,$B13,'ISO w_System Splits'!I$8:I$469)</f>
        <v>0</v>
      </c>
      <c r="AH13" s="627">
        <f>SUMIF('ISO w_System Splits'!$D$8:$D$469,$B13,'ISO w_System Splits'!J$8:J$469)</f>
        <v>0</v>
      </c>
      <c r="AI13" s="388"/>
      <c r="AJ13" s="627">
        <v>0</v>
      </c>
      <c r="AK13" s="627">
        <v>0</v>
      </c>
      <c r="AL13" s="627">
        <v>0</v>
      </c>
      <c r="AM13" s="388"/>
      <c r="AN13" s="627">
        <f>SUMIF('ISO w_System Splits'!$D$8:$D$615,$B13,'ISO w_System Splits'!H$8:H$615)-SUMIF('ISO w_System Splits'!$D$470:$D$520,$B13,'ISO w_System Splits'!H$470:H$520)</f>
        <v>777708.03908957134</v>
      </c>
      <c r="AO13" s="627">
        <f>SUMIF('ISO w_System Splits'!$D$8:$D$615,$B13,'ISO w_System Splits'!I$8:I$615)-SUMIF('ISO w_System Splits'!$D$470:$D$520,$B13,'ISO w_System Splits'!I$470:I$520)</f>
        <v>0</v>
      </c>
      <c r="AP13" s="627">
        <f>SUMIF('ISO w_System Splits'!$D$8:$D$615,$B13,'ISO w_System Splits'!J$8:J$615)-SUMIF('ISO w_System Splits'!$D$470:$D$520,$B13,'ISO w_System Splits'!J$470:J$520)</f>
        <v>0</v>
      </c>
      <c r="AQ13" s="388"/>
      <c r="AR13" s="627">
        <v>0</v>
      </c>
      <c r="AS13" s="627">
        <v>0</v>
      </c>
      <c r="AT13" s="627">
        <v>0</v>
      </c>
      <c r="AW13" s="95">
        <f t="shared" si="5"/>
        <v>0</v>
      </c>
      <c r="AX13" s="95">
        <f t="shared" si="6"/>
        <v>0</v>
      </c>
      <c r="AY13" s="95">
        <f t="shared" si="7"/>
        <v>0</v>
      </c>
      <c r="BA13" s="95">
        <f t="shared" si="8"/>
        <v>0</v>
      </c>
      <c r="BB13" s="95">
        <f t="shared" si="9"/>
        <v>0</v>
      </c>
      <c r="BC13" s="95">
        <f t="shared" si="10"/>
        <v>0</v>
      </c>
    </row>
    <row r="14" spans="1:55" ht="15" customHeight="1" x14ac:dyDescent="0.25">
      <c r="A14" s="40" t="s">
        <v>509</v>
      </c>
      <c r="B14" s="18">
        <v>4104</v>
      </c>
      <c r="C14" s="626">
        <v>1331335.1000000001</v>
      </c>
      <c r="D14" s="626">
        <v>0</v>
      </c>
      <c r="E14" s="626">
        <v>0</v>
      </c>
      <c r="F14" s="626">
        <v>0</v>
      </c>
      <c r="G14" s="626">
        <v>0</v>
      </c>
      <c r="H14" s="626">
        <v>0</v>
      </c>
      <c r="I14" s="627">
        <f t="shared" si="0"/>
        <v>1331335.1000000001</v>
      </c>
      <c r="J14" s="628"/>
      <c r="K14" s="627">
        <v>0</v>
      </c>
      <c r="L14" s="627">
        <v>0</v>
      </c>
      <c r="M14" s="627">
        <v>0</v>
      </c>
      <c r="N14" s="627">
        <f>IF('Plant Total by Account'!$J$1=1,AF14,IF('Plant Total by Account'!$J$1=2,AN14,"Input Toggle"))</f>
        <v>1253514.4942617316</v>
      </c>
      <c r="O14" s="627">
        <f>IF('Plant Total by Account'!$J$1=1,AG14,IF('Plant Total by Account'!$J$1=2,AO14,"Input Toggle"))</f>
        <v>0</v>
      </c>
      <c r="P14" s="627">
        <f>IF('Plant Total by Account'!$J$1=1,AH14,IF('Plant Total by Account'!$J$1=2,AP14,"Input Toggle"))</f>
        <v>0</v>
      </c>
      <c r="Q14" s="627">
        <f t="shared" si="11"/>
        <v>77820.605738268467</v>
      </c>
      <c r="R14" s="627">
        <f t="shared" si="12"/>
        <v>0</v>
      </c>
      <c r="S14" s="627">
        <f t="shared" si="13"/>
        <v>0</v>
      </c>
      <c r="T14" s="388"/>
      <c r="U14" s="627">
        <v>0</v>
      </c>
      <c r="V14" s="627">
        <v>0</v>
      </c>
      <c r="W14" s="627">
        <v>0</v>
      </c>
      <c r="X14" s="627">
        <f>IF('Plant Total by Account'!$J$1=1,AJ14,IF('Plant Total by Account'!$J$1=2,AR14,"Input Toggle"))</f>
        <v>0</v>
      </c>
      <c r="Y14" s="627">
        <f>IF('Plant Total by Account'!$J$1=1,AK14,IF('Plant Total by Account'!$J$1=2,AS14,"Input Toggle"))</f>
        <v>0</v>
      </c>
      <c r="Z14" s="627">
        <f>IF('Plant Total by Account'!$J$1=1,AL14,IF('Plant Total by Account'!$J$1=2,AT14,"Input Toggle"))</f>
        <v>0</v>
      </c>
      <c r="AA14" s="627">
        <f t="shared" si="1"/>
        <v>0</v>
      </c>
      <c r="AB14" s="627">
        <f t="shared" si="2"/>
        <v>0</v>
      </c>
      <c r="AC14" s="627">
        <f t="shared" si="3"/>
        <v>0</v>
      </c>
      <c r="AD14" s="388">
        <f t="shared" si="4"/>
        <v>0</v>
      </c>
      <c r="AE14" s="388"/>
      <c r="AF14" s="627">
        <f>SUMIF('ISO w_System Splits'!$D$8:$D$469,$B14,'ISO w_System Splits'!H$8:H$469)</f>
        <v>1253514.4942617316</v>
      </c>
      <c r="AG14" s="627">
        <f>SUMIF('ISO w_System Splits'!$D$8:$D$469,$B14,'ISO w_System Splits'!I$8:I$469)</f>
        <v>0</v>
      </c>
      <c r="AH14" s="627">
        <f>SUMIF('ISO w_System Splits'!$D$8:$D$469,$B14,'ISO w_System Splits'!J$8:J$469)</f>
        <v>0</v>
      </c>
      <c r="AI14" s="388"/>
      <c r="AJ14" s="627">
        <v>0</v>
      </c>
      <c r="AK14" s="627">
        <v>0</v>
      </c>
      <c r="AL14" s="627">
        <v>0</v>
      </c>
      <c r="AM14" s="388"/>
      <c r="AN14" s="627">
        <f>SUMIF('ISO w_System Splits'!$D$8:$D$615,$B14,'ISO w_System Splits'!H$8:H$615)-SUMIF('ISO w_System Splits'!$D$470:$D$520,$B14,'ISO w_System Splits'!H$470:H$520)</f>
        <v>1253514.4942617316</v>
      </c>
      <c r="AO14" s="627">
        <f>SUMIF('ISO w_System Splits'!$D$8:$D$615,$B14,'ISO w_System Splits'!I$8:I$615)-SUMIF('ISO w_System Splits'!$D$470:$D$520,$B14,'ISO w_System Splits'!I$470:I$520)</f>
        <v>0</v>
      </c>
      <c r="AP14" s="627">
        <f>SUMIF('ISO w_System Splits'!$D$8:$D$615,$B14,'ISO w_System Splits'!J$8:J$615)-SUMIF('ISO w_System Splits'!$D$470:$D$520,$B14,'ISO w_System Splits'!J$470:J$520)</f>
        <v>0</v>
      </c>
      <c r="AQ14" s="388"/>
      <c r="AR14" s="627">
        <v>0</v>
      </c>
      <c r="AS14" s="627">
        <v>0</v>
      </c>
      <c r="AT14" s="627">
        <v>0</v>
      </c>
      <c r="AW14" s="95">
        <f t="shared" si="5"/>
        <v>0</v>
      </c>
      <c r="AX14" s="95">
        <f t="shared" si="6"/>
        <v>0</v>
      </c>
      <c r="AY14" s="95">
        <f t="shared" si="7"/>
        <v>0</v>
      </c>
      <c r="BA14" s="95">
        <f t="shared" si="8"/>
        <v>0</v>
      </c>
      <c r="BB14" s="95">
        <f t="shared" si="9"/>
        <v>0</v>
      </c>
      <c r="BC14" s="95">
        <f t="shared" si="10"/>
        <v>0</v>
      </c>
    </row>
    <row r="15" spans="1:55" ht="15" customHeight="1" x14ac:dyDescent="0.25">
      <c r="A15" s="40" t="s">
        <v>1441</v>
      </c>
      <c r="B15" s="18">
        <v>4105</v>
      </c>
      <c r="C15" s="626">
        <v>31669555.880000006</v>
      </c>
      <c r="D15" s="626">
        <v>307314.38</v>
      </c>
      <c r="E15" s="626">
        <v>1071634.4200000002</v>
      </c>
      <c r="F15" s="626">
        <v>691617.74</v>
      </c>
      <c r="G15" s="626">
        <v>0</v>
      </c>
      <c r="H15" s="626">
        <v>0</v>
      </c>
      <c r="I15" s="627">
        <f t="shared" si="0"/>
        <v>33740122.420000009</v>
      </c>
      <c r="J15" s="628"/>
      <c r="K15" s="627">
        <v>0</v>
      </c>
      <c r="L15" s="627">
        <v>0</v>
      </c>
      <c r="M15" s="627">
        <v>0</v>
      </c>
      <c r="N15" s="627">
        <f>IF('Plant Total by Account'!$J$1=1,AF15,IF('Plant Total by Account'!$J$1=2,AN15,"Input Toggle"))</f>
        <v>3469110.4013464162</v>
      </c>
      <c r="O15" s="627">
        <f>IF('Plant Total by Account'!$J$1=1,AG15,IF('Plant Total by Account'!$J$1=2,AO15,"Input Toggle"))</f>
        <v>122152.85737609216</v>
      </c>
      <c r="P15" s="627">
        <f>IF('Plant Total by Account'!$J$1=1,AH15,IF('Plant Total by Account'!$J$1=2,AP15,"Input Toggle"))</f>
        <v>116166.1450978038</v>
      </c>
      <c r="Q15" s="627">
        <f>C15-N15</f>
        <v>28200445.478653591</v>
      </c>
      <c r="R15" s="627">
        <f t="shared" si="12"/>
        <v>185161.52262390783</v>
      </c>
      <c r="S15" s="627">
        <f t="shared" si="13"/>
        <v>955468.27490219637</v>
      </c>
      <c r="T15" s="388"/>
      <c r="U15" s="627">
        <v>0</v>
      </c>
      <c r="V15" s="627">
        <v>0</v>
      </c>
      <c r="W15" s="627">
        <v>0</v>
      </c>
      <c r="X15" s="627">
        <f>IF('Plant Total by Account'!$J$1=1,AJ15,IF('Plant Total by Account'!$J$1=2,AR15,"Input Toggle"))</f>
        <v>0</v>
      </c>
      <c r="Y15" s="627">
        <f>IF('Plant Total by Account'!$J$1=1,AK15,IF('Plant Total by Account'!$J$1=2,AS15,"Input Toggle"))</f>
        <v>0</v>
      </c>
      <c r="Z15" s="627">
        <f>IF('Plant Total by Account'!$J$1=1,AL15,IF('Plant Total by Account'!$J$1=2,AT15,"Input Toggle"))</f>
        <v>0</v>
      </c>
      <c r="AA15" s="627">
        <f t="shared" si="1"/>
        <v>691617.74</v>
      </c>
      <c r="AB15" s="627">
        <f t="shared" si="2"/>
        <v>0</v>
      </c>
      <c r="AC15" s="627">
        <f t="shared" si="3"/>
        <v>0</v>
      </c>
      <c r="AD15" s="388">
        <f t="shared" si="4"/>
        <v>0</v>
      </c>
      <c r="AE15" s="388"/>
      <c r="AF15" s="627">
        <f>SUMIF('ISO w_System Splits'!$D$8:$D$469,$B15,'ISO w_System Splits'!H$8:H$469)</f>
        <v>213521.24447173523</v>
      </c>
      <c r="AG15" s="627">
        <f>SUMIF('ISO w_System Splits'!$D$8:$D$469,$B15,'ISO w_System Splits'!I$8:I$469)</f>
        <v>7518.4203168047516</v>
      </c>
      <c r="AH15" s="627">
        <f>SUMIF('ISO w_System Splits'!$D$8:$D$469,$B15,'ISO w_System Splits'!J$8:J$469)</f>
        <v>7149.9424916371754</v>
      </c>
      <c r="AI15" s="42"/>
      <c r="AJ15" s="627">
        <v>0</v>
      </c>
      <c r="AK15" s="627">
        <v>0</v>
      </c>
      <c r="AL15" s="627">
        <v>0</v>
      </c>
      <c r="AM15" s="388"/>
      <c r="AN15" s="627">
        <f>SUMIF('ISO w_System Splits'!$D$8:$D$615,$B15,'ISO w_System Splits'!H$8:H$615)-SUMIF('ISO w_System Splits'!$D$470:$D$520,$B15,'ISO w_System Splits'!H$470:H$520)</f>
        <v>3469110.4013464162</v>
      </c>
      <c r="AO15" s="627">
        <f>SUMIF('ISO w_System Splits'!$D$8:$D$615,$B15,'ISO w_System Splits'!I$8:I$615)-SUMIF('ISO w_System Splits'!$D$470:$D$520,$B15,'ISO w_System Splits'!I$470:I$520)</f>
        <v>122152.85737609216</v>
      </c>
      <c r="AP15" s="627">
        <f>SUMIF('ISO w_System Splits'!$D$8:$D$615,$B15,'ISO w_System Splits'!J$8:J$615)-SUMIF('ISO w_System Splits'!$D$470:$D$520,$B15,'ISO w_System Splits'!J$470:J$520)</f>
        <v>116166.1450978038</v>
      </c>
      <c r="AQ15" s="388"/>
      <c r="AR15" s="627">
        <v>0</v>
      </c>
      <c r="AS15" s="627">
        <v>0</v>
      </c>
      <c r="AT15" s="627">
        <v>0</v>
      </c>
      <c r="AV15" s="357">
        <v>1</v>
      </c>
      <c r="AW15" s="95">
        <f t="shared" si="5"/>
        <v>-3255589.1568746809</v>
      </c>
      <c r="AX15" s="95">
        <f t="shared" si="6"/>
        <v>-114634.4370592874</v>
      </c>
      <c r="AY15" s="95">
        <f t="shared" si="7"/>
        <v>-109016.20260616663</v>
      </c>
      <c r="BA15" s="95">
        <f t="shared" si="8"/>
        <v>0</v>
      </c>
      <c r="BB15" s="95">
        <f t="shared" si="9"/>
        <v>0</v>
      </c>
      <c r="BC15" s="95">
        <f t="shared" si="10"/>
        <v>0</v>
      </c>
    </row>
    <row r="16" spans="1:55" ht="15" customHeight="1" x14ac:dyDescent="0.25">
      <c r="A16" s="40" t="s">
        <v>510</v>
      </c>
      <c r="B16" s="18">
        <v>4106</v>
      </c>
      <c r="C16" s="626">
        <v>563121.10000000009</v>
      </c>
      <c r="D16" s="626">
        <v>0</v>
      </c>
      <c r="E16" s="626">
        <v>0</v>
      </c>
      <c r="F16" s="626">
        <v>0</v>
      </c>
      <c r="G16" s="626">
        <v>0</v>
      </c>
      <c r="H16" s="626">
        <v>0</v>
      </c>
      <c r="I16" s="627">
        <f t="shared" si="0"/>
        <v>563121.10000000009</v>
      </c>
      <c r="J16" s="628"/>
      <c r="K16" s="627">
        <v>0</v>
      </c>
      <c r="L16" s="627">
        <v>0</v>
      </c>
      <c r="M16" s="627">
        <v>0</v>
      </c>
      <c r="N16" s="627">
        <f>IF('Plant Total by Account'!$J$1=1,AF16,IF('Plant Total by Account'!$J$1=2,AN16,"Input Toggle"))</f>
        <v>1303.1386957310856</v>
      </c>
      <c r="O16" s="627">
        <f>IF('Plant Total by Account'!$J$1=1,AG16,IF('Plant Total by Account'!$J$1=2,AO16,"Input Toggle"))</f>
        <v>0</v>
      </c>
      <c r="P16" s="627">
        <f>IF('Plant Total by Account'!$J$1=1,AH16,IF('Plant Total by Account'!$J$1=2,AP16,"Input Toggle"))</f>
        <v>0</v>
      </c>
      <c r="Q16" s="627">
        <f t="shared" si="11"/>
        <v>561817.96130426903</v>
      </c>
      <c r="R16" s="627">
        <f t="shared" si="12"/>
        <v>0</v>
      </c>
      <c r="S16" s="627">
        <f t="shared" si="13"/>
        <v>0</v>
      </c>
      <c r="T16" s="388"/>
      <c r="U16" s="627">
        <v>0</v>
      </c>
      <c r="V16" s="627">
        <v>0</v>
      </c>
      <c r="W16" s="627">
        <v>0</v>
      </c>
      <c r="X16" s="627">
        <f>IF('Plant Total by Account'!$J$1=1,AJ16,IF('Plant Total by Account'!$J$1=2,AR16,"Input Toggle"))</f>
        <v>0</v>
      </c>
      <c r="Y16" s="627">
        <f>IF('Plant Total by Account'!$J$1=1,AK16,IF('Plant Total by Account'!$J$1=2,AS16,"Input Toggle"))</f>
        <v>0</v>
      </c>
      <c r="Z16" s="627">
        <f>IF('Plant Total by Account'!$J$1=1,AL16,IF('Plant Total by Account'!$J$1=2,AT16,"Input Toggle"))</f>
        <v>0</v>
      </c>
      <c r="AA16" s="627">
        <f t="shared" si="1"/>
        <v>0</v>
      </c>
      <c r="AB16" s="627">
        <f t="shared" si="2"/>
        <v>0</v>
      </c>
      <c r="AC16" s="627">
        <f t="shared" si="3"/>
        <v>0</v>
      </c>
      <c r="AD16" s="388">
        <f t="shared" si="4"/>
        <v>0</v>
      </c>
      <c r="AE16" s="388"/>
      <c r="AF16" s="627">
        <f>SUMIF('ISO w_System Splits'!$D$8:$D$469,$B16,'ISO w_System Splits'!H$8:H$469)</f>
        <v>0</v>
      </c>
      <c r="AG16" s="627">
        <f>SUMIF('ISO w_System Splits'!$D$8:$D$469,$B16,'ISO w_System Splits'!I$8:I$469)</f>
        <v>0</v>
      </c>
      <c r="AH16" s="627">
        <f>SUMIF('ISO w_System Splits'!$D$8:$D$469,$B16,'ISO w_System Splits'!J$8:J$469)</f>
        <v>0</v>
      </c>
      <c r="AI16" s="388"/>
      <c r="AJ16" s="627">
        <v>0</v>
      </c>
      <c r="AK16" s="627">
        <v>0</v>
      </c>
      <c r="AL16" s="627">
        <v>0</v>
      </c>
      <c r="AM16" s="388"/>
      <c r="AN16" s="627">
        <f>SUMIF('ISO w_System Splits'!$D$8:$D$615,$B16,'ISO w_System Splits'!H$8:H$615)-SUMIF('ISO w_System Splits'!$D$470:$D$520,$B16,'ISO w_System Splits'!H$470:H$520)</f>
        <v>1303.1386957310856</v>
      </c>
      <c r="AO16" s="627">
        <f>SUMIF('ISO w_System Splits'!$D$8:$D$615,$B16,'ISO w_System Splits'!I$8:I$615)-SUMIF('ISO w_System Splits'!$D$470:$D$520,$B16,'ISO w_System Splits'!I$470:I$520)</f>
        <v>0</v>
      </c>
      <c r="AP16" s="627">
        <f>SUMIF('ISO w_System Splits'!$D$8:$D$615,$B16,'ISO w_System Splits'!J$8:J$615)-SUMIF('ISO w_System Splits'!$D$470:$D$520,$B16,'ISO w_System Splits'!J$470:J$520)</f>
        <v>0</v>
      </c>
      <c r="AQ16" s="388"/>
      <c r="AR16" s="627">
        <v>0</v>
      </c>
      <c r="AS16" s="627">
        <v>0</v>
      </c>
      <c r="AT16" s="627">
        <v>0</v>
      </c>
      <c r="AV16" s="357">
        <v>1</v>
      </c>
      <c r="AW16" s="95">
        <f t="shared" si="5"/>
        <v>-1303.1386957310856</v>
      </c>
      <c r="AX16" s="95">
        <f t="shared" si="6"/>
        <v>0</v>
      </c>
      <c r="AY16" s="95">
        <f t="shared" si="7"/>
        <v>0</v>
      </c>
      <c r="BA16" s="95">
        <f t="shared" si="8"/>
        <v>0</v>
      </c>
      <c r="BB16" s="95">
        <f t="shared" si="9"/>
        <v>0</v>
      </c>
      <c r="BC16" s="95">
        <f t="shared" si="10"/>
        <v>0</v>
      </c>
    </row>
    <row r="17" spans="1:55" ht="15" customHeight="1" x14ac:dyDescent="0.25">
      <c r="A17" s="40" t="s">
        <v>1434</v>
      </c>
      <c r="B17" s="18">
        <v>4107</v>
      </c>
      <c r="C17" s="626">
        <v>2639356.88</v>
      </c>
      <c r="D17" s="626">
        <v>303336.46999999997</v>
      </c>
      <c r="E17" s="626">
        <v>0</v>
      </c>
      <c r="F17" s="626">
        <v>0</v>
      </c>
      <c r="G17" s="626">
        <v>0</v>
      </c>
      <c r="H17" s="626">
        <v>0</v>
      </c>
      <c r="I17" s="627">
        <f t="shared" si="0"/>
        <v>2942693.3499999996</v>
      </c>
      <c r="J17" s="628"/>
      <c r="K17" s="627">
        <v>0</v>
      </c>
      <c r="L17" s="627">
        <v>0</v>
      </c>
      <c r="M17" s="627">
        <v>0</v>
      </c>
      <c r="N17" s="627">
        <f>IF('Plant Total by Account'!$J$1=1,AF17,IF('Plant Total by Account'!$J$1=2,AN17,"Input Toggle"))</f>
        <v>2399012.7348375577</v>
      </c>
      <c r="O17" s="627">
        <f>IF('Plant Total by Account'!$J$1=1,AG17,IF('Plant Total by Account'!$J$1=2,AO17,"Input Toggle"))</f>
        <v>296715.87401653378</v>
      </c>
      <c r="P17" s="627">
        <f>IF('Plant Total by Account'!$J$1=1,AH17,IF('Plant Total by Account'!$J$1=2,AP17,"Input Toggle"))</f>
        <v>0</v>
      </c>
      <c r="Q17" s="627">
        <f>C17-N17</f>
        <v>240344.14516244223</v>
      </c>
      <c r="R17" s="627">
        <f>IF((D17-O17)&lt;0,D17,D17-O17)</f>
        <v>6620.5959834661917</v>
      </c>
      <c r="S17" s="627">
        <f t="shared" si="13"/>
        <v>0</v>
      </c>
      <c r="T17" s="388"/>
      <c r="U17" s="627">
        <v>0</v>
      </c>
      <c r="V17" s="627">
        <v>0</v>
      </c>
      <c r="W17" s="627">
        <v>0</v>
      </c>
      <c r="X17" s="627">
        <f>IF('Plant Total by Account'!$J$1=1,AJ17,IF('Plant Total by Account'!$J$1=2,AR17,"Input Toggle"))</f>
        <v>0</v>
      </c>
      <c r="Y17" s="627">
        <f>IF('Plant Total by Account'!$J$1=1,AK17,IF('Plant Total by Account'!$J$1=2,AS17,"Input Toggle"))</f>
        <v>0</v>
      </c>
      <c r="Z17" s="627">
        <f>IF('Plant Total by Account'!$J$1=1,AL17,IF('Plant Total by Account'!$J$1=2,AT17,"Input Toggle"))</f>
        <v>0</v>
      </c>
      <c r="AA17" s="627">
        <f t="shared" si="1"/>
        <v>0</v>
      </c>
      <c r="AB17" s="627">
        <f t="shared" si="2"/>
        <v>0</v>
      </c>
      <c r="AC17" s="627">
        <f t="shared" si="3"/>
        <v>0</v>
      </c>
      <c r="AD17" s="388">
        <f>I17-SUM(K17:AC17)</f>
        <v>0</v>
      </c>
      <c r="AE17" s="388"/>
      <c r="AF17" s="627">
        <f>SUMIF('ISO w_System Splits'!$D$8:$D$469,$B17,'ISO w_System Splits'!H$8:H$469)</f>
        <v>2399012.7348375577</v>
      </c>
      <c r="AG17" s="627">
        <f>SUMIF('ISO w_System Splits'!$D$8:$D$469,$B17,'ISO w_System Splits'!I$8:I$469)</f>
        <v>296715.87401653378</v>
      </c>
      <c r="AH17" s="627">
        <f>SUMIF('ISO w_System Splits'!$D$8:$D$469,$B17,'ISO w_System Splits'!J$8:J$469)</f>
        <v>0</v>
      </c>
      <c r="AI17" s="388"/>
      <c r="AJ17" s="627">
        <v>0</v>
      </c>
      <c r="AK17" s="627">
        <v>0</v>
      </c>
      <c r="AL17" s="627">
        <v>0</v>
      </c>
      <c r="AM17" s="388"/>
      <c r="AN17" s="627">
        <f>SUMIF('ISO w_System Splits'!$D$8:$D$615,$B17,'ISO w_System Splits'!H$8:H$615)-SUMIF('ISO w_System Splits'!$D$470:$D$520,$B17,'ISO w_System Splits'!H$470:H$520)</f>
        <v>2399012.7348375577</v>
      </c>
      <c r="AO17" s="627">
        <f>SUMIF('ISO w_System Splits'!$D$8:$D$615,$B17,'ISO w_System Splits'!I$8:I$615)-SUMIF('ISO w_System Splits'!$D$470:$D$520,$B17,'ISO w_System Splits'!I$470:I$520)</f>
        <v>296715.87401653378</v>
      </c>
      <c r="AP17" s="627">
        <f>SUMIF('ISO w_System Splits'!$D$8:$D$615,$B17,'ISO w_System Splits'!J$8:J$615)-SUMIF('ISO w_System Splits'!$D$470:$D$520,$B17,'ISO w_System Splits'!J$470:J$520)</f>
        <v>0</v>
      </c>
      <c r="AQ17" s="388"/>
      <c r="AR17" s="627">
        <v>0</v>
      </c>
      <c r="AS17" s="627">
        <v>0</v>
      </c>
      <c r="AT17" s="627">
        <v>0</v>
      </c>
      <c r="AW17" s="95">
        <f t="shared" si="5"/>
        <v>0</v>
      </c>
      <c r="AX17" s="95">
        <f t="shared" si="6"/>
        <v>0</v>
      </c>
      <c r="AY17" s="95">
        <f t="shared" si="7"/>
        <v>0</v>
      </c>
      <c r="BA17" s="95">
        <f t="shared" si="8"/>
        <v>0</v>
      </c>
      <c r="BB17" s="95">
        <f t="shared" si="9"/>
        <v>0</v>
      </c>
      <c r="BC17" s="95">
        <f t="shared" si="10"/>
        <v>0</v>
      </c>
    </row>
    <row r="18" spans="1:55" ht="15" customHeight="1" x14ac:dyDescent="0.25">
      <c r="A18" s="40" t="s">
        <v>1435</v>
      </c>
      <c r="B18" s="18">
        <v>4108</v>
      </c>
      <c r="C18" s="626">
        <v>8067990.54</v>
      </c>
      <c r="D18" s="626">
        <v>3035776.63</v>
      </c>
      <c r="E18" s="626">
        <v>0</v>
      </c>
      <c r="F18" s="626">
        <v>0</v>
      </c>
      <c r="G18" s="626">
        <v>0</v>
      </c>
      <c r="H18" s="626">
        <v>0</v>
      </c>
      <c r="I18" s="627">
        <f t="shared" si="0"/>
        <v>11103767.17</v>
      </c>
      <c r="J18" s="628"/>
      <c r="K18" s="627">
        <v>0</v>
      </c>
      <c r="L18" s="627">
        <v>0</v>
      </c>
      <c r="M18" s="627">
        <v>0</v>
      </c>
      <c r="N18" s="627">
        <f>IF('Plant Total by Account'!$J$1=1,AF18,IF('Plant Total by Account'!$J$1=2,AN18,"Input Toggle"))</f>
        <v>8067990.540000001</v>
      </c>
      <c r="O18" s="627">
        <f>IF('Plant Total by Account'!$J$1=1,AG18,IF('Plant Total by Account'!$J$1=2,AO18,"Input Toggle"))</f>
        <v>3035776.63</v>
      </c>
      <c r="P18" s="627">
        <f>IF('Plant Total by Account'!$J$1=1,AH18,IF('Plant Total by Account'!$J$1=2,AP18,"Input Toggle"))</f>
        <v>0</v>
      </c>
      <c r="Q18" s="627">
        <f t="shared" si="11"/>
        <v>0</v>
      </c>
      <c r="R18" s="627">
        <f t="shared" si="12"/>
        <v>0</v>
      </c>
      <c r="S18" s="627">
        <f t="shared" si="13"/>
        <v>0</v>
      </c>
      <c r="T18" s="388"/>
      <c r="U18" s="627">
        <v>0</v>
      </c>
      <c r="V18" s="627">
        <v>0</v>
      </c>
      <c r="W18" s="627">
        <v>0</v>
      </c>
      <c r="X18" s="627">
        <f>IF('Plant Total by Account'!$J$1=1,AJ18,IF('Plant Total by Account'!$J$1=2,AR18,"Input Toggle"))</f>
        <v>0</v>
      </c>
      <c r="Y18" s="627">
        <f>IF('Plant Total by Account'!$J$1=1,AK18,IF('Plant Total by Account'!$J$1=2,AS18,"Input Toggle"))</f>
        <v>0</v>
      </c>
      <c r="Z18" s="627">
        <f>IF('Plant Total by Account'!$J$1=1,AL18,IF('Plant Total by Account'!$J$1=2,AT18,"Input Toggle"))</f>
        <v>0</v>
      </c>
      <c r="AA18" s="627">
        <f t="shared" si="1"/>
        <v>0</v>
      </c>
      <c r="AB18" s="627">
        <f t="shared" si="2"/>
        <v>0</v>
      </c>
      <c r="AC18" s="627">
        <f t="shared" si="3"/>
        <v>0</v>
      </c>
      <c r="AD18" s="388">
        <f t="shared" si="4"/>
        <v>0</v>
      </c>
      <c r="AE18" s="388"/>
      <c r="AF18" s="627">
        <f>SUMIF('ISO w_System Splits'!$D$8:$D$469,$B18,'ISO w_System Splits'!H$8:H$469)</f>
        <v>8067990.540000001</v>
      </c>
      <c r="AG18" s="627">
        <f>SUMIF('ISO w_System Splits'!$D$8:$D$469,$B18,'ISO w_System Splits'!I$8:I$469)</f>
        <v>3035776.63</v>
      </c>
      <c r="AH18" s="627">
        <f>SUMIF('ISO w_System Splits'!$D$8:$D$469,$B18,'ISO w_System Splits'!J$8:J$469)</f>
        <v>0</v>
      </c>
      <c r="AI18" s="388"/>
      <c r="AJ18" s="627">
        <v>0</v>
      </c>
      <c r="AK18" s="627">
        <v>0</v>
      </c>
      <c r="AL18" s="627">
        <v>0</v>
      </c>
      <c r="AM18" s="388"/>
      <c r="AN18" s="627">
        <f>SUMIF('ISO w_System Splits'!$D$8:$D$615,$B18,'ISO w_System Splits'!H$8:H$615)-SUMIF('ISO w_System Splits'!$D$470:$D$520,$B18,'ISO w_System Splits'!H$470:H$520)</f>
        <v>8067990.540000001</v>
      </c>
      <c r="AO18" s="627">
        <f>SUMIF('ISO w_System Splits'!$D$8:$D$615,$B18,'ISO w_System Splits'!I$8:I$615)-SUMIF('ISO w_System Splits'!$D$470:$D$520,$B18,'ISO w_System Splits'!I$470:I$520)</f>
        <v>3035776.63</v>
      </c>
      <c r="AP18" s="627">
        <f>SUMIF('ISO w_System Splits'!$D$8:$D$615,$B18,'ISO w_System Splits'!J$8:J$615)-SUMIF('ISO w_System Splits'!$D$470:$D$520,$B18,'ISO w_System Splits'!J$470:J$520)</f>
        <v>0</v>
      </c>
      <c r="AQ18" s="388"/>
      <c r="AR18" s="627">
        <v>0</v>
      </c>
      <c r="AS18" s="627">
        <v>0</v>
      </c>
      <c r="AT18" s="627">
        <v>0</v>
      </c>
      <c r="AW18" s="95">
        <f t="shared" si="5"/>
        <v>0</v>
      </c>
      <c r="AX18" s="95">
        <f t="shared" si="6"/>
        <v>0</v>
      </c>
      <c r="AY18" s="95">
        <f t="shared" si="7"/>
        <v>0</v>
      </c>
      <c r="BA18" s="95">
        <f t="shared" si="8"/>
        <v>0</v>
      </c>
      <c r="BB18" s="95">
        <f t="shared" si="9"/>
        <v>0</v>
      </c>
      <c r="BC18" s="95">
        <f t="shared" si="10"/>
        <v>0</v>
      </c>
    </row>
    <row r="19" spans="1:55" ht="15" customHeight="1" x14ac:dyDescent="0.25">
      <c r="A19" s="40" t="s">
        <v>1320</v>
      </c>
      <c r="B19" s="18">
        <v>4111</v>
      </c>
      <c r="C19" s="626">
        <v>1943.6299999999999</v>
      </c>
      <c r="D19" s="626">
        <v>0</v>
      </c>
      <c r="E19" s="626">
        <v>0</v>
      </c>
      <c r="F19" s="626">
        <v>0</v>
      </c>
      <c r="G19" s="626">
        <v>0</v>
      </c>
      <c r="H19" s="626">
        <v>0</v>
      </c>
      <c r="I19" s="627">
        <f t="shared" si="0"/>
        <v>1943.6299999999999</v>
      </c>
      <c r="J19" s="628"/>
      <c r="K19" s="627">
        <v>0</v>
      </c>
      <c r="L19" s="627">
        <v>0</v>
      </c>
      <c r="M19" s="627">
        <v>0</v>
      </c>
      <c r="N19" s="627">
        <f>IF('Plant Total by Account'!$J$1=1,AF19,IF('Plant Total by Account'!$J$1=2,AN19,"Input Toggle"))</f>
        <v>1943.6300000000006</v>
      </c>
      <c r="O19" s="627">
        <f>IF('Plant Total by Account'!$J$1=1,AG19,IF('Plant Total by Account'!$J$1=2,AO19,"Input Toggle"))</f>
        <v>0</v>
      </c>
      <c r="P19" s="627">
        <f>IF('Plant Total by Account'!$J$1=1,AH19,IF('Plant Total by Account'!$J$1=2,AP19,"Input Toggle"))</f>
        <v>0</v>
      </c>
      <c r="Q19" s="627">
        <f t="shared" si="11"/>
        <v>0</v>
      </c>
      <c r="R19" s="627">
        <f t="shared" si="12"/>
        <v>0</v>
      </c>
      <c r="S19" s="627">
        <f t="shared" si="13"/>
        <v>0</v>
      </c>
      <c r="T19" s="388"/>
      <c r="U19" s="627">
        <v>0</v>
      </c>
      <c r="V19" s="627">
        <v>0</v>
      </c>
      <c r="W19" s="627">
        <v>0</v>
      </c>
      <c r="X19" s="627">
        <f>IF('Plant Total by Account'!$J$1=1,AJ19,IF('Plant Total by Account'!$J$1=2,AR19,"Input Toggle"))</f>
        <v>0</v>
      </c>
      <c r="Y19" s="627">
        <f>IF('Plant Total by Account'!$J$1=1,AK19,IF('Plant Total by Account'!$J$1=2,AS19,"Input Toggle"))</f>
        <v>0</v>
      </c>
      <c r="Z19" s="627">
        <f>IF('Plant Total by Account'!$J$1=1,AL19,IF('Plant Total by Account'!$J$1=2,AT19,"Input Toggle"))</f>
        <v>0</v>
      </c>
      <c r="AA19" s="627">
        <f t="shared" si="1"/>
        <v>0</v>
      </c>
      <c r="AB19" s="627">
        <f t="shared" si="2"/>
        <v>0</v>
      </c>
      <c r="AC19" s="627">
        <f t="shared" si="3"/>
        <v>0</v>
      </c>
      <c r="AD19" s="388">
        <f t="shared" si="4"/>
        <v>0</v>
      </c>
      <c r="AE19" s="388"/>
      <c r="AF19" s="627">
        <f>SUMIF('ISO w_System Splits'!$D$8:$D$469,$B19,'ISO w_System Splits'!H$8:H$469)</f>
        <v>1943.6300000000006</v>
      </c>
      <c r="AG19" s="627">
        <f>SUMIF('ISO w_System Splits'!$D$8:$D$469,$B19,'ISO w_System Splits'!I$8:I$469)</f>
        <v>0</v>
      </c>
      <c r="AH19" s="627">
        <f>SUMIF('ISO w_System Splits'!$D$8:$D$469,$B19,'ISO w_System Splits'!J$8:J$469)</f>
        <v>0</v>
      </c>
      <c r="AI19" s="388"/>
      <c r="AJ19" s="627">
        <v>0</v>
      </c>
      <c r="AK19" s="627">
        <v>0</v>
      </c>
      <c r="AL19" s="627">
        <v>0</v>
      </c>
      <c r="AM19" s="388"/>
      <c r="AN19" s="627">
        <f>SUMIF('ISO w_System Splits'!$D$8:$D$615,$B19,'ISO w_System Splits'!H$8:H$615)-SUMIF('ISO w_System Splits'!$D$470:$D$520,$B19,'ISO w_System Splits'!H$470:H$520)</f>
        <v>1943.6300000000006</v>
      </c>
      <c r="AO19" s="627">
        <f>SUMIF('ISO w_System Splits'!$D$8:$D$615,$B19,'ISO w_System Splits'!I$8:I$615)-SUMIF('ISO w_System Splits'!$D$470:$D$520,$B19,'ISO w_System Splits'!I$470:I$520)</f>
        <v>0</v>
      </c>
      <c r="AP19" s="627">
        <f>SUMIF('ISO w_System Splits'!$D$8:$D$615,$B19,'ISO w_System Splits'!J$8:J$615)-SUMIF('ISO w_System Splits'!$D$470:$D$520,$B19,'ISO w_System Splits'!J$470:J$520)</f>
        <v>0</v>
      </c>
      <c r="AQ19" s="388"/>
      <c r="AR19" s="627">
        <v>0</v>
      </c>
      <c r="AS19" s="627">
        <v>0</v>
      </c>
      <c r="AT19" s="627">
        <v>0</v>
      </c>
      <c r="AW19" s="95">
        <f t="shared" si="5"/>
        <v>0</v>
      </c>
      <c r="AX19" s="95">
        <f t="shared" si="6"/>
        <v>0</v>
      </c>
      <c r="AY19" s="95">
        <f t="shared" si="7"/>
        <v>0</v>
      </c>
      <c r="BA19" s="95">
        <f t="shared" si="8"/>
        <v>0</v>
      </c>
      <c r="BB19" s="95">
        <f t="shared" si="9"/>
        <v>0</v>
      </c>
      <c r="BC19" s="95">
        <f t="shared" si="10"/>
        <v>0</v>
      </c>
    </row>
    <row r="20" spans="1:55" ht="15" customHeight="1" x14ac:dyDescent="0.25">
      <c r="A20" s="40" t="s">
        <v>1321</v>
      </c>
      <c r="B20" s="18">
        <v>4113</v>
      </c>
      <c r="C20" s="626">
        <v>874871.71</v>
      </c>
      <c r="D20" s="626">
        <v>0</v>
      </c>
      <c r="E20" s="626">
        <v>0</v>
      </c>
      <c r="F20" s="626">
        <v>0</v>
      </c>
      <c r="G20" s="626">
        <v>0</v>
      </c>
      <c r="H20" s="626">
        <v>0</v>
      </c>
      <c r="I20" s="627">
        <f t="shared" si="0"/>
        <v>874871.71</v>
      </c>
      <c r="J20" s="628"/>
      <c r="K20" s="627">
        <v>0</v>
      </c>
      <c r="L20" s="627">
        <v>0</v>
      </c>
      <c r="M20" s="627">
        <v>0</v>
      </c>
      <c r="N20" s="627">
        <f>IF('Plant Total by Account'!$J$1=1,AF20,IF('Plant Total by Account'!$J$1=2,AN20,"Input Toggle"))</f>
        <v>866527.70676984976</v>
      </c>
      <c r="O20" s="627">
        <f>IF('Plant Total by Account'!$J$1=1,AG20,IF('Plant Total by Account'!$J$1=2,AO20,"Input Toggle"))</f>
        <v>0</v>
      </c>
      <c r="P20" s="627">
        <f>IF('Plant Total by Account'!$J$1=1,AH20,IF('Plant Total by Account'!$J$1=2,AP20,"Input Toggle"))</f>
        <v>0</v>
      </c>
      <c r="Q20" s="627">
        <f t="shared" si="11"/>
        <v>8344.0032301502069</v>
      </c>
      <c r="R20" s="627">
        <f t="shared" si="12"/>
        <v>0</v>
      </c>
      <c r="S20" s="627">
        <f t="shared" si="13"/>
        <v>0</v>
      </c>
      <c r="T20" s="388"/>
      <c r="U20" s="627">
        <v>0</v>
      </c>
      <c r="V20" s="627">
        <v>0</v>
      </c>
      <c r="W20" s="627">
        <v>0</v>
      </c>
      <c r="X20" s="627">
        <f>IF('Plant Total by Account'!$J$1=1,AJ20,IF('Plant Total by Account'!$J$1=2,AR20,"Input Toggle"))</f>
        <v>0</v>
      </c>
      <c r="Y20" s="627">
        <f>IF('Plant Total by Account'!$J$1=1,AK20,IF('Plant Total by Account'!$J$1=2,AS20,"Input Toggle"))</f>
        <v>0</v>
      </c>
      <c r="Z20" s="627">
        <f>IF('Plant Total by Account'!$J$1=1,AL20,IF('Plant Total by Account'!$J$1=2,AT20,"Input Toggle"))</f>
        <v>0</v>
      </c>
      <c r="AA20" s="627">
        <f t="shared" si="1"/>
        <v>0</v>
      </c>
      <c r="AB20" s="627">
        <f t="shared" si="2"/>
        <v>0</v>
      </c>
      <c r="AC20" s="627">
        <f t="shared" si="3"/>
        <v>0</v>
      </c>
      <c r="AD20" s="388">
        <f t="shared" si="4"/>
        <v>0</v>
      </c>
      <c r="AE20" s="388"/>
      <c r="AF20" s="627">
        <f>SUMIF('ISO w_System Splits'!$D$8:$D$469,$B20,'ISO w_System Splits'!H$8:H$469)</f>
        <v>866527.70676984976</v>
      </c>
      <c r="AG20" s="627">
        <f>SUMIF('ISO w_System Splits'!$D$8:$D$469,$B20,'ISO w_System Splits'!I$8:I$469)</f>
        <v>0</v>
      </c>
      <c r="AH20" s="627">
        <f>SUMIF('ISO w_System Splits'!$D$8:$D$469,$B20,'ISO w_System Splits'!J$8:J$469)</f>
        <v>0</v>
      </c>
      <c r="AI20" s="388"/>
      <c r="AJ20" s="627">
        <v>0</v>
      </c>
      <c r="AK20" s="627">
        <v>0</v>
      </c>
      <c r="AL20" s="627">
        <v>0</v>
      </c>
      <c r="AM20" s="388"/>
      <c r="AN20" s="627">
        <f>SUMIF('ISO w_System Splits'!$D$8:$D$615,$B20,'ISO w_System Splits'!H$8:H$615)-SUMIF('ISO w_System Splits'!$D$470:$D$520,$B20,'ISO w_System Splits'!H$470:H$520)</f>
        <v>866527.70676984976</v>
      </c>
      <c r="AO20" s="627">
        <f>SUMIF('ISO w_System Splits'!$D$8:$D$615,$B20,'ISO w_System Splits'!I$8:I$615)-SUMIF('ISO w_System Splits'!$D$470:$D$520,$B20,'ISO w_System Splits'!I$470:I$520)</f>
        <v>0</v>
      </c>
      <c r="AP20" s="627">
        <f>SUMIF('ISO w_System Splits'!$D$8:$D$615,$B20,'ISO w_System Splits'!J$8:J$615)-SUMIF('ISO w_System Splits'!$D$470:$D$520,$B20,'ISO w_System Splits'!J$470:J$520)</f>
        <v>0</v>
      </c>
      <c r="AQ20" s="388"/>
      <c r="AR20" s="627">
        <v>0</v>
      </c>
      <c r="AS20" s="627">
        <v>0</v>
      </c>
      <c r="AT20" s="627">
        <v>0</v>
      </c>
      <c r="AW20" s="95">
        <f t="shared" si="5"/>
        <v>0</v>
      </c>
      <c r="AX20" s="95">
        <f t="shared" si="6"/>
        <v>0</v>
      </c>
      <c r="AY20" s="95">
        <f t="shared" si="7"/>
        <v>0</v>
      </c>
      <c r="BA20" s="95">
        <f t="shared" si="8"/>
        <v>0</v>
      </c>
      <c r="BB20" s="95">
        <f t="shared" si="9"/>
        <v>0</v>
      </c>
      <c r="BC20" s="95">
        <f t="shared" si="10"/>
        <v>0</v>
      </c>
    </row>
    <row r="21" spans="1:55" ht="15" customHeight="1" x14ac:dyDescent="0.25">
      <c r="A21" s="40" t="s">
        <v>1436</v>
      </c>
      <c r="B21" s="18">
        <v>4114</v>
      </c>
      <c r="C21" s="626">
        <v>3210577.8000000003</v>
      </c>
      <c r="D21" s="626">
        <v>534060.26</v>
      </c>
      <c r="E21" s="626">
        <v>661181.77</v>
      </c>
      <c r="F21" s="626">
        <v>0</v>
      </c>
      <c r="G21" s="626">
        <v>0</v>
      </c>
      <c r="H21" s="626">
        <v>0</v>
      </c>
      <c r="I21" s="627">
        <f t="shared" si="0"/>
        <v>4405819.83</v>
      </c>
      <c r="J21" s="628"/>
      <c r="K21" s="627">
        <v>0</v>
      </c>
      <c r="L21" s="627">
        <v>0</v>
      </c>
      <c r="M21" s="627">
        <v>0</v>
      </c>
      <c r="N21" s="627">
        <f>IF('Plant Total by Account'!$J$1=1,AF21,IF('Plant Total by Account'!$J$1=2,AN21,"Input Toggle"))</f>
        <v>3063760.5697918776</v>
      </c>
      <c r="O21" s="627">
        <f>IF('Plant Total by Account'!$J$1=1,AG21,IF('Plant Total by Account'!$J$1=2,AO21,"Input Toggle"))</f>
        <v>514836.2580232817</v>
      </c>
      <c r="P21" s="627">
        <f>IF('Plant Total by Account'!$J$1=1,AH21,IF('Plant Total by Account'!$J$1=2,AP21,"Input Toggle"))</f>
        <v>630944.71945687162</v>
      </c>
      <c r="Q21" s="627">
        <f t="shared" si="11"/>
        <v>146817.23020812264</v>
      </c>
      <c r="R21" s="627">
        <f t="shared" si="12"/>
        <v>19224.001976718311</v>
      </c>
      <c r="S21" s="627">
        <f t="shared" si="13"/>
        <v>30237.050543128396</v>
      </c>
      <c r="T21" s="388"/>
      <c r="U21" s="627">
        <v>0</v>
      </c>
      <c r="V21" s="627">
        <v>0</v>
      </c>
      <c r="W21" s="627">
        <v>0</v>
      </c>
      <c r="X21" s="627">
        <f>IF('Plant Total by Account'!$J$1=1,AJ21,IF('Plant Total by Account'!$J$1=2,AR21,"Input Toggle"))</f>
        <v>0</v>
      </c>
      <c r="Y21" s="627">
        <f>IF('Plant Total by Account'!$J$1=1,AK21,IF('Plant Total by Account'!$J$1=2,AS21,"Input Toggle"))</f>
        <v>0</v>
      </c>
      <c r="Z21" s="627">
        <f>IF('Plant Total by Account'!$J$1=1,AL21,IF('Plant Total by Account'!$J$1=2,AT21,"Input Toggle"))</f>
        <v>0</v>
      </c>
      <c r="AA21" s="627">
        <f t="shared" si="1"/>
        <v>0</v>
      </c>
      <c r="AB21" s="627">
        <f t="shared" si="2"/>
        <v>0</v>
      </c>
      <c r="AC21" s="627">
        <f t="shared" si="3"/>
        <v>0</v>
      </c>
      <c r="AD21" s="388">
        <f t="shared" si="4"/>
        <v>0</v>
      </c>
      <c r="AE21" s="388"/>
      <c r="AF21" s="627">
        <f>SUMIF('ISO w_System Splits'!$D$8:$D$469,$B21,'ISO w_System Splits'!H$8:H$469)</f>
        <v>3063760.5697918776</v>
      </c>
      <c r="AG21" s="627">
        <f>SUMIF('ISO w_System Splits'!$D$8:$D$469,$B21,'ISO w_System Splits'!I$8:I$469)</f>
        <v>514836.2580232817</v>
      </c>
      <c r="AH21" s="627">
        <f>SUMIF('ISO w_System Splits'!$D$8:$D$469,$B21,'ISO w_System Splits'!J$8:J$469)</f>
        <v>630944.71945687162</v>
      </c>
      <c r="AI21" s="388"/>
      <c r="AJ21" s="627">
        <v>0</v>
      </c>
      <c r="AK21" s="627">
        <v>0</v>
      </c>
      <c r="AL21" s="627">
        <v>0</v>
      </c>
      <c r="AM21" s="388"/>
      <c r="AN21" s="627">
        <f>SUMIF('ISO w_System Splits'!$D$8:$D$615,$B21,'ISO w_System Splits'!H$8:H$615)-SUMIF('ISO w_System Splits'!$D$470:$D$520,$B21,'ISO w_System Splits'!H$470:H$520)</f>
        <v>3063760.5697918776</v>
      </c>
      <c r="AO21" s="627">
        <f>SUMIF('ISO w_System Splits'!$D$8:$D$615,$B21,'ISO w_System Splits'!I$8:I$615)-SUMIF('ISO w_System Splits'!$D$470:$D$520,$B21,'ISO w_System Splits'!I$470:I$520)</f>
        <v>514836.2580232817</v>
      </c>
      <c r="AP21" s="627">
        <f>SUMIF('ISO w_System Splits'!$D$8:$D$615,$B21,'ISO w_System Splits'!J$8:J$615)-SUMIF('ISO w_System Splits'!$D$470:$D$520,$B21,'ISO w_System Splits'!J$470:J$520)</f>
        <v>630944.71945687162</v>
      </c>
      <c r="AQ21" s="388"/>
      <c r="AR21" s="627">
        <v>0</v>
      </c>
      <c r="AS21" s="627">
        <v>0</v>
      </c>
      <c r="AT21" s="627">
        <v>0</v>
      </c>
      <c r="AW21" s="95">
        <f t="shared" si="5"/>
        <v>0</v>
      </c>
      <c r="AX21" s="95">
        <f t="shared" si="6"/>
        <v>0</v>
      </c>
      <c r="AY21" s="95">
        <f t="shared" si="7"/>
        <v>0</v>
      </c>
      <c r="BA21" s="95">
        <f t="shared" si="8"/>
        <v>0</v>
      </c>
      <c r="BB21" s="95">
        <f t="shared" si="9"/>
        <v>0</v>
      </c>
      <c r="BC21" s="95">
        <f t="shared" si="10"/>
        <v>0</v>
      </c>
    </row>
    <row r="22" spans="1:55" ht="15" customHeight="1" x14ac:dyDescent="0.25">
      <c r="A22" s="40" t="s">
        <v>1437</v>
      </c>
      <c r="B22" s="18">
        <v>4115</v>
      </c>
      <c r="C22" s="626">
        <v>1607024.1400000001</v>
      </c>
      <c r="D22" s="626">
        <v>531634.82999999996</v>
      </c>
      <c r="E22" s="626">
        <v>2148.6799999999998</v>
      </c>
      <c r="F22" s="626">
        <v>0</v>
      </c>
      <c r="G22" s="626">
        <v>0</v>
      </c>
      <c r="H22" s="626">
        <v>0</v>
      </c>
      <c r="I22" s="627">
        <f t="shared" si="0"/>
        <v>2140807.6500000004</v>
      </c>
      <c r="J22" s="628"/>
      <c r="K22" s="627">
        <v>0</v>
      </c>
      <c r="L22" s="627">
        <v>0</v>
      </c>
      <c r="M22" s="627">
        <v>0</v>
      </c>
      <c r="N22" s="627">
        <f>IF('Plant Total by Account'!$J$1=1,AF22,IF('Plant Total by Account'!$J$1=2,AN22,"Input Toggle"))</f>
        <v>1607024.1400000001</v>
      </c>
      <c r="O22" s="627">
        <f>IF('Plant Total by Account'!$J$1=1,AG22,IF('Plant Total by Account'!$J$1=2,AO22,"Input Toggle"))</f>
        <v>531634.82999999996</v>
      </c>
      <c r="P22" s="627">
        <f>IF('Plant Total by Account'!$J$1=1,AH22,IF('Plant Total by Account'!$J$1=2,AP22,"Input Toggle"))</f>
        <v>2148.6799999999998</v>
      </c>
      <c r="Q22" s="627">
        <f t="shared" si="11"/>
        <v>0</v>
      </c>
      <c r="R22" s="627">
        <f t="shared" si="12"/>
        <v>0</v>
      </c>
      <c r="S22" s="627">
        <f t="shared" si="13"/>
        <v>0</v>
      </c>
      <c r="T22" s="388"/>
      <c r="U22" s="627">
        <v>0</v>
      </c>
      <c r="V22" s="627">
        <v>0</v>
      </c>
      <c r="W22" s="627">
        <v>0</v>
      </c>
      <c r="X22" s="627">
        <f>IF('Plant Total by Account'!$J$1=1,AJ22,IF('Plant Total by Account'!$J$1=2,AR22,"Input Toggle"))</f>
        <v>0</v>
      </c>
      <c r="Y22" s="627">
        <f>IF('Plant Total by Account'!$J$1=1,AK22,IF('Plant Total by Account'!$J$1=2,AS22,"Input Toggle"))</f>
        <v>0</v>
      </c>
      <c r="Z22" s="627">
        <f>IF('Plant Total by Account'!$J$1=1,AL22,IF('Plant Total by Account'!$J$1=2,AT22,"Input Toggle"))</f>
        <v>0</v>
      </c>
      <c r="AA22" s="627">
        <f t="shared" si="1"/>
        <v>0</v>
      </c>
      <c r="AB22" s="627">
        <f t="shared" si="2"/>
        <v>0</v>
      </c>
      <c r="AC22" s="627">
        <f t="shared" si="3"/>
        <v>0</v>
      </c>
      <c r="AD22" s="388">
        <f t="shared" si="4"/>
        <v>0</v>
      </c>
      <c r="AE22" s="388"/>
      <c r="AF22" s="627">
        <f>SUMIF('ISO w_System Splits'!$D$8:$D$469,$B22,'ISO w_System Splits'!H$8:H$469)</f>
        <v>1607024.1400000001</v>
      </c>
      <c r="AG22" s="627">
        <f>SUMIF('ISO w_System Splits'!$D$8:$D$469,$B22,'ISO w_System Splits'!I$8:I$469)</f>
        <v>531634.82999999996</v>
      </c>
      <c r="AH22" s="627">
        <f>SUMIF('ISO w_System Splits'!$D$8:$D$469,$B22,'ISO w_System Splits'!J$8:J$469)</f>
        <v>2148.6799999999998</v>
      </c>
      <c r="AI22" s="388"/>
      <c r="AJ22" s="627">
        <v>0</v>
      </c>
      <c r="AK22" s="627">
        <v>0</v>
      </c>
      <c r="AL22" s="627">
        <v>0</v>
      </c>
      <c r="AM22" s="388"/>
      <c r="AN22" s="627">
        <f>SUMIF('ISO w_System Splits'!$D$8:$D$615,$B22,'ISO w_System Splits'!H$8:H$615)-SUMIF('ISO w_System Splits'!$D$470:$D$520,$B22,'ISO w_System Splits'!H$470:H$520)</f>
        <v>1607024.1400000001</v>
      </c>
      <c r="AO22" s="627">
        <f>SUMIF('ISO w_System Splits'!$D$8:$D$615,$B22,'ISO w_System Splits'!I$8:I$615)-SUMIF('ISO w_System Splits'!$D$470:$D$520,$B22,'ISO w_System Splits'!I$470:I$520)</f>
        <v>531634.82999999996</v>
      </c>
      <c r="AP22" s="627">
        <f>SUMIF('ISO w_System Splits'!$D$8:$D$615,$B22,'ISO w_System Splits'!J$8:J$615)-SUMIF('ISO w_System Splits'!$D$470:$D$520,$B22,'ISO w_System Splits'!J$470:J$520)</f>
        <v>2148.6799999999998</v>
      </c>
      <c r="AQ22" s="388"/>
      <c r="AR22" s="627">
        <v>0</v>
      </c>
      <c r="AS22" s="627">
        <v>0</v>
      </c>
      <c r="AT22" s="627">
        <v>0</v>
      </c>
      <c r="AW22" s="95">
        <f t="shared" si="5"/>
        <v>0</v>
      </c>
      <c r="AX22" s="95">
        <f t="shared" si="6"/>
        <v>0</v>
      </c>
      <c r="AY22" s="95">
        <f t="shared" si="7"/>
        <v>0</v>
      </c>
      <c r="BA22" s="95">
        <f t="shared" si="8"/>
        <v>0</v>
      </c>
      <c r="BB22" s="95">
        <f t="shared" si="9"/>
        <v>0</v>
      </c>
      <c r="BC22" s="95">
        <f t="shared" si="10"/>
        <v>0</v>
      </c>
    </row>
    <row r="23" spans="1:55" x14ac:dyDescent="0.25">
      <c r="A23" s="40" t="s">
        <v>1434</v>
      </c>
      <c r="B23" s="18">
        <v>4116</v>
      </c>
      <c r="C23" s="626">
        <v>3594552.46</v>
      </c>
      <c r="D23" s="629">
        <v>174910.36000000002</v>
      </c>
      <c r="E23" s="626">
        <v>2064.92</v>
      </c>
      <c r="F23" s="626">
        <v>0</v>
      </c>
      <c r="G23" s="626">
        <v>0</v>
      </c>
      <c r="H23" s="626">
        <v>0</v>
      </c>
      <c r="I23" s="627">
        <f t="shared" si="0"/>
        <v>3771527.7399999998</v>
      </c>
      <c r="J23" s="628"/>
      <c r="K23" s="627">
        <v>0</v>
      </c>
      <c r="L23" s="627">
        <v>0</v>
      </c>
      <c r="M23" s="627">
        <v>0</v>
      </c>
      <c r="N23" s="627">
        <f>IF('Plant Total by Account'!$J$1=1,AF23,IF('Plant Total by Account'!$J$1=2,AN23,"Input Toggle"))</f>
        <v>3594621.72</v>
      </c>
      <c r="O23" s="627">
        <f>IF('Plant Total by Account'!$J$1=1,AG23,IF('Plant Total by Account'!$J$1=2,AO23,"Input Toggle"))</f>
        <v>174910.36</v>
      </c>
      <c r="P23" s="627">
        <f>IF('Plant Total by Account'!$J$1=1,AH23,IF('Plant Total by Account'!$J$1=2,AP23,"Input Toggle"))</f>
        <v>2064.92</v>
      </c>
      <c r="Q23" s="627">
        <f>C23-N23</f>
        <v>-69.260000000242144</v>
      </c>
      <c r="R23" s="627">
        <f>IF((D23-O23)&lt;0,D23,D23-O23)</f>
        <v>2.9103830456733704E-11</v>
      </c>
      <c r="S23" s="627">
        <f>E23-P23</f>
        <v>0</v>
      </c>
      <c r="T23" s="388"/>
      <c r="U23" s="627">
        <v>0</v>
      </c>
      <c r="V23" s="627">
        <v>0</v>
      </c>
      <c r="W23" s="627">
        <v>0</v>
      </c>
      <c r="X23" s="627">
        <f>IF('Plant Total by Account'!$J$1=1,AJ23,IF('Plant Total by Account'!$J$1=2,AR23,"Input Toggle"))</f>
        <v>0</v>
      </c>
      <c r="Y23" s="627">
        <f>IF('Plant Total by Account'!$J$1=1,AK23,IF('Plant Total by Account'!$J$1=2,AS23,"Input Toggle"))</f>
        <v>0</v>
      </c>
      <c r="Z23" s="627">
        <f>IF('Plant Total by Account'!$J$1=1,AL23,IF('Plant Total by Account'!$J$1=2,AT23,"Input Toggle"))</f>
        <v>0</v>
      </c>
      <c r="AA23" s="627">
        <f t="shared" si="1"/>
        <v>0</v>
      </c>
      <c r="AB23" s="627">
        <f t="shared" si="2"/>
        <v>0</v>
      </c>
      <c r="AC23" s="627">
        <f t="shared" si="3"/>
        <v>0</v>
      </c>
      <c r="AD23" s="388">
        <f t="shared" si="4"/>
        <v>0</v>
      </c>
      <c r="AE23" s="388"/>
      <c r="AF23" s="627">
        <f>SUMIF('ISO w_System Splits'!$D$8:$D$469,$B23,'ISO w_System Splits'!H$8:H$469)</f>
        <v>3594621.72</v>
      </c>
      <c r="AG23" s="627">
        <f>SUMIF('ISO w_System Splits'!$D$8:$D$469,$B23,'ISO w_System Splits'!I$8:I$469)</f>
        <v>174910.36</v>
      </c>
      <c r="AH23" s="627">
        <f>SUMIF('ISO w_System Splits'!$D$8:$D$469,$B23,'ISO w_System Splits'!J$8:J$469)</f>
        <v>2064.92</v>
      </c>
      <c r="AI23" s="388"/>
      <c r="AJ23" s="627">
        <v>0</v>
      </c>
      <c r="AK23" s="627">
        <v>0</v>
      </c>
      <c r="AL23" s="627">
        <v>0</v>
      </c>
      <c r="AM23" s="388"/>
      <c r="AN23" s="627">
        <f>SUMIF('ISO w_System Splits'!$D$8:$D$615,$B23,'ISO w_System Splits'!H$8:H$615)-SUMIF('ISO w_System Splits'!$D$470:$D$520,$B23,'ISO w_System Splits'!H$470:H$520)</f>
        <v>3594621.72</v>
      </c>
      <c r="AO23" s="627">
        <f>SUMIF('ISO w_System Splits'!$D$8:$D$615,$B23,'ISO w_System Splits'!I$8:I$615)-SUMIF('ISO w_System Splits'!$D$470:$D$520,$B23,'ISO w_System Splits'!I$470:I$520)</f>
        <v>174910.36</v>
      </c>
      <c r="AP23" s="627">
        <f>SUMIF('ISO w_System Splits'!$D$8:$D$615,$B23,'ISO w_System Splits'!J$8:J$615)-SUMIF('ISO w_System Splits'!$D$470:$D$520,$B23,'ISO w_System Splits'!J$470:J$520)</f>
        <v>2064.92</v>
      </c>
      <c r="AQ23" s="388"/>
      <c r="AR23" s="627">
        <v>0</v>
      </c>
      <c r="AS23" s="627">
        <v>0</v>
      </c>
      <c r="AT23" s="627">
        <v>0</v>
      </c>
      <c r="AW23" s="95">
        <f t="shared" si="5"/>
        <v>0</v>
      </c>
      <c r="AX23" s="95">
        <f t="shared" si="6"/>
        <v>0</v>
      </c>
      <c r="AY23" s="95">
        <f t="shared" si="7"/>
        <v>0</v>
      </c>
      <c r="BA23" s="95">
        <f t="shared" si="8"/>
        <v>0</v>
      </c>
      <c r="BB23" s="95">
        <f t="shared" si="9"/>
        <v>0</v>
      </c>
      <c r="BC23" s="95">
        <f t="shared" si="10"/>
        <v>0</v>
      </c>
    </row>
    <row r="24" spans="1:55" ht="15" customHeight="1" x14ac:dyDescent="0.25">
      <c r="A24" s="40" t="s">
        <v>1434</v>
      </c>
      <c r="B24" s="18">
        <v>4117</v>
      </c>
      <c r="C24" s="626">
        <v>1005475.76</v>
      </c>
      <c r="D24" s="626">
        <v>7083.96</v>
      </c>
      <c r="E24" s="626">
        <v>12857.19</v>
      </c>
      <c r="F24" s="626">
        <v>0</v>
      </c>
      <c r="G24" s="626">
        <v>0</v>
      </c>
      <c r="H24" s="626">
        <v>0</v>
      </c>
      <c r="I24" s="627">
        <f t="shared" si="0"/>
        <v>1025416.9099999999</v>
      </c>
      <c r="J24" s="628"/>
      <c r="K24" s="627">
        <v>0</v>
      </c>
      <c r="L24" s="627">
        <v>0</v>
      </c>
      <c r="M24" s="627">
        <v>0</v>
      </c>
      <c r="N24" s="627">
        <f>IF('Plant Total by Account'!$J$1=1,AF24,IF('Plant Total by Account'!$J$1=2,AN24,"Input Toggle"))</f>
        <v>1005508.8399999996</v>
      </c>
      <c r="O24" s="627">
        <f>IF('Plant Total by Account'!$J$1=1,AG24,IF('Plant Total by Account'!$J$1=2,AO24,"Input Toggle"))</f>
        <v>7083.9599999999991</v>
      </c>
      <c r="P24" s="627">
        <f>IF('Plant Total by Account'!$J$1=1,AH24,IF('Plant Total by Account'!$J$1=2,AP24,"Input Toggle"))</f>
        <v>12857.189999999999</v>
      </c>
      <c r="Q24" s="627">
        <f t="shared" si="11"/>
        <v>-33.079999999608845</v>
      </c>
      <c r="R24" s="627">
        <f t="shared" si="12"/>
        <v>9.0949470177292824E-13</v>
      </c>
      <c r="S24" s="627">
        <f t="shared" si="13"/>
        <v>0</v>
      </c>
      <c r="T24" s="388"/>
      <c r="U24" s="627">
        <v>0</v>
      </c>
      <c r="V24" s="627">
        <v>0</v>
      </c>
      <c r="W24" s="627">
        <v>0</v>
      </c>
      <c r="X24" s="627">
        <f>IF('Plant Total by Account'!$J$1=1,AJ24,IF('Plant Total by Account'!$J$1=2,AR24,"Input Toggle"))</f>
        <v>0</v>
      </c>
      <c r="Y24" s="627">
        <f>IF('Plant Total by Account'!$J$1=1,AK24,IF('Plant Total by Account'!$J$1=2,AS24,"Input Toggle"))</f>
        <v>0</v>
      </c>
      <c r="Z24" s="627">
        <f>IF('Plant Total by Account'!$J$1=1,AL24,IF('Plant Total by Account'!$J$1=2,AT24,"Input Toggle"))</f>
        <v>0</v>
      </c>
      <c r="AA24" s="627">
        <f t="shared" si="1"/>
        <v>0</v>
      </c>
      <c r="AB24" s="627">
        <f t="shared" si="2"/>
        <v>0</v>
      </c>
      <c r="AC24" s="627">
        <f t="shared" si="3"/>
        <v>0</v>
      </c>
      <c r="AD24" s="388">
        <f t="shared" si="4"/>
        <v>0</v>
      </c>
      <c r="AE24" s="388"/>
      <c r="AF24" s="627">
        <f>SUMIF('ISO w_System Splits'!$D$8:$D$469,$B24,'ISO w_System Splits'!H$8:H$469)</f>
        <v>1005508.8399999996</v>
      </c>
      <c r="AG24" s="627">
        <f>SUMIF('ISO w_System Splits'!$D$8:$D$469,$B24,'ISO w_System Splits'!I$8:I$469)</f>
        <v>7083.9599999999991</v>
      </c>
      <c r="AH24" s="627">
        <f>SUMIF('ISO w_System Splits'!$D$8:$D$469,$B24,'ISO w_System Splits'!J$8:J$469)</f>
        <v>12857.189999999999</v>
      </c>
      <c r="AI24" s="388"/>
      <c r="AJ24" s="627">
        <v>0</v>
      </c>
      <c r="AK24" s="627">
        <v>0</v>
      </c>
      <c r="AL24" s="627">
        <v>0</v>
      </c>
      <c r="AM24" s="388"/>
      <c r="AN24" s="627">
        <f>SUMIF('ISO w_System Splits'!$D$8:$D$615,$B24,'ISO w_System Splits'!H$8:H$615)-SUMIF('ISO w_System Splits'!$D$470:$D$520,$B24,'ISO w_System Splits'!H$470:H$520)</f>
        <v>1005508.8399999996</v>
      </c>
      <c r="AO24" s="627">
        <f>SUMIF('ISO w_System Splits'!$D$8:$D$615,$B24,'ISO w_System Splits'!I$8:I$615)-SUMIF('ISO w_System Splits'!$D$470:$D$520,$B24,'ISO w_System Splits'!I$470:I$520)</f>
        <v>7083.9599999999991</v>
      </c>
      <c r="AP24" s="627">
        <f>SUMIF('ISO w_System Splits'!$D$8:$D$615,$B24,'ISO w_System Splits'!J$8:J$615)-SUMIF('ISO w_System Splits'!$D$470:$D$520,$B24,'ISO w_System Splits'!J$470:J$520)</f>
        <v>12857.189999999999</v>
      </c>
      <c r="AQ24" s="388"/>
      <c r="AR24" s="627">
        <v>0</v>
      </c>
      <c r="AS24" s="627">
        <v>0</v>
      </c>
      <c r="AT24" s="627">
        <v>0</v>
      </c>
      <c r="AW24" s="95">
        <f t="shared" si="5"/>
        <v>0</v>
      </c>
      <c r="AX24" s="95">
        <f t="shared" si="6"/>
        <v>0</v>
      </c>
      <c r="AY24" s="95">
        <f t="shared" si="7"/>
        <v>0</v>
      </c>
      <c r="BA24" s="95">
        <f t="shared" si="8"/>
        <v>0</v>
      </c>
      <c r="BB24" s="95">
        <f t="shared" si="9"/>
        <v>0</v>
      </c>
      <c r="BC24" s="95">
        <f t="shared" si="10"/>
        <v>0</v>
      </c>
    </row>
    <row r="25" spans="1:55" x14ac:dyDescent="0.25">
      <c r="A25" s="40" t="s">
        <v>1438</v>
      </c>
      <c r="B25" s="18">
        <v>4118</v>
      </c>
      <c r="C25" s="626">
        <v>5639404.7100000009</v>
      </c>
      <c r="D25" s="629">
        <v>134434.71000000002</v>
      </c>
      <c r="E25" s="626">
        <v>2259.8000000000002</v>
      </c>
      <c r="F25" s="626">
        <v>0</v>
      </c>
      <c r="G25" s="626">
        <v>0</v>
      </c>
      <c r="H25" s="626">
        <v>0</v>
      </c>
      <c r="I25" s="627">
        <f t="shared" si="0"/>
        <v>5776099.2200000007</v>
      </c>
      <c r="J25" s="628"/>
      <c r="K25" s="627">
        <v>0</v>
      </c>
      <c r="L25" s="627">
        <v>0</v>
      </c>
      <c r="M25" s="627">
        <v>0</v>
      </c>
      <c r="N25" s="627">
        <f>IF('Plant Total by Account'!$J$1=1,AF25,IF('Plant Total by Account'!$J$1=2,AN25,"Input Toggle"))</f>
        <v>5239034.8803760903</v>
      </c>
      <c r="O25" s="627">
        <f>IF('Plant Total by Account'!$J$1=1,AG25,IF('Plant Total by Account'!$J$1=2,AO25,"Input Toggle"))</f>
        <v>124516.07307997544</v>
      </c>
      <c r="P25" s="627">
        <f>IF('Plant Total by Account'!$J$1=1,AH25,IF('Plant Total by Account'!$J$1=2,AP25,"Input Toggle"))</f>
        <v>2093.0712161028086</v>
      </c>
      <c r="Q25" s="627">
        <f t="shared" si="11"/>
        <v>400369.8296239106</v>
      </c>
      <c r="R25" s="627">
        <f t="shared" si="12"/>
        <v>9918.6369200245827</v>
      </c>
      <c r="S25" s="627">
        <f t="shared" si="13"/>
        <v>166.72878389719153</v>
      </c>
      <c r="T25" s="388"/>
      <c r="U25" s="627">
        <v>0</v>
      </c>
      <c r="V25" s="627">
        <v>0</v>
      </c>
      <c r="W25" s="627">
        <v>0</v>
      </c>
      <c r="X25" s="627">
        <f>IF('Plant Total by Account'!$J$1=1,AJ25,IF('Plant Total by Account'!$J$1=2,AR25,"Input Toggle"))</f>
        <v>0</v>
      </c>
      <c r="Y25" s="627">
        <f>IF('Plant Total by Account'!$J$1=1,AK25,IF('Plant Total by Account'!$J$1=2,AS25,"Input Toggle"))</f>
        <v>0</v>
      </c>
      <c r="Z25" s="627">
        <f>IF('Plant Total by Account'!$J$1=1,AL25,IF('Plant Total by Account'!$J$1=2,AT25,"Input Toggle"))</f>
        <v>0</v>
      </c>
      <c r="AA25" s="627">
        <f t="shared" si="1"/>
        <v>0</v>
      </c>
      <c r="AB25" s="627">
        <f t="shared" si="2"/>
        <v>0</v>
      </c>
      <c r="AC25" s="627">
        <f t="shared" si="3"/>
        <v>0</v>
      </c>
      <c r="AD25" s="388">
        <f t="shared" si="4"/>
        <v>0</v>
      </c>
      <c r="AE25" s="388"/>
      <c r="AF25" s="627">
        <f>SUMIF('ISO w_System Splits'!$D$8:$D$469,$B25,'ISO w_System Splits'!H$8:H$469)</f>
        <v>5239034.8803760903</v>
      </c>
      <c r="AG25" s="627">
        <f>SUMIF('ISO w_System Splits'!$D$8:$D$469,$B25,'ISO w_System Splits'!I$8:I$469)</f>
        <v>124516.07307997544</v>
      </c>
      <c r="AH25" s="627">
        <f>SUMIF('ISO w_System Splits'!$D$8:$D$469,$B25,'ISO w_System Splits'!J$8:J$469)</f>
        <v>2093.0712161028086</v>
      </c>
      <c r="AI25" s="388"/>
      <c r="AJ25" s="627">
        <v>0</v>
      </c>
      <c r="AK25" s="627">
        <v>0</v>
      </c>
      <c r="AL25" s="627">
        <v>0</v>
      </c>
      <c r="AM25" s="388"/>
      <c r="AN25" s="627">
        <f>SUMIF('ISO w_System Splits'!$D$8:$D$615,$B25,'ISO w_System Splits'!H$8:H$615)-SUMIF('ISO w_System Splits'!$D$470:$D$520,$B25,'ISO w_System Splits'!H$470:H$520)</f>
        <v>5239034.8803760903</v>
      </c>
      <c r="AO25" s="627">
        <f>SUMIF('ISO w_System Splits'!$D$8:$D$615,$B25,'ISO w_System Splits'!I$8:I$615)-SUMIF('ISO w_System Splits'!$D$470:$D$520,$B25,'ISO w_System Splits'!I$470:I$520)</f>
        <v>124516.07307997544</v>
      </c>
      <c r="AP25" s="627">
        <f>SUMIF('ISO w_System Splits'!$D$8:$D$615,$B25,'ISO w_System Splits'!J$8:J$615)-SUMIF('ISO w_System Splits'!$D$470:$D$520,$B25,'ISO w_System Splits'!J$470:J$520)</f>
        <v>2093.0712161028086</v>
      </c>
      <c r="AQ25" s="388"/>
      <c r="AR25" s="627">
        <v>0</v>
      </c>
      <c r="AS25" s="627">
        <v>0</v>
      </c>
      <c r="AT25" s="627">
        <v>0</v>
      </c>
      <c r="AW25" s="95">
        <f t="shared" si="5"/>
        <v>0</v>
      </c>
      <c r="AX25" s="95">
        <f t="shared" si="6"/>
        <v>0</v>
      </c>
      <c r="AY25" s="95">
        <f t="shared" si="7"/>
        <v>0</v>
      </c>
      <c r="BA25" s="95">
        <f t="shared" si="8"/>
        <v>0</v>
      </c>
      <c r="BB25" s="95">
        <f t="shared" si="9"/>
        <v>0</v>
      </c>
      <c r="BC25" s="95">
        <f t="shared" si="10"/>
        <v>0</v>
      </c>
    </row>
    <row r="26" spans="1:55" x14ac:dyDescent="0.25">
      <c r="A26" s="40" t="s">
        <v>1434</v>
      </c>
      <c r="B26" s="18">
        <v>4119</v>
      </c>
      <c r="C26" s="626">
        <v>2099654.15</v>
      </c>
      <c r="D26" s="629">
        <v>71859.650000000009</v>
      </c>
      <c r="E26" s="626">
        <v>100.89</v>
      </c>
      <c r="F26" s="626">
        <v>0</v>
      </c>
      <c r="G26" s="626">
        <v>0</v>
      </c>
      <c r="H26" s="626">
        <v>0</v>
      </c>
      <c r="I26" s="627">
        <f t="shared" si="0"/>
        <v>2171614.69</v>
      </c>
      <c r="J26" s="628"/>
      <c r="K26" s="627">
        <v>0</v>
      </c>
      <c r="L26" s="627">
        <v>0</v>
      </c>
      <c r="M26" s="627">
        <v>0</v>
      </c>
      <c r="N26" s="627">
        <f>IF('Plant Total by Account'!$J$1=1,AF26,IF('Plant Total by Account'!$J$1=2,AN26,"Input Toggle"))</f>
        <v>1793706.872299684</v>
      </c>
      <c r="O26" s="627">
        <f>IF('Plant Total by Account'!$J$1=1,AG26,IF('Plant Total by Account'!$J$1=2,AO26,"Input Toggle"))</f>
        <v>61385.087068522727</v>
      </c>
      <c r="P26" s="627">
        <f>IF('Plant Total by Account'!$J$1=1,AH26,IF('Plant Total by Account'!$J$1=2,AP26,"Input Toggle"))</f>
        <v>86.183851916106718</v>
      </c>
      <c r="Q26" s="627">
        <f t="shared" si="11"/>
        <v>305947.27770031593</v>
      </c>
      <c r="R26" s="627">
        <f t="shared" si="12"/>
        <v>10474.562931477281</v>
      </c>
      <c r="S26" s="627">
        <f t="shared" si="13"/>
        <v>14.706148083893282</v>
      </c>
      <c r="T26" s="388"/>
      <c r="U26" s="627">
        <v>0</v>
      </c>
      <c r="V26" s="627">
        <v>0</v>
      </c>
      <c r="W26" s="627">
        <v>0</v>
      </c>
      <c r="X26" s="627">
        <f>IF('Plant Total by Account'!$J$1=1,AJ26,IF('Plant Total by Account'!$J$1=2,AR26,"Input Toggle"))</f>
        <v>0</v>
      </c>
      <c r="Y26" s="627">
        <f>IF('Plant Total by Account'!$J$1=1,AK26,IF('Plant Total by Account'!$J$1=2,AS26,"Input Toggle"))</f>
        <v>0</v>
      </c>
      <c r="Z26" s="627">
        <f>IF('Plant Total by Account'!$J$1=1,AL26,IF('Plant Total by Account'!$J$1=2,AT26,"Input Toggle"))</f>
        <v>0</v>
      </c>
      <c r="AA26" s="627">
        <f t="shared" si="1"/>
        <v>0</v>
      </c>
      <c r="AB26" s="627">
        <f t="shared" si="2"/>
        <v>0</v>
      </c>
      <c r="AC26" s="627">
        <f t="shared" si="3"/>
        <v>0</v>
      </c>
      <c r="AD26" s="388">
        <f t="shared" si="4"/>
        <v>0</v>
      </c>
      <c r="AE26" s="388"/>
      <c r="AF26" s="627">
        <f>SUMIF('ISO w_System Splits'!$D$8:$D$469,$B26,'ISO w_System Splits'!H$8:H$469)</f>
        <v>1793706.872299684</v>
      </c>
      <c r="AG26" s="627">
        <f>SUMIF('ISO w_System Splits'!$D$8:$D$469,$B26,'ISO w_System Splits'!I$8:I$469)</f>
        <v>61385.087068522727</v>
      </c>
      <c r="AH26" s="627">
        <f>SUMIF('ISO w_System Splits'!$D$8:$D$469,$B26,'ISO w_System Splits'!J$8:J$469)</f>
        <v>86.183851916106718</v>
      </c>
      <c r="AI26" s="388"/>
      <c r="AJ26" s="627">
        <v>0</v>
      </c>
      <c r="AK26" s="627">
        <v>0</v>
      </c>
      <c r="AL26" s="627">
        <v>0</v>
      </c>
      <c r="AM26" s="388"/>
      <c r="AN26" s="627">
        <f>SUMIF('ISO w_System Splits'!$D$8:$D$615,$B26,'ISO w_System Splits'!H$8:H$615)-SUMIF('ISO w_System Splits'!$D$470:$D$520,$B26,'ISO w_System Splits'!H$470:H$520)</f>
        <v>1793706.872299684</v>
      </c>
      <c r="AO26" s="627">
        <f>SUMIF('ISO w_System Splits'!$D$8:$D$615,$B26,'ISO w_System Splits'!I$8:I$615)-SUMIF('ISO w_System Splits'!$D$470:$D$520,$B26,'ISO w_System Splits'!I$470:I$520)</f>
        <v>61385.087068522727</v>
      </c>
      <c r="AP26" s="627">
        <f>SUMIF('ISO w_System Splits'!$D$8:$D$615,$B26,'ISO w_System Splits'!J$8:J$615)-SUMIF('ISO w_System Splits'!$D$470:$D$520,$B26,'ISO w_System Splits'!J$470:J$520)</f>
        <v>86.183851916106718</v>
      </c>
      <c r="AQ26" s="388"/>
      <c r="AR26" s="627">
        <v>0</v>
      </c>
      <c r="AS26" s="627">
        <v>0</v>
      </c>
      <c r="AT26" s="627">
        <v>0</v>
      </c>
      <c r="AW26" s="95">
        <f t="shared" si="5"/>
        <v>0</v>
      </c>
      <c r="AX26" s="95">
        <f t="shared" si="6"/>
        <v>0</v>
      </c>
      <c r="AY26" s="95">
        <f t="shared" si="7"/>
        <v>0</v>
      </c>
      <c r="BA26" s="95">
        <f t="shared" si="8"/>
        <v>0</v>
      </c>
      <c r="BB26" s="95">
        <f t="shared" si="9"/>
        <v>0</v>
      </c>
      <c r="BC26" s="95">
        <f t="shared" si="10"/>
        <v>0</v>
      </c>
    </row>
    <row r="27" spans="1:55" ht="15" customHeight="1" x14ac:dyDescent="0.25">
      <c r="A27" s="40" t="s">
        <v>1506</v>
      </c>
      <c r="B27" s="18">
        <v>4120</v>
      </c>
      <c r="C27" s="626">
        <v>4270244.0200000005</v>
      </c>
      <c r="D27" s="626">
        <v>298149.87000000005</v>
      </c>
      <c r="E27" s="626">
        <v>3380</v>
      </c>
      <c r="F27" s="626">
        <v>0</v>
      </c>
      <c r="G27" s="626">
        <v>0</v>
      </c>
      <c r="H27" s="626">
        <v>0</v>
      </c>
      <c r="I27" s="627">
        <f t="shared" si="0"/>
        <v>4571773.8900000006</v>
      </c>
      <c r="J27" s="628"/>
      <c r="K27" s="627">
        <v>0</v>
      </c>
      <c r="L27" s="627">
        <v>0</v>
      </c>
      <c r="M27" s="627">
        <v>0</v>
      </c>
      <c r="N27" s="627">
        <f>IF('Plant Total by Account'!$J$1=1,AF27,IF('Plant Total by Account'!$J$1=2,AN27,"Input Toggle"))</f>
        <v>3695472.462674276</v>
      </c>
      <c r="O27" s="627">
        <f>IF('Plant Total by Account'!$J$1=1,AG27,IF('Plant Total by Account'!$J$1=2,AO27,"Input Toggle"))</f>
        <v>258018.49563661142</v>
      </c>
      <c r="P27" s="627">
        <f>IF('Plant Total by Account'!$J$1=1,AH27,IF('Plant Total by Account'!$J$1=2,AP27,"Input Toggle"))</f>
        <v>2925.0474442660216</v>
      </c>
      <c r="Q27" s="627">
        <f t="shared" si="11"/>
        <v>574771.55732572451</v>
      </c>
      <c r="R27" s="627">
        <f t="shared" si="12"/>
        <v>40131.374363388633</v>
      </c>
      <c r="S27" s="627">
        <f t="shared" si="13"/>
        <v>454.95255573397844</v>
      </c>
      <c r="T27" s="388"/>
      <c r="U27" s="627">
        <v>0</v>
      </c>
      <c r="V27" s="627">
        <v>0</v>
      </c>
      <c r="W27" s="627">
        <v>0</v>
      </c>
      <c r="X27" s="627">
        <f>IF('Plant Total by Account'!$J$1=1,AJ27,IF('Plant Total by Account'!$J$1=2,AR27,"Input Toggle"))</f>
        <v>0</v>
      </c>
      <c r="Y27" s="627">
        <f>IF('Plant Total by Account'!$J$1=1,AK27,IF('Plant Total by Account'!$J$1=2,AS27,"Input Toggle"))</f>
        <v>0</v>
      </c>
      <c r="Z27" s="627">
        <f>IF('Plant Total by Account'!$J$1=1,AL27,IF('Plant Total by Account'!$J$1=2,AT27,"Input Toggle"))</f>
        <v>0</v>
      </c>
      <c r="AA27" s="627">
        <f t="shared" si="1"/>
        <v>0</v>
      </c>
      <c r="AB27" s="627">
        <f t="shared" si="2"/>
        <v>0</v>
      </c>
      <c r="AC27" s="627">
        <f t="shared" si="3"/>
        <v>0</v>
      </c>
      <c r="AD27" s="388">
        <f t="shared" si="4"/>
        <v>0</v>
      </c>
      <c r="AE27" s="388"/>
      <c r="AF27" s="627">
        <f>SUMIF('ISO w_System Splits'!$D$8:$D$469,$B27,'ISO w_System Splits'!H$8:H$469)</f>
        <v>3695472.462674276</v>
      </c>
      <c r="AG27" s="627">
        <f>SUMIF('ISO w_System Splits'!$D$8:$D$469,$B27,'ISO w_System Splits'!I$8:I$469)</f>
        <v>258018.49563661142</v>
      </c>
      <c r="AH27" s="627">
        <f>SUMIF('ISO w_System Splits'!$D$8:$D$469,$B27,'ISO w_System Splits'!J$8:J$469)</f>
        <v>2925.0474442660216</v>
      </c>
      <c r="AI27" s="388"/>
      <c r="AJ27" s="627">
        <v>0</v>
      </c>
      <c r="AK27" s="627">
        <v>0</v>
      </c>
      <c r="AL27" s="627">
        <v>0</v>
      </c>
      <c r="AM27" s="388"/>
      <c r="AN27" s="627">
        <f>SUMIF('ISO w_System Splits'!$D$8:$D$615,$B27,'ISO w_System Splits'!H$8:H$615)-SUMIF('ISO w_System Splits'!$D$470:$D$520,$B27,'ISO w_System Splits'!H$470:H$520)</f>
        <v>3695472.462674276</v>
      </c>
      <c r="AO27" s="627">
        <f>SUMIF('ISO w_System Splits'!$D$8:$D$615,$B27,'ISO w_System Splits'!I$8:I$615)-SUMIF('ISO w_System Splits'!$D$470:$D$520,$B27,'ISO w_System Splits'!I$470:I$520)</f>
        <v>258018.49563661142</v>
      </c>
      <c r="AP27" s="627">
        <f>SUMIF('ISO w_System Splits'!$D$8:$D$615,$B27,'ISO w_System Splits'!J$8:J$615)-SUMIF('ISO w_System Splits'!$D$470:$D$520,$B27,'ISO w_System Splits'!J$470:J$520)</f>
        <v>2925.0474442660216</v>
      </c>
      <c r="AQ27" s="388"/>
      <c r="AR27" s="627">
        <v>0</v>
      </c>
      <c r="AS27" s="627">
        <v>0</v>
      </c>
      <c r="AT27" s="627">
        <v>0</v>
      </c>
      <c r="AW27" s="95">
        <f t="shared" si="5"/>
        <v>0</v>
      </c>
      <c r="AX27" s="95">
        <f t="shared" si="6"/>
        <v>0</v>
      </c>
      <c r="AY27" s="95">
        <f t="shared" si="7"/>
        <v>0</v>
      </c>
      <c r="BA27" s="95">
        <f t="shared" si="8"/>
        <v>0</v>
      </c>
      <c r="BB27" s="95">
        <f t="shared" si="9"/>
        <v>0</v>
      </c>
      <c r="BC27" s="95">
        <f t="shared" si="10"/>
        <v>0</v>
      </c>
    </row>
    <row r="28" spans="1:55" ht="15" customHeight="1" x14ac:dyDescent="0.25">
      <c r="A28" s="40" t="s">
        <v>1322</v>
      </c>
      <c r="B28" s="18">
        <v>4121</v>
      </c>
      <c r="C28" s="626">
        <v>353928.47</v>
      </c>
      <c r="D28" s="626">
        <v>0</v>
      </c>
      <c r="E28" s="626">
        <v>0</v>
      </c>
      <c r="F28" s="626">
        <v>0</v>
      </c>
      <c r="G28" s="626">
        <v>0</v>
      </c>
      <c r="H28" s="626">
        <v>0</v>
      </c>
      <c r="I28" s="627">
        <f t="shared" si="0"/>
        <v>353928.47</v>
      </c>
      <c r="J28" s="628"/>
      <c r="K28" s="627">
        <v>0</v>
      </c>
      <c r="L28" s="627">
        <v>0</v>
      </c>
      <c r="M28" s="627">
        <v>0</v>
      </c>
      <c r="N28" s="627">
        <f>IF('Plant Total by Account'!$J$1=1,AF28,IF('Plant Total by Account'!$J$1=2,AN28,"Input Toggle"))</f>
        <v>353928.47</v>
      </c>
      <c r="O28" s="627">
        <f>IF('Plant Total by Account'!$J$1=1,AG28,IF('Plant Total by Account'!$J$1=2,AO28,"Input Toggle"))</f>
        <v>0</v>
      </c>
      <c r="P28" s="627">
        <f>IF('Plant Total by Account'!$J$1=1,AH28,IF('Plant Total by Account'!$J$1=2,AP28,"Input Toggle"))</f>
        <v>0</v>
      </c>
      <c r="Q28" s="627">
        <f t="shared" si="11"/>
        <v>0</v>
      </c>
      <c r="R28" s="627">
        <f t="shared" si="12"/>
        <v>0</v>
      </c>
      <c r="S28" s="627">
        <f t="shared" si="13"/>
        <v>0</v>
      </c>
      <c r="T28" s="388"/>
      <c r="U28" s="627">
        <v>0</v>
      </c>
      <c r="V28" s="627">
        <v>0</v>
      </c>
      <c r="W28" s="627">
        <v>0</v>
      </c>
      <c r="X28" s="627">
        <f>IF('Plant Total by Account'!$J$1=1,AJ28,IF('Plant Total by Account'!$J$1=2,AR28,"Input Toggle"))</f>
        <v>0</v>
      </c>
      <c r="Y28" s="627">
        <f>IF('Plant Total by Account'!$J$1=1,AK28,IF('Plant Total by Account'!$J$1=2,AS28,"Input Toggle"))</f>
        <v>0</v>
      </c>
      <c r="Z28" s="627">
        <f>IF('Plant Total by Account'!$J$1=1,AL28,IF('Plant Total by Account'!$J$1=2,AT28,"Input Toggle"))</f>
        <v>0</v>
      </c>
      <c r="AA28" s="627">
        <f t="shared" si="1"/>
        <v>0</v>
      </c>
      <c r="AB28" s="627">
        <f t="shared" si="2"/>
        <v>0</v>
      </c>
      <c r="AC28" s="627">
        <f t="shared" si="3"/>
        <v>0</v>
      </c>
      <c r="AD28" s="388">
        <f t="shared" si="4"/>
        <v>0</v>
      </c>
      <c r="AE28" s="388"/>
      <c r="AF28" s="627">
        <f>SUMIF('ISO w_System Splits'!$D$8:$D$469,$B28,'ISO w_System Splits'!H$8:H$469)</f>
        <v>353928.47</v>
      </c>
      <c r="AG28" s="627">
        <f>SUMIF('ISO w_System Splits'!$D$8:$D$469,$B28,'ISO w_System Splits'!I$8:I$469)</f>
        <v>0</v>
      </c>
      <c r="AH28" s="627">
        <f>SUMIF('ISO w_System Splits'!$D$8:$D$469,$B28,'ISO w_System Splits'!J$8:J$469)</f>
        <v>0</v>
      </c>
      <c r="AI28" s="388"/>
      <c r="AJ28" s="627">
        <v>0</v>
      </c>
      <c r="AK28" s="627">
        <v>0</v>
      </c>
      <c r="AL28" s="627">
        <v>0</v>
      </c>
      <c r="AM28" s="388"/>
      <c r="AN28" s="627">
        <f>SUMIF('ISO w_System Splits'!$D$8:$D$615,$B28,'ISO w_System Splits'!H$8:H$615)-SUMIF('ISO w_System Splits'!$D$470:$D$520,$B28,'ISO w_System Splits'!H$470:H$520)</f>
        <v>353928.47</v>
      </c>
      <c r="AO28" s="627">
        <f>SUMIF('ISO w_System Splits'!$D$8:$D$615,$B28,'ISO w_System Splits'!I$8:I$615)-SUMIF('ISO w_System Splits'!$D$470:$D$520,$B28,'ISO w_System Splits'!I$470:I$520)</f>
        <v>0</v>
      </c>
      <c r="AP28" s="627">
        <f>SUMIF('ISO w_System Splits'!$D$8:$D$615,$B28,'ISO w_System Splits'!J$8:J$615)-SUMIF('ISO w_System Splits'!$D$470:$D$520,$B28,'ISO w_System Splits'!J$470:J$520)</f>
        <v>0</v>
      </c>
      <c r="AQ28" s="388"/>
      <c r="AR28" s="627">
        <v>0</v>
      </c>
      <c r="AS28" s="627">
        <v>0</v>
      </c>
      <c r="AT28" s="627">
        <v>0</v>
      </c>
      <c r="AW28" s="95">
        <f t="shared" si="5"/>
        <v>0</v>
      </c>
      <c r="AX28" s="95">
        <f t="shared" si="6"/>
        <v>0</v>
      </c>
      <c r="AY28" s="95">
        <f t="shared" si="7"/>
        <v>0</v>
      </c>
      <c r="BA28" s="95">
        <f t="shared" si="8"/>
        <v>0</v>
      </c>
      <c r="BB28" s="95">
        <f t="shared" si="9"/>
        <v>0</v>
      </c>
      <c r="BC28" s="95">
        <f t="shared" si="10"/>
        <v>0</v>
      </c>
    </row>
    <row r="29" spans="1:55" ht="15" customHeight="1" x14ac:dyDescent="0.25">
      <c r="A29" s="40" t="s">
        <v>1002</v>
      </c>
      <c r="B29" s="18">
        <v>4123</v>
      </c>
      <c r="C29" s="626">
        <v>1734921.02</v>
      </c>
      <c r="D29" s="626">
        <v>0</v>
      </c>
      <c r="E29" s="626">
        <v>16632.95</v>
      </c>
      <c r="F29" s="626">
        <v>0</v>
      </c>
      <c r="G29" s="626">
        <v>0</v>
      </c>
      <c r="H29" s="626">
        <v>0</v>
      </c>
      <c r="I29" s="627">
        <f t="shared" si="0"/>
        <v>1751553.97</v>
      </c>
      <c r="J29" s="628"/>
      <c r="K29" s="627">
        <v>0</v>
      </c>
      <c r="L29" s="627">
        <v>0</v>
      </c>
      <c r="M29" s="627">
        <v>0</v>
      </c>
      <c r="N29" s="627">
        <f>IF('Plant Total by Account'!$J$1=1,AF29,IF('Plant Total by Account'!$J$1=2,AN29,"Input Toggle"))</f>
        <v>1734921.0199999998</v>
      </c>
      <c r="O29" s="627">
        <f>IF('Plant Total by Account'!$J$1=1,AG29,IF('Plant Total by Account'!$J$1=2,AO29,"Input Toggle"))</f>
        <v>0</v>
      </c>
      <c r="P29" s="627">
        <f>IF('Plant Total by Account'!$J$1=1,AH29,IF('Plant Total by Account'!$J$1=2,AP29,"Input Toggle"))</f>
        <v>16632.949999999997</v>
      </c>
      <c r="Q29" s="627">
        <f t="shared" si="11"/>
        <v>0</v>
      </c>
      <c r="R29" s="627">
        <f t="shared" si="12"/>
        <v>0</v>
      </c>
      <c r="S29" s="627">
        <f t="shared" si="13"/>
        <v>0</v>
      </c>
      <c r="T29" s="388"/>
      <c r="U29" s="627">
        <v>0</v>
      </c>
      <c r="V29" s="627">
        <v>0</v>
      </c>
      <c r="W29" s="627">
        <v>0</v>
      </c>
      <c r="X29" s="627">
        <f>IF('Plant Total by Account'!$J$1=1,AJ29,IF('Plant Total by Account'!$J$1=2,AR29,"Input Toggle"))</f>
        <v>0</v>
      </c>
      <c r="Y29" s="627">
        <f>IF('Plant Total by Account'!$J$1=1,AK29,IF('Plant Total by Account'!$J$1=2,AS29,"Input Toggle"))</f>
        <v>0</v>
      </c>
      <c r="Z29" s="627">
        <f>IF('Plant Total by Account'!$J$1=1,AL29,IF('Plant Total by Account'!$J$1=2,AT29,"Input Toggle"))</f>
        <v>0</v>
      </c>
      <c r="AA29" s="627">
        <f t="shared" si="1"/>
        <v>0</v>
      </c>
      <c r="AB29" s="627">
        <f t="shared" si="2"/>
        <v>0</v>
      </c>
      <c r="AC29" s="627">
        <f t="shared" si="3"/>
        <v>0</v>
      </c>
      <c r="AD29" s="388">
        <f t="shared" si="4"/>
        <v>0</v>
      </c>
      <c r="AE29" s="388"/>
      <c r="AF29" s="627">
        <f>SUMIF('ISO w_System Splits'!$D$8:$D$469,$B29,'ISO w_System Splits'!H$8:H$469)</f>
        <v>1734921.0199999998</v>
      </c>
      <c r="AG29" s="627">
        <f>SUMIF('ISO w_System Splits'!$D$8:$D$469,$B29,'ISO w_System Splits'!I$8:I$469)</f>
        <v>0</v>
      </c>
      <c r="AH29" s="627">
        <f>SUMIF('ISO w_System Splits'!$D$8:$D$469,$B29,'ISO w_System Splits'!J$8:J$469)</f>
        <v>16632.949999999997</v>
      </c>
      <c r="AI29" s="388"/>
      <c r="AJ29" s="627">
        <v>0</v>
      </c>
      <c r="AK29" s="627">
        <v>0</v>
      </c>
      <c r="AL29" s="627">
        <v>0</v>
      </c>
      <c r="AM29" s="388"/>
      <c r="AN29" s="627">
        <f>SUMIF('ISO w_System Splits'!$D$8:$D$615,$B29,'ISO w_System Splits'!H$8:H$615)-SUMIF('ISO w_System Splits'!$D$470:$D$520,$B29,'ISO w_System Splits'!H$470:H$520)</f>
        <v>1734921.0199999998</v>
      </c>
      <c r="AO29" s="627">
        <f>SUMIF('ISO w_System Splits'!$D$8:$D$615,$B29,'ISO w_System Splits'!I$8:I$615)-SUMIF('ISO w_System Splits'!$D$470:$D$520,$B29,'ISO w_System Splits'!I$470:I$520)</f>
        <v>0</v>
      </c>
      <c r="AP29" s="627">
        <f>SUMIF('ISO w_System Splits'!$D$8:$D$615,$B29,'ISO w_System Splits'!J$8:J$615)-SUMIF('ISO w_System Splits'!$D$470:$D$520,$B29,'ISO w_System Splits'!J$470:J$520)</f>
        <v>16632.949999999997</v>
      </c>
      <c r="AQ29" s="388"/>
      <c r="AR29" s="627">
        <v>0</v>
      </c>
      <c r="AS29" s="627">
        <v>0</v>
      </c>
      <c r="AT29" s="627">
        <v>0</v>
      </c>
      <c r="AW29" s="95">
        <f t="shared" si="5"/>
        <v>0</v>
      </c>
      <c r="AX29" s="95">
        <f t="shared" si="6"/>
        <v>0</v>
      </c>
      <c r="AY29" s="95">
        <f t="shared" si="7"/>
        <v>0</v>
      </c>
      <c r="BA29" s="95">
        <f t="shared" si="8"/>
        <v>0</v>
      </c>
      <c r="BB29" s="95">
        <f t="shared" si="9"/>
        <v>0</v>
      </c>
      <c r="BC29" s="95">
        <f t="shared" si="10"/>
        <v>0</v>
      </c>
    </row>
    <row r="30" spans="1:55" ht="15" customHeight="1" x14ac:dyDescent="0.25">
      <c r="A30" s="40" t="s">
        <v>511</v>
      </c>
      <c r="B30" s="18">
        <v>4124</v>
      </c>
      <c r="C30" s="626">
        <v>485.44</v>
      </c>
      <c r="D30" s="626">
        <v>0</v>
      </c>
      <c r="E30" s="626">
        <v>0</v>
      </c>
      <c r="F30" s="626">
        <v>0</v>
      </c>
      <c r="G30" s="626">
        <v>0</v>
      </c>
      <c r="H30" s="626">
        <v>0</v>
      </c>
      <c r="I30" s="627">
        <f t="shared" si="0"/>
        <v>485.44</v>
      </c>
      <c r="J30" s="628"/>
      <c r="K30" s="627">
        <v>0</v>
      </c>
      <c r="L30" s="627">
        <v>0</v>
      </c>
      <c r="M30" s="627">
        <v>0</v>
      </c>
      <c r="N30" s="627">
        <f>IF('Plant Total by Account'!$J$1=1,AF30,IF('Plant Total by Account'!$J$1=2,AN30,"Input Toggle"))</f>
        <v>0</v>
      </c>
      <c r="O30" s="627">
        <f>IF('Plant Total by Account'!$J$1=1,AG30,IF('Plant Total by Account'!$J$1=2,AO30,"Input Toggle"))</f>
        <v>0</v>
      </c>
      <c r="P30" s="627">
        <f>IF('Plant Total by Account'!$J$1=1,AH30,IF('Plant Total by Account'!$J$1=2,AP30,"Input Toggle"))</f>
        <v>0</v>
      </c>
      <c r="Q30" s="627">
        <f t="shared" si="11"/>
        <v>485.44</v>
      </c>
      <c r="R30" s="627">
        <f t="shared" si="12"/>
        <v>0</v>
      </c>
      <c r="S30" s="627">
        <f t="shared" si="13"/>
        <v>0</v>
      </c>
      <c r="T30" s="388"/>
      <c r="U30" s="627">
        <v>0</v>
      </c>
      <c r="V30" s="627">
        <v>0</v>
      </c>
      <c r="W30" s="627">
        <v>0</v>
      </c>
      <c r="X30" s="627">
        <f>IF('Plant Total by Account'!$J$1=1,AJ30,IF('Plant Total by Account'!$J$1=2,AR30,"Input Toggle"))</f>
        <v>0</v>
      </c>
      <c r="Y30" s="627">
        <f>IF('Plant Total by Account'!$J$1=1,AK30,IF('Plant Total by Account'!$J$1=2,AS30,"Input Toggle"))</f>
        <v>0</v>
      </c>
      <c r="Z30" s="627">
        <f>IF('Plant Total by Account'!$J$1=1,AL30,IF('Plant Total by Account'!$J$1=2,AT30,"Input Toggle"))</f>
        <v>0</v>
      </c>
      <c r="AA30" s="627">
        <f t="shared" si="1"/>
        <v>0</v>
      </c>
      <c r="AB30" s="627">
        <f t="shared" si="2"/>
        <v>0</v>
      </c>
      <c r="AC30" s="627">
        <f t="shared" si="3"/>
        <v>0</v>
      </c>
      <c r="AD30" s="388">
        <f t="shared" si="4"/>
        <v>0</v>
      </c>
      <c r="AE30" s="388"/>
      <c r="AF30" s="627">
        <f>SUMIF('ISO w_System Splits'!$D$8:$D$469,$B30,'ISO w_System Splits'!H$8:H$469)</f>
        <v>0</v>
      </c>
      <c r="AG30" s="627">
        <f>SUMIF('ISO w_System Splits'!$D$8:$D$469,$B30,'ISO w_System Splits'!I$8:I$469)</f>
        <v>0</v>
      </c>
      <c r="AH30" s="627">
        <f>SUMIF('ISO w_System Splits'!$D$8:$D$469,$B30,'ISO w_System Splits'!J$8:J$469)</f>
        <v>0</v>
      </c>
      <c r="AI30" s="388"/>
      <c r="AJ30" s="627">
        <v>0</v>
      </c>
      <c r="AK30" s="627">
        <v>0</v>
      </c>
      <c r="AL30" s="627">
        <v>0</v>
      </c>
      <c r="AM30" s="388"/>
      <c r="AN30" s="627">
        <f>SUMIF('ISO w_System Splits'!$D$8:$D$615,$B30,'ISO w_System Splits'!H$8:H$615)-SUMIF('ISO w_System Splits'!$D$470:$D$520,$B30,'ISO w_System Splits'!H$470:H$520)</f>
        <v>0</v>
      </c>
      <c r="AO30" s="627">
        <f>SUMIF('ISO w_System Splits'!$D$8:$D$615,$B30,'ISO w_System Splits'!I$8:I$615)-SUMIF('ISO w_System Splits'!$D$470:$D$520,$B30,'ISO w_System Splits'!I$470:I$520)</f>
        <v>0</v>
      </c>
      <c r="AP30" s="627">
        <f>SUMIF('ISO w_System Splits'!$D$8:$D$615,$B30,'ISO w_System Splits'!J$8:J$615)-SUMIF('ISO w_System Splits'!$D$470:$D$520,$B30,'ISO w_System Splits'!J$470:J$520)</f>
        <v>0</v>
      </c>
      <c r="AQ30" s="388"/>
      <c r="AR30" s="627">
        <v>0</v>
      </c>
      <c r="AS30" s="627">
        <v>0</v>
      </c>
      <c r="AT30" s="627">
        <v>0</v>
      </c>
      <c r="AW30" s="95">
        <f t="shared" si="5"/>
        <v>0</v>
      </c>
      <c r="AX30" s="95">
        <f t="shared" si="6"/>
        <v>0</v>
      </c>
      <c r="AY30" s="95">
        <f t="shared" si="7"/>
        <v>0</v>
      </c>
      <c r="BA30" s="95">
        <f t="shared" si="8"/>
        <v>0</v>
      </c>
      <c r="BB30" s="95">
        <f t="shared" si="9"/>
        <v>0</v>
      </c>
      <c r="BC30" s="95">
        <f t="shared" si="10"/>
        <v>0</v>
      </c>
    </row>
    <row r="31" spans="1:55" ht="15" customHeight="1" x14ac:dyDescent="0.25">
      <c r="A31" s="40" t="s">
        <v>1013</v>
      </c>
      <c r="B31" s="18">
        <v>4125</v>
      </c>
      <c r="C31" s="626">
        <v>11414611.949999999</v>
      </c>
      <c r="D31" s="626">
        <v>1761945.9299999995</v>
      </c>
      <c r="E31" s="626">
        <v>1918.1100000000001</v>
      </c>
      <c r="F31" s="626">
        <v>0</v>
      </c>
      <c r="G31" s="626">
        <v>0</v>
      </c>
      <c r="H31" s="626">
        <v>0</v>
      </c>
      <c r="I31" s="627">
        <f t="shared" si="0"/>
        <v>13178475.989999998</v>
      </c>
      <c r="J31" s="628"/>
      <c r="K31" s="627">
        <v>0</v>
      </c>
      <c r="L31" s="627">
        <v>0</v>
      </c>
      <c r="M31" s="627">
        <v>0</v>
      </c>
      <c r="N31" s="627">
        <f>IF('Plant Total by Account'!$J$1=1,AF31,IF('Plant Total by Account'!$J$1=2,AN31,"Input Toggle"))</f>
        <v>8492875.3996889424</v>
      </c>
      <c r="O31" s="627">
        <f>IF('Plant Total by Account'!$J$1=1,AG31,IF('Plant Total by Account'!$J$1=2,AO31,"Input Toggle"))</f>
        <v>1316772.494567086</v>
      </c>
      <c r="P31" s="627">
        <f>IF('Plant Total by Account'!$J$1=1,AH31,IF('Plant Total by Account'!$J$1=2,AP31,"Input Toggle"))</f>
        <v>1427.1417464084145</v>
      </c>
      <c r="Q31" s="627">
        <f t="shared" si="11"/>
        <v>2921736.5503110569</v>
      </c>
      <c r="R31" s="627">
        <f t="shared" si="12"/>
        <v>445173.43543291348</v>
      </c>
      <c r="S31" s="627">
        <f t="shared" si="13"/>
        <v>490.96825359158561</v>
      </c>
      <c r="T31" s="388"/>
      <c r="U31" s="627">
        <v>0</v>
      </c>
      <c r="V31" s="627">
        <v>0</v>
      </c>
      <c r="W31" s="627">
        <v>0</v>
      </c>
      <c r="X31" s="627">
        <f>IF('Plant Total by Account'!$J$1=1,AJ31,IF('Plant Total by Account'!$J$1=2,AR31,"Input Toggle"))</f>
        <v>0</v>
      </c>
      <c r="Y31" s="627">
        <f>IF('Plant Total by Account'!$J$1=1,AK31,IF('Plant Total by Account'!$J$1=2,AS31,"Input Toggle"))</f>
        <v>0</v>
      </c>
      <c r="Z31" s="627">
        <f>IF('Plant Total by Account'!$J$1=1,AL31,IF('Plant Total by Account'!$J$1=2,AT31,"Input Toggle"))</f>
        <v>0</v>
      </c>
      <c r="AA31" s="627">
        <f t="shared" si="1"/>
        <v>0</v>
      </c>
      <c r="AB31" s="627">
        <f t="shared" si="2"/>
        <v>0</v>
      </c>
      <c r="AC31" s="627">
        <f t="shared" si="3"/>
        <v>0</v>
      </c>
      <c r="AD31" s="388">
        <f t="shared" si="4"/>
        <v>0</v>
      </c>
      <c r="AE31" s="388"/>
      <c r="AF31" s="627">
        <f>SUMIF('ISO w_System Splits'!$D$8:$D$469,$B31,'ISO w_System Splits'!H$8:H$469)</f>
        <v>8492875.3996889424</v>
      </c>
      <c r="AG31" s="627">
        <f>SUMIF('ISO w_System Splits'!$D$8:$D$469,$B31,'ISO w_System Splits'!I$8:I$469)</f>
        <v>1316772.494567086</v>
      </c>
      <c r="AH31" s="627">
        <f>SUMIF('ISO w_System Splits'!$D$8:$D$469,$B31,'ISO w_System Splits'!J$8:J$469)</f>
        <v>1427.1417464084145</v>
      </c>
      <c r="AI31" s="388"/>
      <c r="AJ31" s="627">
        <v>0</v>
      </c>
      <c r="AK31" s="627">
        <v>0</v>
      </c>
      <c r="AL31" s="627">
        <v>0</v>
      </c>
      <c r="AM31" s="388"/>
      <c r="AN31" s="627">
        <f>SUMIF('ISO w_System Splits'!$D$8:$D$615,$B31,'ISO w_System Splits'!H$8:H$615)-SUMIF('ISO w_System Splits'!$D$470:$D$520,$B31,'ISO w_System Splits'!H$470:H$520)</f>
        <v>8492875.3996889424</v>
      </c>
      <c r="AO31" s="627">
        <f>SUMIF('ISO w_System Splits'!$D$8:$D$615,$B31,'ISO w_System Splits'!I$8:I$615)-SUMIF('ISO w_System Splits'!$D$470:$D$520,$B31,'ISO w_System Splits'!I$470:I$520)</f>
        <v>1316772.494567086</v>
      </c>
      <c r="AP31" s="627">
        <f>SUMIF('ISO w_System Splits'!$D$8:$D$615,$B31,'ISO w_System Splits'!J$8:J$615)-SUMIF('ISO w_System Splits'!$D$470:$D$520,$B31,'ISO w_System Splits'!J$470:J$520)</f>
        <v>1427.1417464084145</v>
      </c>
      <c r="AQ31" s="388"/>
      <c r="AR31" s="627">
        <v>0</v>
      </c>
      <c r="AS31" s="627">
        <v>0</v>
      </c>
      <c r="AT31" s="627">
        <v>0</v>
      </c>
      <c r="AW31" s="95">
        <f t="shared" si="5"/>
        <v>0</v>
      </c>
      <c r="AX31" s="95">
        <f t="shared" si="6"/>
        <v>0</v>
      </c>
      <c r="AY31" s="95">
        <f t="shared" si="7"/>
        <v>0</v>
      </c>
      <c r="BA31" s="95">
        <f t="shared" si="8"/>
        <v>0</v>
      </c>
      <c r="BB31" s="95">
        <f t="shared" si="9"/>
        <v>0</v>
      </c>
      <c r="BC31" s="95">
        <f t="shared" si="10"/>
        <v>0</v>
      </c>
    </row>
    <row r="32" spans="1:55" ht="15" customHeight="1" x14ac:dyDescent="0.25">
      <c r="A32" s="40" t="s">
        <v>1323</v>
      </c>
      <c r="B32" s="18">
        <v>4127</v>
      </c>
      <c r="C32" s="626">
        <v>19842.47</v>
      </c>
      <c r="D32" s="626">
        <v>0</v>
      </c>
      <c r="E32" s="626">
        <v>0</v>
      </c>
      <c r="F32" s="626">
        <v>0</v>
      </c>
      <c r="G32" s="626">
        <v>0</v>
      </c>
      <c r="H32" s="626">
        <v>0</v>
      </c>
      <c r="I32" s="627">
        <f t="shared" si="0"/>
        <v>19842.47</v>
      </c>
      <c r="J32" s="628"/>
      <c r="K32" s="627">
        <v>0</v>
      </c>
      <c r="L32" s="627">
        <v>0</v>
      </c>
      <c r="M32" s="627">
        <v>0</v>
      </c>
      <c r="N32" s="627">
        <f>IF('Plant Total by Account'!$J$1=1,AF32,IF('Plant Total by Account'!$J$1=2,AN32,"Input Toggle"))</f>
        <v>19842.470000000005</v>
      </c>
      <c r="O32" s="627">
        <f>IF('Plant Total by Account'!$J$1=1,AG32,IF('Plant Total by Account'!$J$1=2,AO32,"Input Toggle"))</f>
        <v>0</v>
      </c>
      <c r="P32" s="627">
        <f>IF('Plant Total by Account'!$J$1=1,AH32,IF('Plant Total by Account'!$J$1=2,AP32,"Input Toggle"))</f>
        <v>0</v>
      </c>
      <c r="Q32" s="627">
        <f t="shared" si="11"/>
        <v>0</v>
      </c>
      <c r="R32" s="627">
        <f t="shared" si="12"/>
        <v>0</v>
      </c>
      <c r="S32" s="627">
        <f t="shared" si="13"/>
        <v>0</v>
      </c>
      <c r="T32" s="388"/>
      <c r="U32" s="627">
        <v>0</v>
      </c>
      <c r="V32" s="627">
        <v>0</v>
      </c>
      <c r="W32" s="627">
        <v>0</v>
      </c>
      <c r="X32" s="627">
        <f>IF('Plant Total by Account'!$J$1=1,AJ32,IF('Plant Total by Account'!$J$1=2,AR32,"Input Toggle"))</f>
        <v>0</v>
      </c>
      <c r="Y32" s="627">
        <f>IF('Plant Total by Account'!$J$1=1,AK32,IF('Plant Total by Account'!$J$1=2,AS32,"Input Toggle"))</f>
        <v>0</v>
      </c>
      <c r="Z32" s="627">
        <f>IF('Plant Total by Account'!$J$1=1,AL32,IF('Plant Total by Account'!$J$1=2,AT32,"Input Toggle"))</f>
        <v>0</v>
      </c>
      <c r="AA32" s="627">
        <f t="shared" si="1"/>
        <v>0</v>
      </c>
      <c r="AB32" s="627">
        <f t="shared" si="2"/>
        <v>0</v>
      </c>
      <c r="AC32" s="627">
        <f t="shared" si="3"/>
        <v>0</v>
      </c>
      <c r="AD32" s="388">
        <f t="shared" si="4"/>
        <v>0</v>
      </c>
      <c r="AE32" s="388"/>
      <c r="AF32" s="627">
        <f>SUMIF('ISO w_System Splits'!$D$8:$D$469,$B32,'ISO w_System Splits'!H$8:H$469)</f>
        <v>19842.470000000005</v>
      </c>
      <c r="AG32" s="627">
        <f>SUMIF('ISO w_System Splits'!$D$8:$D$469,$B32,'ISO w_System Splits'!I$8:I$469)</f>
        <v>0</v>
      </c>
      <c r="AH32" s="627">
        <f>SUMIF('ISO w_System Splits'!$D$8:$D$469,$B32,'ISO w_System Splits'!J$8:J$469)</f>
        <v>0</v>
      </c>
      <c r="AI32" s="388"/>
      <c r="AJ32" s="627">
        <v>0</v>
      </c>
      <c r="AK32" s="627">
        <v>0</v>
      </c>
      <c r="AL32" s="627">
        <v>0</v>
      </c>
      <c r="AM32" s="388"/>
      <c r="AN32" s="627">
        <f>SUMIF('ISO w_System Splits'!$D$8:$D$615,$B32,'ISO w_System Splits'!H$8:H$615)-SUMIF('ISO w_System Splits'!$D$470:$D$520,$B32,'ISO w_System Splits'!H$470:H$520)</f>
        <v>19842.470000000005</v>
      </c>
      <c r="AO32" s="627">
        <f>SUMIF('ISO w_System Splits'!$D$8:$D$615,$B32,'ISO w_System Splits'!I$8:I$615)-SUMIF('ISO w_System Splits'!$D$470:$D$520,$B32,'ISO w_System Splits'!I$470:I$520)</f>
        <v>0</v>
      </c>
      <c r="AP32" s="627">
        <f>SUMIF('ISO w_System Splits'!$D$8:$D$615,$B32,'ISO w_System Splits'!J$8:J$615)-SUMIF('ISO w_System Splits'!$D$470:$D$520,$B32,'ISO w_System Splits'!J$470:J$520)</f>
        <v>0</v>
      </c>
      <c r="AQ32" s="388"/>
      <c r="AR32" s="627">
        <v>0</v>
      </c>
      <c r="AS32" s="627">
        <v>0</v>
      </c>
      <c r="AT32" s="627">
        <v>0</v>
      </c>
      <c r="AW32" s="95">
        <f t="shared" si="5"/>
        <v>0</v>
      </c>
      <c r="AX32" s="95">
        <f t="shared" si="6"/>
        <v>0</v>
      </c>
      <c r="AY32" s="95">
        <f t="shared" si="7"/>
        <v>0</v>
      </c>
      <c r="BA32" s="95">
        <f t="shared" si="8"/>
        <v>0</v>
      </c>
      <c r="BB32" s="95">
        <f t="shared" si="9"/>
        <v>0</v>
      </c>
      <c r="BC32" s="95">
        <f t="shared" si="10"/>
        <v>0</v>
      </c>
    </row>
    <row r="33" spans="1:55" ht="15" customHeight="1" x14ac:dyDescent="0.25">
      <c r="A33" s="40" t="s">
        <v>512</v>
      </c>
      <c r="B33" s="18">
        <v>4129</v>
      </c>
      <c r="C33" s="626">
        <v>38460.07</v>
      </c>
      <c r="D33" s="626">
        <v>0</v>
      </c>
      <c r="E33" s="626">
        <v>0</v>
      </c>
      <c r="F33" s="626">
        <v>0</v>
      </c>
      <c r="G33" s="626">
        <v>0</v>
      </c>
      <c r="H33" s="626">
        <v>0</v>
      </c>
      <c r="I33" s="627">
        <f t="shared" si="0"/>
        <v>38460.07</v>
      </c>
      <c r="J33" s="628"/>
      <c r="K33" s="627">
        <v>0</v>
      </c>
      <c r="L33" s="627">
        <v>0</v>
      </c>
      <c r="M33" s="627">
        <v>0</v>
      </c>
      <c r="N33" s="627">
        <f>IF('Plant Total by Account'!$J$1=1,AF33,IF('Plant Total by Account'!$J$1=2,AN33,"Input Toggle"))</f>
        <v>0</v>
      </c>
      <c r="O33" s="627">
        <f>IF('Plant Total by Account'!$J$1=1,AG33,IF('Plant Total by Account'!$J$1=2,AO33,"Input Toggle"))</f>
        <v>0</v>
      </c>
      <c r="P33" s="627">
        <f>IF('Plant Total by Account'!$J$1=1,AH33,IF('Plant Total by Account'!$J$1=2,AP33,"Input Toggle"))</f>
        <v>0</v>
      </c>
      <c r="Q33" s="627">
        <f t="shared" si="11"/>
        <v>38460.07</v>
      </c>
      <c r="R33" s="627">
        <f t="shared" si="12"/>
        <v>0</v>
      </c>
      <c r="S33" s="627">
        <f t="shared" si="13"/>
        <v>0</v>
      </c>
      <c r="T33" s="388"/>
      <c r="U33" s="627">
        <v>0</v>
      </c>
      <c r="V33" s="627">
        <v>0</v>
      </c>
      <c r="W33" s="627">
        <v>0</v>
      </c>
      <c r="X33" s="627">
        <f>IF('Plant Total by Account'!$J$1=1,AJ33,IF('Plant Total by Account'!$J$1=2,AR33,"Input Toggle"))</f>
        <v>0</v>
      </c>
      <c r="Y33" s="627">
        <f>IF('Plant Total by Account'!$J$1=1,AK33,IF('Plant Total by Account'!$J$1=2,AS33,"Input Toggle"))</f>
        <v>0</v>
      </c>
      <c r="Z33" s="627">
        <f>IF('Plant Total by Account'!$J$1=1,AL33,IF('Plant Total by Account'!$J$1=2,AT33,"Input Toggle"))</f>
        <v>0</v>
      </c>
      <c r="AA33" s="627">
        <f t="shared" si="1"/>
        <v>0</v>
      </c>
      <c r="AB33" s="627">
        <f t="shared" si="2"/>
        <v>0</v>
      </c>
      <c r="AC33" s="627">
        <f t="shared" si="3"/>
        <v>0</v>
      </c>
      <c r="AD33" s="388">
        <f t="shared" si="4"/>
        <v>0</v>
      </c>
      <c r="AE33" s="388"/>
      <c r="AF33" s="627">
        <f>SUMIF('ISO w_System Splits'!$D$8:$D$469,$B33,'ISO w_System Splits'!H$8:H$469)</f>
        <v>0</v>
      </c>
      <c r="AG33" s="627">
        <f>SUMIF('ISO w_System Splits'!$D$8:$D$469,$B33,'ISO w_System Splits'!I$8:I$469)</f>
        <v>0</v>
      </c>
      <c r="AH33" s="627">
        <f>SUMIF('ISO w_System Splits'!$D$8:$D$469,$B33,'ISO w_System Splits'!J$8:J$469)</f>
        <v>0</v>
      </c>
      <c r="AI33" s="388"/>
      <c r="AJ33" s="627">
        <v>0</v>
      </c>
      <c r="AK33" s="627">
        <v>0</v>
      </c>
      <c r="AL33" s="627">
        <v>0</v>
      </c>
      <c r="AM33" s="388"/>
      <c r="AN33" s="627">
        <f>SUMIF('ISO w_System Splits'!$D$8:$D$615,$B33,'ISO w_System Splits'!H$8:H$615)-SUMIF('ISO w_System Splits'!$D$470:$D$520,$B33,'ISO w_System Splits'!H$470:H$520)</f>
        <v>0</v>
      </c>
      <c r="AO33" s="627">
        <f>SUMIF('ISO w_System Splits'!$D$8:$D$615,$B33,'ISO w_System Splits'!I$8:I$615)-SUMIF('ISO w_System Splits'!$D$470:$D$520,$B33,'ISO w_System Splits'!I$470:I$520)</f>
        <v>0</v>
      </c>
      <c r="AP33" s="627">
        <f>SUMIF('ISO w_System Splits'!$D$8:$D$615,$B33,'ISO w_System Splits'!J$8:J$615)-SUMIF('ISO w_System Splits'!$D$470:$D$520,$B33,'ISO w_System Splits'!J$470:J$520)</f>
        <v>0</v>
      </c>
      <c r="AQ33" s="388"/>
      <c r="AR33" s="627">
        <v>0</v>
      </c>
      <c r="AS33" s="627">
        <v>0</v>
      </c>
      <c r="AT33" s="627">
        <v>0</v>
      </c>
      <c r="AW33" s="95">
        <f t="shared" si="5"/>
        <v>0</v>
      </c>
      <c r="AX33" s="95">
        <f t="shared" si="6"/>
        <v>0</v>
      </c>
      <c r="AY33" s="95">
        <f t="shared" si="7"/>
        <v>0</v>
      </c>
      <c r="BA33" s="95">
        <f t="shared" si="8"/>
        <v>0</v>
      </c>
      <c r="BB33" s="95">
        <f t="shared" si="9"/>
        <v>0</v>
      </c>
      <c r="BC33" s="95">
        <f t="shared" si="10"/>
        <v>0</v>
      </c>
    </row>
    <row r="34" spans="1:55" ht="15" customHeight="1" x14ac:dyDescent="0.25">
      <c r="A34" s="40" t="s">
        <v>1324</v>
      </c>
      <c r="B34" s="18">
        <v>4130</v>
      </c>
      <c r="C34" s="626">
        <v>157989.61000000002</v>
      </c>
      <c r="D34" s="626">
        <v>0</v>
      </c>
      <c r="E34" s="626">
        <v>0</v>
      </c>
      <c r="F34" s="626">
        <v>0</v>
      </c>
      <c r="G34" s="626">
        <v>0</v>
      </c>
      <c r="H34" s="626">
        <v>0</v>
      </c>
      <c r="I34" s="627">
        <f t="shared" si="0"/>
        <v>157989.61000000002</v>
      </c>
      <c r="J34" s="628"/>
      <c r="K34" s="627">
        <v>0</v>
      </c>
      <c r="L34" s="627">
        <v>0</v>
      </c>
      <c r="M34" s="627">
        <v>0</v>
      </c>
      <c r="N34" s="627">
        <f>IF('Plant Total by Account'!$J$1=1,AF34,IF('Plant Total by Account'!$J$1=2,AN34,"Input Toggle"))</f>
        <v>157989.61000000002</v>
      </c>
      <c r="O34" s="627">
        <f>IF('Plant Total by Account'!$J$1=1,AG34,IF('Plant Total by Account'!$J$1=2,AO34,"Input Toggle"))</f>
        <v>0</v>
      </c>
      <c r="P34" s="627">
        <f>IF('Plant Total by Account'!$J$1=1,AH34,IF('Plant Total by Account'!$J$1=2,AP34,"Input Toggle"))</f>
        <v>0</v>
      </c>
      <c r="Q34" s="627">
        <f t="shared" si="11"/>
        <v>0</v>
      </c>
      <c r="R34" s="627">
        <f t="shared" si="12"/>
        <v>0</v>
      </c>
      <c r="S34" s="627">
        <f t="shared" si="13"/>
        <v>0</v>
      </c>
      <c r="T34" s="388"/>
      <c r="U34" s="627">
        <v>0</v>
      </c>
      <c r="V34" s="627">
        <v>0</v>
      </c>
      <c r="W34" s="627">
        <v>0</v>
      </c>
      <c r="X34" s="627">
        <f>IF('Plant Total by Account'!$J$1=1,AJ34,IF('Plant Total by Account'!$J$1=2,AR34,"Input Toggle"))</f>
        <v>0</v>
      </c>
      <c r="Y34" s="627">
        <f>IF('Plant Total by Account'!$J$1=1,AK34,IF('Plant Total by Account'!$J$1=2,AS34,"Input Toggle"))</f>
        <v>0</v>
      </c>
      <c r="Z34" s="627">
        <f>IF('Plant Total by Account'!$J$1=1,AL34,IF('Plant Total by Account'!$J$1=2,AT34,"Input Toggle"))</f>
        <v>0</v>
      </c>
      <c r="AA34" s="627">
        <f t="shared" si="1"/>
        <v>0</v>
      </c>
      <c r="AB34" s="627">
        <f t="shared" si="2"/>
        <v>0</v>
      </c>
      <c r="AC34" s="627">
        <f t="shared" si="3"/>
        <v>0</v>
      </c>
      <c r="AD34" s="388">
        <f t="shared" si="4"/>
        <v>0</v>
      </c>
      <c r="AE34" s="388"/>
      <c r="AF34" s="627">
        <f>SUMIF('ISO w_System Splits'!$D$8:$D$469,$B34,'ISO w_System Splits'!H$8:H$469)</f>
        <v>157989.61000000002</v>
      </c>
      <c r="AG34" s="627">
        <f>SUMIF('ISO w_System Splits'!$D$8:$D$469,$B34,'ISO w_System Splits'!I$8:I$469)</f>
        <v>0</v>
      </c>
      <c r="AH34" s="627">
        <f>SUMIF('ISO w_System Splits'!$D$8:$D$469,$B34,'ISO w_System Splits'!J$8:J$469)</f>
        <v>0</v>
      </c>
      <c r="AI34" s="388"/>
      <c r="AJ34" s="627">
        <v>0</v>
      </c>
      <c r="AK34" s="627">
        <v>0</v>
      </c>
      <c r="AL34" s="627">
        <v>0</v>
      </c>
      <c r="AM34" s="388"/>
      <c r="AN34" s="627">
        <f>SUMIF('ISO w_System Splits'!$D$8:$D$615,$B34,'ISO w_System Splits'!H$8:H$615)-SUMIF('ISO w_System Splits'!$D$470:$D$520,$B34,'ISO w_System Splits'!H$470:H$520)</f>
        <v>157989.61000000002</v>
      </c>
      <c r="AO34" s="627">
        <f>SUMIF('ISO w_System Splits'!$D$8:$D$615,$B34,'ISO w_System Splits'!I$8:I$615)-SUMIF('ISO w_System Splits'!$D$470:$D$520,$B34,'ISO w_System Splits'!I$470:I$520)</f>
        <v>0</v>
      </c>
      <c r="AP34" s="627">
        <f>SUMIF('ISO w_System Splits'!$D$8:$D$615,$B34,'ISO w_System Splits'!J$8:J$615)-SUMIF('ISO w_System Splits'!$D$470:$D$520,$B34,'ISO w_System Splits'!J$470:J$520)</f>
        <v>0</v>
      </c>
      <c r="AQ34" s="388"/>
      <c r="AR34" s="627">
        <v>0</v>
      </c>
      <c r="AS34" s="627">
        <v>0</v>
      </c>
      <c r="AT34" s="627">
        <v>0</v>
      </c>
      <c r="AW34" s="95">
        <f t="shared" si="5"/>
        <v>0</v>
      </c>
      <c r="AX34" s="95">
        <f t="shared" si="6"/>
        <v>0</v>
      </c>
      <c r="AY34" s="95">
        <f t="shared" si="7"/>
        <v>0</v>
      </c>
      <c r="BA34" s="95">
        <f t="shared" si="8"/>
        <v>0</v>
      </c>
      <c r="BB34" s="95">
        <f t="shared" si="9"/>
        <v>0</v>
      </c>
      <c r="BC34" s="95">
        <f t="shared" si="10"/>
        <v>0</v>
      </c>
    </row>
    <row r="35" spans="1:55" ht="15" customHeight="1" x14ac:dyDescent="0.25">
      <c r="A35" s="95" t="s">
        <v>513</v>
      </c>
      <c r="B35" s="39">
        <v>4132</v>
      </c>
      <c r="C35" s="626">
        <v>3146.16</v>
      </c>
      <c r="D35" s="626">
        <v>0</v>
      </c>
      <c r="E35" s="626">
        <v>0</v>
      </c>
      <c r="F35" s="626">
        <v>0</v>
      </c>
      <c r="G35" s="626">
        <v>0</v>
      </c>
      <c r="H35" s="626">
        <v>0</v>
      </c>
      <c r="I35" s="627">
        <f t="shared" si="0"/>
        <v>3146.16</v>
      </c>
      <c r="J35" s="628"/>
      <c r="K35" s="627">
        <v>0</v>
      </c>
      <c r="L35" s="627">
        <v>0</v>
      </c>
      <c r="M35" s="627">
        <v>0</v>
      </c>
      <c r="N35" s="627">
        <f>IF('Plant Total by Account'!$J$1=1,AF35,IF('Plant Total by Account'!$J$1=2,AN35,"Input Toggle"))</f>
        <v>3132.068757508694</v>
      </c>
      <c r="O35" s="627">
        <f>IF('Plant Total by Account'!$J$1=1,AG35,IF('Plant Total by Account'!$J$1=2,AO35,"Input Toggle"))</f>
        <v>0</v>
      </c>
      <c r="P35" s="627">
        <f>IF('Plant Total by Account'!$J$1=1,AH35,IF('Plant Total by Account'!$J$1=2,AP35,"Input Toggle"))</f>
        <v>0</v>
      </c>
      <c r="Q35" s="627">
        <f t="shared" si="11"/>
        <v>14.09124249130582</v>
      </c>
      <c r="R35" s="627">
        <f t="shared" si="12"/>
        <v>0</v>
      </c>
      <c r="S35" s="627">
        <f t="shared" si="13"/>
        <v>0</v>
      </c>
      <c r="T35" s="388"/>
      <c r="U35" s="627">
        <v>0</v>
      </c>
      <c r="V35" s="627">
        <v>0</v>
      </c>
      <c r="W35" s="627">
        <v>0</v>
      </c>
      <c r="X35" s="627">
        <f>IF('Plant Total by Account'!$J$1=1,AJ35,IF('Plant Total by Account'!$J$1=2,AR35,"Input Toggle"))</f>
        <v>0</v>
      </c>
      <c r="Y35" s="627">
        <f>IF('Plant Total by Account'!$J$1=1,AK35,IF('Plant Total by Account'!$J$1=2,AS35,"Input Toggle"))</f>
        <v>0</v>
      </c>
      <c r="Z35" s="627">
        <f>IF('Plant Total by Account'!$J$1=1,AL35,IF('Plant Total by Account'!$J$1=2,AT35,"Input Toggle"))</f>
        <v>0</v>
      </c>
      <c r="AA35" s="627">
        <f t="shared" si="1"/>
        <v>0</v>
      </c>
      <c r="AB35" s="627">
        <f t="shared" si="2"/>
        <v>0</v>
      </c>
      <c r="AC35" s="627">
        <f t="shared" si="3"/>
        <v>0</v>
      </c>
      <c r="AD35" s="388">
        <f t="shared" si="4"/>
        <v>0</v>
      </c>
      <c r="AE35" s="388"/>
      <c r="AF35" s="627">
        <f>SUMIF('ISO w_System Splits'!$D$8:$D$469,$B35,'ISO w_System Splits'!H$8:H$469)</f>
        <v>0</v>
      </c>
      <c r="AG35" s="627">
        <f>SUMIF('ISO w_System Splits'!$D$8:$D$469,$B35,'ISO w_System Splits'!I$8:I$469)</f>
        <v>0</v>
      </c>
      <c r="AH35" s="627">
        <f>SUMIF('ISO w_System Splits'!$D$8:$D$469,$B35,'ISO w_System Splits'!J$8:J$469)</f>
        <v>0</v>
      </c>
      <c r="AI35" s="388"/>
      <c r="AJ35" s="627">
        <v>0</v>
      </c>
      <c r="AK35" s="627">
        <v>0</v>
      </c>
      <c r="AL35" s="627">
        <v>0</v>
      </c>
      <c r="AM35" s="388"/>
      <c r="AN35" s="627">
        <f>SUMIF('ISO w_System Splits'!$D$8:$D$615,$B35,'ISO w_System Splits'!H$8:H$615)-SUMIF('ISO w_System Splits'!$D$470:$D$520,$B35,'ISO w_System Splits'!H$470:H$520)</f>
        <v>3132.068757508694</v>
      </c>
      <c r="AO35" s="627">
        <f>SUMIF('ISO w_System Splits'!$D$8:$D$615,$B35,'ISO w_System Splits'!I$8:I$615)-SUMIF('ISO w_System Splits'!$D$470:$D$520,$B35,'ISO w_System Splits'!I$470:I$520)</f>
        <v>0</v>
      </c>
      <c r="AP35" s="627">
        <f>SUMIF('ISO w_System Splits'!$D$8:$D$615,$B35,'ISO w_System Splits'!J$8:J$615)-SUMIF('ISO w_System Splits'!$D$470:$D$520,$B35,'ISO w_System Splits'!J$470:J$520)</f>
        <v>0</v>
      </c>
      <c r="AQ35" s="388"/>
      <c r="AR35" s="627">
        <v>0</v>
      </c>
      <c r="AS35" s="627">
        <v>0</v>
      </c>
      <c r="AT35" s="627">
        <v>0</v>
      </c>
      <c r="AV35" s="357">
        <v>1</v>
      </c>
      <c r="AW35" s="95">
        <f t="shared" si="5"/>
        <v>-3132.068757508694</v>
      </c>
      <c r="AX35" s="95">
        <f t="shared" si="6"/>
        <v>0</v>
      </c>
      <c r="AY35" s="95">
        <f t="shared" si="7"/>
        <v>0</v>
      </c>
      <c r="BA35" s="95">
        <f t="shared" si="8"/>
        <v>0</v>
      </c>
      <c r="BB35" s="95">
        <f t="shared" si="9"/>
        <v>0</v>
      </c>
      <c r="BC35" s="95">
        <f t="shared" si="10"/>
        <v>0</v>
      </c>
    </row>
    <row r="36" spans="1:55" ht="15" customHeight="1" x14ac:dyDescent="0.25">
      <c r="A36" s="95" t="s">
        <v>514</v>
      </c>
      <c r="B36" s="39">
        <v>4133</v>
      </c>
      <c r="C36" s="626">
        <v>53165.170000000006</v>
      </c>
      <c r="D36" s="626">
        <v>0</v>
      </c>
      <c r="E36" s="626">
        <v>0</v>
      </c>
      <c r="F36" s="626">
        <v>0</v>
      </c>
      <c r="G36" s="626">
        <v>0</v>
      </c>
      <c r="H36" s="626">
        <v>0</v>
      </c>
      <c r="I36" s="627">
        <f t="shared" si="0"/>
        <v>53165.170000000006</v>
      </c>
      <c r="J36" s="628"/>
      <c r="K36" s="627">
        <v>0</v>
      </c>
      <c r="L36" s="627">
        <v>0</v>
      </c>
      <c r="M36" s="627">
        <v>0</v>
      </c>
      <c r="N36" s="627">
        <f>IF('Plant Total by Account'!$J$1=1,AF36,IF('Plant Total by Account'!$J$1=2,AN36,"Input Toggle"))</f>
        <v>0</v>
      </c>
      <c r="O36" s="627">
        <f>IF('Plant Total by Account'!$J$1=1,AG36,IF('Plant Total by Account'!$J$1=2,AO36,"Input Toggle"))</f>
        <v>0</v>
      </c>
      <c r="P36" s="627">
        <f>IF('Plant Total by Account'!$J$1=1,AH36,IF('Plant Total by Account'!$J$1=2,AP36,"Input Toggle"))</f>
        <v>0</v>
      </c>
      <c r="Q36" s="627">
        <f t="shared" si="11"/>
        <v>53165.170000000006</v>
      </c>
      <c r="R36" s="627">
        <f t="shared" si="12"/>
        <v>0</v>
      </c>
      <c r="S36" s="627">
        <f t="shared" si="13"/>
        <v>0</v>
      </c>
      <c r="T36" s="388"/>
      <c r="U36" s="627">
        <v>0</v>
      </c>
      <c r="V36" s="627">
        <v>0</v>
      </c>
      <c r="W36" s="627">
        <v>0</v>
      </c>
      <c r="X36" s="627">
        <f>IF('Plant Total by Account'!$J$1=1,AJ36,IF('Plant Total by Account'!$J$1=2,AR36,"Input Toggle"))</f>
        <v>0</v>
      </c>
      <c r="Y36" s="627">
        <f>IF('Plant Total by Account'!$J$1=1,AK36,IF('Plant Total by Account'!$J$1=2,AS36,"Input Toggle"))</f>
        <v>0</v>
      </c>
      <c r="Z36" s="627">
        <f>IF('Plant Total by Account'!$J$1=1,AL36,IF('Plant Total by Account'!$J$1=2,AT36,"Input Toggle"))</f>
        <v>0</v>
      </c>
      <c r="AA36" s="627">
        <f t="shared" si="1"/>
        <v>0</v>
      </c>
      <c r="AB36" s="627">
        <f t="shared" si="2"/>
        <v>0</v>
      </c>
      <c r="AC36" s="627">
        <f t="shared" si="3"/>
        <v>0</v>
      </c>
      <c r="AD36" s="388">
        <f t="shared" si="4"/>
        <v>0</v>
      </c>
      <c r="AE36" s="388"/>
      <c r="AF36" s="627">
        <f>SUMIF('ISO w_System Splits'!$D$8:$D$469,$B36,'ISO w_System Splits'!H$8:H$469)</f>
        <v>0</v>
      </c>
      <c r="AG36" s="627">
        <f>SUMIF('ISO w_System Splits'!$D$8:$D$469,$B36,'ISO w_System Splits'!I$8:I$469)</f>
        <v>0</v>
      </c>
      <c r="AH36" s="627">
        <f>SUMIF('ISO w_System Splits'!$D$8:$D$469,$B36,'ISO w_System Splits'!J$8:J$469)</f>
        <v>0</v>
      </c>
      <c r="AI36" s="388"/>
      <c r="AJ36" s="627">
        <v>0</v>
      </c>
      <c r="AK36" s="627">
        <v>0</v>
      </c>
      <c r="AL36" s="627">
        <v>0</v>
      </c>
      <c r="AM36" s="388"/>
      <c r="AN36" s="627">
        <f>SUMIF('ISO w_System Splits'!$D$8:$D$615,$B36,'ISO w_System Splits'!H$8:H$615)-SUMIF('ISO w_System Splits'!$D$470:$D$520,$B36,'ISO w_System Splits'!H$470:H$520)</f>
        <v>0</v>
      </c>
      <c r="AO36" s="627">
        <f>SUMIF('ISO w_System Splits'!$D$8:$D$615,$B36,'ISO w_System Splits'!I$8:I$615)-SUMIF('ISO w_System Splits'!$D$470:$D$520,$B36,'ISO w_System Splits'!I$470:I$520)</f>
        <v>0</v>
      </c>
      <c r="AP36" s="627">
        <f>SUMIF('ISO w_System Splits'!$D$8:$D$615,$B36,'ISO w_System Splits'!J$8:J$615)-SUMIF('ISO w_System Splits'!$D$470:$D$520,$B36,'ISO w_System Splits'!J$470:J$520)</f>
        <v>0</v>
      </c>
      <c r="AQ36" s="388"/>
      <c r="AR36" s="627">
        <v>0</v>
      </c>
      <c r="AS36" s="627">
        <v>0</v>
      </c>
      <c r="AT36" s="627">
        <v>0</v>
      </c>
      <c r="AW36" s="95">
        <f t="shared" si="5"/>
        <v>0</v>
      </c>
      <c r="AX36" s="95">
        <f t="shared" si="6"/>
        <v>0</v>
      </c>
      <c r="AY36" s="95">
        <f t="shared" si="7"/>
        <v>0</v>
      </c>
      <c r="BA36" s="95">
        <f t="shared" si="8"/>
        <v>0</v>
      </c>
      <c r="BB36" s="95">
        <f t="shared" si="9"/>
        <v>0</v>
      </c>
      <c r="BC36" s="95">
        <f t="shared" si="10"/>
        <v>0</v>
      </c>
    </row>
    <row r="37" spans="1:55" ht="15" customHeight="1" x14ac:dyDescent="0.25">
      <c r="A37" s="95" t="s">
        <v>515</v>
      </c>
      <c r="B37" s="39">
        <v>4135</v>
      </c>
      <c r="C37" s="626">
        <v>2211888.9</v>
      </c>
      <c r="D37" s="626">
        <v>0</v>
      </c>
      <c r="E37" s="626">
        <v>0</v>
      </c>
      <c r="F37" s="626">
        <v>0</v>
      </c>
      <c r="G37" s="626">
        <v>0</v>
      </c>
      <c r="H37" s="626">
        <v>0</v>
      </c>
      <c r="I37" s="627">
        <f t="shared" si="0"/>
        <v>2211888.9</v>
      </c>
      <c r="J37" s="628"/>
      <c r="K37" s="627">
        <v>0</v>
      </c>
      <c r="L37" s="627">
        <v>0</v>
      </c>
      <c r="M37" s="627">
        <v>0</v>
      </c>
      <c r="N37" s="627">
        <f>IF('Plant Total by Account'!$J$1=1,AF37,IF('Plant Total by Account'!$J$1=2,AN37,"Input Toggle"))</f>
        <v>1443554.0104040431</v>
      </c>
      <c r="O37" s="627">
        <f>IF('Plant Total by Account'!$J$1=1,AG37,IF('Plant Total by Account'!$J$1=2,AO37,"Input Toggle"))</f>
        <v>0</v>
      </c>
      <c r="P37" s="627">
        <f>IF('Plant Total by Account'!$J$1=1,AH37,IF('Plant Total by Account'!$J$1=2,AP37,"Input Toggle"))</f>
        <v>0</v>
      </c>
      <c r="Q37" s="627">
        <f t="shared" si="11"/>
        <v>768334.88959595677</v>
      </c>
      <c r="R37" s="627">
        <f t="shared" si="12"/>
        <v>0</v>
      </c>
      <c r="S37" s="627">
        <f t="shared" si="13"/>
        <v>0</v>
      </c>
      <c r="T37" s="388"/>
      <c r="U37" s="627">
        <v>0</v>
      </c>
      <c r="V37" s="627">
        <v>0</v>
      </c>
      <c r="W37" s="627">
        <v>0</v>
      </c>
      <c r="X37" s="627">
        <f>IF('Plant Total by Account'!$J$1=1,AJ37,IF('Plant Total by Account'!$J$1=2,AR37,"Input Toggle"))</f>
        <v>0</v>
      </c>
      <c r="Y37" s="627">
        <f>IF('Plant Total by Account'!$J$1=1,AK37,IF('Plant Total by Account'!$J$1=2,AS37,"Input Toggle"))</f>
        <v>0</v>
      </c>
      <c r="Z37" s="627">
        <f>IF('Plant Total by Account'!$J$1=1,AL37,IF('Plant Total by Account'!$J$1=2,AT37,"Input Toggle"))</f>
        <v>0</v>
      </c>
      <c r="AA37" s="627">
        <f t="shared" si="1"/>
        <v>0</v>
      </c>
      <c r="AB37" s="627">
        <f t="shared" si="2"/>
        <v>0</v>
      </c>
      <c r="AC37" s="627">
        <f t="shared" si="3"/>
        <v>0</v>
      </c>
      <c r="AD37" s="388">
        <f t="shared" si="4"/>
        <v>0</v>
      </c>
      <c r="AE37" s="388"/>
      <c r="AF37" s="627">
        <f>SUMIF('ISO w_System Splits'!$D$8:$D$469,$B37,'ISO w_System Splits'!H$8:H$469)</f>
        <v>1443554.0104040431</v>
      </c>
      <c r="AG37" s="627">
        <f>SUMIF('ISO w_System Splits'!$D$8:$D$469,$B37,'ISO w_System Splits'!I$8:I$469)</f>
        <v>0</v>
      </c>
      <c r="AH37" s="627">
        <f>SUMIF('ISO w_System Splits'!$D$8:$D$469,$B37,'ISO w_System Splits'!J$8:J$469)</f>
        <v>0</v>
      </c>
      <c r="AI37" s="388"/>
      <c r="AJ37" s="627">
        <v>0</v>
      </c>
      <c r="AK37" s="627">
        <v>0</v>
      </c>
      <c r="AL37" s="627">
        <v>0</v>
      </c>
      <c r="AM37" s="388"/>
      <c r="AN37" s="627">
        <f>SUMIF('ISO w_System Splits'!$D$8:$D$615,$B37,'ISO w_System Splits'!H$8:H$615)-SUMIF('ISO w_System Splits'!$D$470:$D$520,$B37,'ISO w_System Splits'!H$470:H$520)</f>
        <v>1443554.0104040431</v>
      </c>
      <c r="AO37" s="627">
        <f>SUMIF('ISO w_System Splits'!$D$8:$D$615,$B37,'ISO w_System Splits'!I$8:I$615)-SUMIF('ISO w_System Splits'!$D$470:$D$520,$B37,'ISO w_System Splits'!I$470:I$520)</f>
        <v>0</v>
      </c>
      <c r="AP37" s="627">
        <f>SUMIF('ISO w_System Splits'!$D$8:$D$615,$B37,'ISO w_System Splits'!J$8:J$615)-SUMIF('ISO w_System Splits'!$D$470:$D$520,$B37,'ISO w_System Splits'!J$470:J$520)</f>
        <v>0</v>
      </c>
      <c r="AQ37" s="388"/>
      <c r="AR37" s="627">
        <v>0</v>
      </c>
      <c r="AS37" s="627">
        <v>0</v>
      </c>
      <c r="AT37" s="627">
        <v>0</v>
      </c>
      <c r="AW37" s="95">
        <f t="shared" ref="AW37:AW68" si="14">AF:AF-AN:AN</f>
        <v>0</v>
      </c>
      <c r="AX37" s="95">
        <f t="shared" ref="AX37:AX68" si="15">AG:AG-AO:AO</f>
        <v>0</v>
      </c>
      <c r="AY37" s="95">
        <f t="shared" ref="AY37:AY68" si="16">AH:AH-AP:AP</f>
        <v>0</v>
      </c>
      <c r="BA37" s="95">
        <f t="shared" ref="BA37:BA68" si="17">AJ:AJ-AR:AR</f>
        <v>0</v>
      </c>
      <c r="BB37" s="95">
        <f t="shared" ref="BB37:BB68" si="18">AK:AK-AS:AS</f>
        <v>0</v>
      </c>
      <c r="BC37" s="95">
        <f t="shared" ref="BC37:BC68" si="19">AL:AL-AT:AT</f>
        <v>0</v>
      </c>
    </row>
    <row r="38" spans="1:55" ht="15" customHeight="1" x14ac:dyDescent="0.25">
      <c r="A38" s="95" t="s">
        <v>1325</v>
      </c>
      <c r="B38" s="357">
        <v>4136</v>
      </c>
      <c r="C38" s="626">
        <v>1330373</v>
      </c>
      <c r="D38" s="626">
        <v>0</v>
      </c>
      <c r="E38" s="626">
        <v>0</v>
      </c>
      <c r="F38" s="626">
        <v>0</v>
      </c>
      <c r="G38" s="626">
        <v>0</v>
      </c>
      <c r="H38" s="626">
        <v>0</v>
      </c>
      <c r="I38" s="627">
        <f t="shared" si="0"/>
        <v>1330373</v>
      </c>
      <c r="J38" s="628"/>
      <c r="K38" s="627">
        <v>0</v>
      </c>
      <c r="L38" s="627">
        <v>0</v>
      </c>
      <c r="M38" s="627">
        <v>0</v>
      </c>
      <c r="N38" s="627">
        <f>IF('Plant Total by Account'!$J$1=1,AF38,IF('Plant Total by Account'!$J$1=2,AN38,"Input Toggle"))</f>
        <v>1330373</v>
      </c>
      <c r="O38" s="627">
        <f>IF('Plant Total by Account'!$J$1=1,AG38,IF('Plant Total by Account'!$J$1=2,AO38,"Input Toggle"))</f>
        <v>0</v>
      </c>
      <c r="P38" s="627">
        <f>IF('Plant Total by Account'!$J$1=1,AH38,IF('Plant Total by Account'!$J$1=2,AP38,"Input Toggle"))</f>
        <v>0</v>
      </c>
      <c r="Q38" s="627">
        <f t="shared" si="11"/>
        <v>0</v>
      </c>
      <c r="R38" s="627">
        <f t="shared" si="12"/>
        <v>0</v>
      </c>
      <c r="S38" s="627">
        <f t="shared" si="13"/>
        <v>0</v>
      </c>
      <c r="T38" s="388"/>
      <c r="U38" s="627">
        <v>0</v>
      </c>
      <c r="V38" s="627">
        <v>0</v>
      </c>
      <c r="W38" s="627">
        <v>0</v>
      </c>
      <c r="X38" s="627">
        <f>IF('Plant Total by Account'!$J$1=1,AJ38,IF('Plant Total by Account'!$J$1=2,AR38,"Input Toggle"))</f>
        <v>0</v>
      </c>
      <c r="Y38" s="627">
        <f>IF('Plant Total by Account'!$J$1=1,AK38,IF('Plant Total by Account'!$J$1=2,AS38,"Input Toggle"))</f>
        <v>0</v>
      </c>
      <c r="Z38" s="627">
        <f>IF('Plant Total by Account'!$J$1=1,AL38,IF('Plant Total by Account'!$J$1=2,AT38,"Input Toggle"))</f>
        <v>0</v>
      </c>
      <c r="AA38" s="627">
        <f t="shared" si="1"/>
        <v>0</v>
      </c>
      <c r="AB38" s="627">
        <f t="shared" si="2"/>
        <v>0</v>
      </c>
      <c r="AC38" s="627">
        <f t="shared" si="3"/>
        <v>0</v>
      </c>
      <c r="AD38" s="388">
        <f t="shared" si="4"/>
        <v>0</v>
      </c>
      <c r="AE38" s="388"/>
      <c r="AF38" s="627">
        <f>SUMIF('ISO w_System Splits'!$D$8:$D$469,$B38,'ISO w_System Splits'!H$8:H$469)</f>
        <v>1330373</v>
      </c>
      <c r="AG38" s="627">
        <f>SUMIF('ISO w_System Splits'!$D$8:$D$469,$B38,'ISO w_System Splits'!I$8:I$469)</f>
        <v>0</v>
      </c>
      <c r="AH38" s="627">
        <f>SUMIF('ISO w_System Splits'!$D$8:$D$469,$B38,'ISO w_System Splits'!J$8:J$469)</f>
        <v>0</v>
      </c>
      <c r="AI38" s="388"/>
      <c r="AJ38" s="627">
        <v>0</v>
      </c>
      <c r="AK38" s="627">
        <v>0</v>
      </c>
      <c r="AL38" s="627">
        <v>0</v>
      </c>
      <c r="AM38" s="388"/>
      <c r="AN38" s="627">
        <f>SUMIF('ISO w_System Splits'!$D$8:$D$615,$B38,'ISO w_System Splits'!H$8:H$615)-SUMIF('ISO w_System Splits'!$D$470:$D$520,$B38,'ISO w_System Splits'!H$470:H$520)</f>
        <v>1330373</v>
      </c>
      <c r="AO38" s="627">
        <f>SUMIF('ISO w_System Splits'!$D$8:$D$615,$B38,'ISO w_System Splits'!I$8:I$615)-SUMIF('ISO w_System Splits'!$D$470:$D$520,$B38,'ISO w_System Splits'!I$470:I$520)</f>
        <v>0</v>
      </c>
      <c r="AP38" s="627">
        <f>SUMIF('ISO w_System Splits'!$D$8:$D$615,$B38,'ISO w_System Splits'!J$8:J$615)-SUMIF('ISO w_System Splits'!$D$470:$D$520,$B38,'ISO w_System Splits'!J$470:J$520)</f>
        <v>0</v>
      </c>
      <c r="AQ38" s="388"/>
      <c r="AR38" s="627">
        <v>0</v>
      </c>
      <c r="AS38" s="627">
        <v>0</v>
      </c>
      <c r="AT38" s="627">
        <v>0</v>
      </c>
      <c r="AW38" s="95">
        <f t="shared" si="14"/>
        <v>0</v>
      </c>
      <c r="AX38" s="95">
        <f t="shared" si="15"/>
        <v>0</v>
      </c>
      <c r="AY38" s="95">
        <f t="shared" si="16"/>
        <v>0</v>
      </c>
      <c r="BA38" s="95">
        <f t="shared" si="17"/>
        <v>0</v>
      </c>
      <c r="BB38" s="95">
        <f t="shared" si="18"/>
        <v>0</v>
      </c>
      <c r="BC38" s="95">
        <f t="shared" si="19"/>
        <v>0</v>
      </c>
    </row>
    <row r="39" spans="1:55" ht="15" customHeight="1" x14ac:dyDescent="0.25">
      <c r="A39" s="95" t="s">
        <v>1325</v>
      </c>
      <c r="B39" s="357">
        <v>4137</v>
      </c>
      <c r="C39" s="626">
        <v>16589.080000000002</v>
      </c>
      <c r="D39" s="626">
        <v>0</v>
      </c>
      <c r="E39" s="626">
        <v>0</v>
      </c>
      <c r="F39" s="626">
        <v>0</v>
      </c>
      <c r="G39" s="626">
        <v>0</v>
      </c>
      <c r="H39" s="626">
        <v>0</v>
      </c>
      <c r="I39" s="627">
        <f t="shared" si="0"/>
        <v>16589.080000000002</v>
      </c>
      <c r="J39" s="628"/>
      <c r="K39" s="627">
        <v>0</v>
      </c>
      <c r="L39" s="627">
        <v>0</v>
      </c>
      <c r="M39" s="627">
        <v>0</v>
      </c>
      <c r="N39" s="627">
        <f>IF('Plant Total by Account'!$J$1=1,AF39,IF('Plant Total by Account'!$J$1=2,AN39,"Input Toggle"))</f>
        <v>16589.080000000002</v>
      </c>
      <c r="O39" s="627">
        <f>IF('Plant Total by Account'!$J$1=1,AG39,IF('Plant Total by Account'!$J$1=2,AO39,"Input Toggle"))</f>
        <v>0</v>
      </c>
      <c r="P39" s="627">
        <f>IF('Plant Total by Account'!$J$1=1,AH39,IF('Plant Total by Account'!$J$1=2,AP39,"Input Toggle"))</f>
        <v>0</v>
      </c>
      <c r="Q39" s="627">
        <f t="shared" si="11"/>
        <v>0</v>
      </c>
      <c r="R39" s="627">
        <f t="shared" si="12"/>
        <v>0</v>
      </c>
      <c r="S39" s="627">
        <f t="shared" si="13"/>
        <v>0</v>
      </c>
      <c r="T39" s="388"/>
      <c r="U39" s="627">
        <v>0</v>
      </c>
      <c r="V39" s="627">
        <v>0</v>
      </c>
      <c r="W39" s="627">
        <v>0</v>
      </c>
      <c r="X39" s="627">
        <f>IF('Plant Total by Account'!$J$1=1,AJ39,IF('Plant Total by Account'!$J$1=2,AR39,"Input Toggle"))</f>
        <v>0</v>
      </c>
      <c r="Y39" s="627">
        <f>IF('Plant Total by Account'!$J$1=1,AK39,IF('Plant Total by Account'!$J$1=2,AS39,"Input Toggle"))</f>
        <v>0</v>
      </c>
      <c r="Z39" s="627">
        <f>IF('Plant Total by Account'!$J$1=1,AL39,IF('Plant Total by Account'!$J$1=2,AT39,"Input Toggle"))</f>
        <v>0</v>
      </c>
      <c r="AA39" s="627">
        <f t="shared" si="1"/>
        <v>0</v>
      </c>
      <c r="AB39" s="627">
        <f t="shared" si="2"/>
        <v>0</v>
      </c>
      <c r="AC39" s="627">
        <f t="shared" si="3"/>
        <v>0</v>
      </c>
      <c r="AD39" s="388">
        <f t="shared" si="4"/>
        <v>0</v>
      </c>
      <c r="AE39" s="388"/>
      <c r="AF39" s="627">
        <f>SUMIF('ISO w_System Splits'!$D$8:$D$469,$B39,'ISO w_System Splits'!H$8:H$469)</f>
        <v>16589.080000000002</v>
      </c>
      <c r="AG39" s="627">
        <f>SUMIF('ISO w_System Splits'!$D$8:$D$469,$B39,'ISO w_System Splits'!I$8:I$469)</f>
        <v>0</v>
      </c>
      <c r="AH39" s="627">
        <f>SUMIF('ISO w_System Splits'!$D$8:$D$469,$B39,'ISO w_System Splits'!J$8:J$469)</f>
        <v>0</v>
      </c>
      <c r="AI39" s="388"/>
      <c r="AJ39" s="627">
        <v>0</v>
      </c>
      <c r="AK39" s="627">
        <v>0</v>
      </c>
      <c r="AL39" s="627">
        <v>0</v>
      </c>
      <c r="AM39" s="388"/>
      <c r="AN39" s="627">
        <f>SUMIF('ISO w_System Splits'!$D$8:$D$615,$B39,'ISO w_System Splits'!H$8:H$615)-SUMIF('ISO w_System Splits'!$D$470:$D$520,$B39,'ISO w_System Splits'!H$470:H$520)</f>
        <v>16589.080000000002</v>
      </c>
      <c r="AO39" s="627">
        <f>SUMIF('ISO w_System Splits'!$D$8:$D$615,$B39,'ISO w_System Splits'!I$8:I$615)-SUMIF('ISO w_System Splits'!$D$470:$D$520,$B39,'ISO w_System Splits'!I$470:I$520)</f>
        <v>0</v>
      </c>
      <c r="AP39" s="627">
        <f>SUMIF('ISO w_System Splits'!$D$8:$D$615,$B39,'ISO w_System Splits'!J$8:J$615)-SUMIF('ISO w_System Splits'!$D$470:$D$520,$B39,'ISO w_System Splits'!J$470:J$520)</f>
        <v>0</v>
      </c>
      <c r="AQ39" s="388"/>
      <c r="AR39" s="627">
        <v>0</v>
      </c>
      <c r="AS39" s="627">
        <v>0</v>
      </c>
      <c r="AT39" s="627">
        <v>0</v>
      </c>
      <c r="AW39" s="95">
        <f t="shared" si="14"/>
        <v>0</v>
      </c>
      <c r="AX39" s="95">
        <f t="shared" si="15"/>
        <v>0</v>
      </c>
      <c r="AY39" s="95">
        <f t="shared" si="16"/>
        <v>0</v>
      </c>
      <c r="BA39" s="95">
        <f t="shared" si="17"/>
        <v>0</v>
      </c>
      <c r="BB39" s="95">
        <f t="shared" si="18"/>
        <v>0</v>
      </c>
      <c r="BC39" s="95">
        <f t="shared" si="19"/>
        <v>0</v>
      </c>
    </row>
    <row r="40" spans="1:55" ht="15" customHeight="1" x14ac:dyDescent="0.25">
      <c r="A40" s="95" t="s">
        <v>1004</v>
      </c>
      <c r="B40" s="357">
        <v>4138</v>
      </c>
      <c r="C40" s="626">
        <v>9600704.3000000007</v>
      </c>
      <c r="D40" s="626">
        <v>0</v>
      </c>
      <c r="E40" s="626">
        <v>98.19</v>
      </c>
      <c r="F40" s="626">
        <v>0</v>
      </c>
      <c r="G40" s="626">
        <v>0</v>
      </c>
      <c r="H40" s="626">
        <v>0</v>
      </c>
      <c r="I40" s="627">
        <f t="shared" si="0"/>
        <v>9600802.4900000002</v>
      </c>
      <c r="J40" s="628"/>
      <c r="K40" s="627">
        <v>0</v>
      </c>
      <c r="L40" s="627">
        <v>0</v>
      </c>
      <c r="M40" s="627">
        <v>0</v>
      </c>
      <c r="N40" s="627">
        <f>IF('Plant Total by Account'!$J$1=1,AF40,IF('Plant Total by Account'!$J$1=2,AN40,"Input Toggle"))</f>
        <v>9605387.3200000003</v>
      </c>
      <c r="O40" s="627">
        <f>IF('Plant Total by Account'!$J$1=1,AG40,IF('Plant Total by Account'!$J$1=2,AO40,"Input Toggle"))</f>
        <v>0</v>
      </c>
      <c r="P40" s="627">
        <f>IF('Plant Total by Account'!$J$1=1,AH40,IF('Plant Total by Account'!$J$1=2,AP40,"Input Toggle"))</f>
        <v>98.189999999999984</v>
      </c>
      <c r="Q40" s="627">
        <f t="shared" si="11"/>
        <v>-4683.019999999553</v>
      </c>
      <c r="R40" s="627">
        <f t="shared" si="12"/>
        <v>0</v>
      </c>
      <c r="S40" s="627">
        <f t="shared" si="13"/>
        <v>0</v>
      </c>
      <c r="T40" s="388"/>
      <c r="U40" s="627">
        <v>0</v>
      </c>
      <c r="V40" s="627">
        <v>0</v>
      </c>
      <c r="W40" s="627">
        <v>0</v>
      </c>
      <c r="X40" s="627">
        <f>IF('Plant Total by Account'!$J$1=1,AJ40,IF('Plant Total by Account'!$J$1=2,AR40,"Input Toggle"))</f>
        <v>0</v>
      </c>
      <c r="Y40" s="627">
        <f>IF('Plant Total by Account'!$J$1=1,AK40,IF('Plant Total by Account'!$J$1=2,AS40,"Input Toggle"))</f>
        <v>0</v>
      </c>
      <c r="Z40" s="627">
        <f>IF('Plant Total by Account'!$J$1=1,AL40,IF('Plant Total by Account'!$J$1=2,AT40,"Input Toggle"))</f>
        <v>0</v>
      </c>
      <c r="AA40" s="627">
        <f t="shared" si="1"/>
        <v>0</v>
      </c>
      <c r="AB40" s="627">
        <f t="shared" si="2"/>
        <v>0</v>
      </c>
      <c r="AC40" s="627">
        <f t="shared" si="3"/>
        <v>0</v>
      </c>
      <c r="AD40" s="388">
        <f t="shared" si="4"/>
        <v>0</v>
      </c>
      <c r="AE40" s="388"/>
      <c r="AF40" s="627">
        <f>SUMIF('ISO w_System Splits'!$D$8:$D$469,$B40,'ISO w_System Splits'!H$8:H$469)</f>
        <v>9605387.3200000003</v>
      </c>
      <c r="AG40" s="627">
        <f>SUMIF('ISO w_System Splits'!$D$8:$D$469,$B40,'ISO w_System Splits'!I$8:I$469)</f>
        <v>0</v>
      </c>
      <c r="AH40" s="627">
        <f>SUMIF('ISO w_System Splits'!$D$8:$D$469,$B40,'ISO w_System Splits'!J$8:J$469)</f>
        <v>98.189999999999984</v>
      </c>
      <c r="AI40" s="388"/>
      <c r="AJ40" s="627">
        <v>0</v>
      </c>
      <c r="AK40" s="627">
        <v>0</v>
      </c>
      <c r="AL40" s="627">
        <v>0</v>
      </c>
      <c r="AM40" s="388"/>
      <c r="AN40" s="627">
        <f>SUMIF('ISO w_System Splits'!$D$8:$D$615,$B40,'ISO w_System Splits'!H$8:H$615)-SUMIF('ISO w_System Splits'!$D$470:$D$520,$B40,'ISO w_System Splits'!H$470:H$520)</f>
        <v>9605387.3200000003</v>
      </c>
      <c r="AO40" s="627">
        <f>SUMIF('ISO w_System Splits'!$D$8:$D$615,$B40,'ISO w_System Splits'!I$8:I$615)-SUMIF('ISO w_System Splits'!$D$470:$D$520,$B40,'ISO w_System Splits'!I$470:I$520)</f>
        <v>0</v>
      </c>
      <c r="AP40" s="627">
        <f>SUMIF('ISO w_System Splits'!$D$8:$D$615,$B40,'ISO w_System Splits'!J$8:J$615)-SUMIF('ISO w_System Splits'!$D$470:$D$520,$B40,'ISO w_System Splits'!J$470:J$520)</f>
        <v>98.189999999999984</v>
      </c>
      <c r="AQ40" s="388"/>
      <c r="AR40" s="627">
        <v>0</v>
      </c>
      <c r="AS40" s="627">
        <v>0</v>
      </c>
      <c r="AT40" s="627">
        <v>0</v>
      </c>
      <c r="AW40" s="95">
        <f t="shared" si="14"/>
        <v>0</v>
      </c>
      <c r="AX40" s="95">
        <f t="shared" si="15"/>
        <v>0</v>
      </c>
      <c r="AY40" s="95">
        <f t="shared" si="16"/>
        <v>0</v>
      </c>
      <c r="BA40" s="95">
        <f t="shared" si="17"/>
        <v>0</v>
      </c>
      <c r="BB40" s="95">
        <f t="shared" si="18"/>
        <v>0</v>
      </c>
      <c r="BC40" s="95">
        <f t="shared" si="19"/>
        <v>0</v>
      </c>
    </row>
    <row r="41" spans="1:55" ht="15" customHeight="1" x14ac:dyDescent="0.25">
      <c r="A41" s="95" t="s">
        <v>516</v>
      </c>
      <c r="B41" s="357">
        <v>4139</v>
      </c>
      <c r="C41" s="626">
        <v>516.81000000000006</v>
      </c>
      <c r="D41" s="626">
        <v>0</v>
      </c>
      <c r="E41" s="626">
        <v>0</v>
      </c>
      <c r="F41" s="626">
        <v>0</v>
      </c>
      <c r="G41" s="626">
        <v>0</v>
      </c>
      <c r="H41" s="626">
        <v>0</v>
      </c>
      <c r="I41" s="627">
        <f t="shared" si="0"/>
        <v>516.81000000000006</v>
      </c>
      <c r="J41" s="628"/>
      <c r="K41" s="627">
        <v>0</v>
      </c>
      <c r="L41" s="627">
        <v>0</v>
      </c>
      <c r="M41" s="627">
        <v>0</v>
      </c>
      <c r="N41" s="627">
        <f>IF('Plant Total by Account'!$J$1=1,AF41,IF('Plant Total by Account'!$J$1=2,AN41,"Input Toggle"))</f>
        <v>0</v>
      </c>
      <c r="O41" s="627">
        <f>IF('Plant Total by Account'!$J$1=1,AG41,IF('Plant Total by Account'!$J$1=2,AO41,"Input Toggle"))</f>
        <v>0</v>
      </c>
      <c r="P41" s="627">
        <f>IF('Plant Total by Account'!$J$1=1,AH41,IF('Plant Total by Account'!$J$1=2,AP41,"Input Toggle"))</f>
        <v>0</v>
      </c>
      <c r="Q41" s="627">
        <f t="shared" si="11"/>
        <v>516.81000000000006</v>
      </c>
      <c r="R41" s="627">
        <f t="shared" si="12"/>
        <v>0</v>
      </c>
      <c r="S41" s="627">
        <f t="shared" si="13"/>
        <v>0</v>
      </c>
      <c r="T41" s="388"/>
      <c r="U41" s="627">
        <v>0</v>
      </c>
      <c r="V41" s="627">
        <v>0</v>
      </c>
      <c r="W41" s="627">
        <v>0</v>
      </c>
      <c r="X41" s="627">
        <f>IF('Plant Total by Account'!$J$1=1,AJ41,IF('Plant Total by Account'!$J$1=2,AR41,"Input Toggle"))</f>
        <v>0</v>
      </c>
      <c r="Y41" s="627">
        <f>IF('Plant Total by Account'!$J$1=1,AK41,IF('Plant Total by Account'!$J$1=2,AS41,"Input Toggle"))</f>
        <v>0</v>
      </c>
      <c r="Z41" s="627">
        <f>IF('Plant Total by Account'!$J$1=1,AL41,IF('Plant Total by Account'!$J$1=2,AT41,"Input Toggle"))</f>
        <v>0</v>
      </c>
      <c r="AA41" s="627">
        <f t="shared" si="1"/>
        <v>0</v>
      </c>
      <c r="AB41" s="627">
        <f t="shared" si="2"/>
        <v>0</v>
      </c>
      <c r="AC41" s="627">
        <f t="shared" si="3"/>
        <v>0</v>
      </c>
      <c r="AD41" s="388">
        <f t="shared" si="4"/>
        <v>0</v>
      </c>
      <c r="AE41" s="388"/>
      <c r="AF41" s="627">
        <f>SUMIF('ISO w_System Splits'!$D$8:$D$469,$B41,'ISO w_System Splits'!H$8:H$469)</f>
        <v>0</v>
      </c>
      <c r="AG41" s="627">
        <f>SUMIF('ISO w_System Splits'!$D$8:$D$469,$B41,'ISO w_System Splits'!I$8:I$469)</f>
        <v>0</v>
      </c>
      <c r="AH41" s="627">
        <f>SUMIF('ISO w_System Splits'!$D$8:$D$469,$B41,'ISO w_System Splits'!J$8:J$469)</f>
        <v>0</v>
      </c>
      <c r="AI41" s="388"/>
      <c r="AJ41" s="627">
        <v>0</v>
      </c>
      <c r="AK41" s="627">
        <v>0</v>
      </c>
      <c r="AL41" s="627">
        <v>0</v>
      </c>
      <c r="AM41" s="388"/>
      <c r="AN41" s="627">
        <f>SUMIF('ISO w_System Splits'!$D$8:$D$615,$B41,'ISO w_System Splits'!H$8:H$615)-SUMIF('ISO w_System Splits'!$D$470:$D$520,$B41,'ISO w_System Splits'!H$470:H$520)</f>
        <v>0</v>
      </c>
      <c r="AO41" s="627">
        <f>SUMIF('ISO w_System Splits'!$D$8:$D$615,$B41,'ISO w_System Splits'!I$8:I$615)-SUMIF('ISO w_System Splits'!$D$470:$D$520,$B41,'ISO w_System Splits'!I$470:I$520)</f>
        <v>0</v>
      </c>
      <c r="AP41" s="627">
        <f>SUMIF('ISO w_System Splits'!$D$8:$D$615,$B41,'ISO w_System Splits'!J$8:J$615)-SUMIF('ISO w_System Splits'!$D$470:$D$520,$B41,'ISO w_System Splits'!J$470:J$520)</f>
        <v>0</v>
      </c>
      <c r="AQ41" s="388"/>
      <c r="AR41" s="627">
        <v>0</v>
      </c>
      <c r="AS41" s="627">
        <v>0</v>
      </c>
      <c r="AT41" s="627">
        <v>0</v>
      </c>
      <c r="AW41" s="95">
        <f t="shared" si="14"/>
        <v>0</v>
      </c>
      <c r="AX41" s="95">
        <f t="shared" si="15"/>
        <v>0</v>
      </c>
      <c r="AY41" s="95">
        <f t="shared" si="16"/>
        <v>0</v>
      </c>
      <c r="BA41" s="95">
        <f t="shared" si="17"/>
        <v>0</v>
      </c>
      <c r="BB41" s="95">
        <f t="shared" si="18"/>
        <v>0</v>
      </c>
      <c r="BC41" s="95">
        <f t="shared" si="19"/>
        <v>0</v>
      </c>
    </row>
    <row r="42" spans="1:55" ht="15" customHeight="1" x14ac:dyDescent="0.25">
      <c r="A42" s="95" t="s">
        <v>1326</v>
      </c>
      <c r="B42" s="357">
        <v>4140</v>
      </c>
      <c r="C42" s="626">
        <v>278111.81</v>
      </c>
      <c r="D42" s="626">
        <v>0</v>
      </c>
      <c r="E42" s="626">
        <v>0</v>
      </c>
      <c r="F42" s="626">
        <v>0</v>
      </c>
      <c r="G42" s="626">
        <v>0</v>
      </c>
      <c r="H42" s="626">
        <v>0</v>
      </c>
      <c r="I42" s="627">
        <f t="shared" si="0"/>
        <v>278111.81</v>
      </c>
      <c r="J42" s="628"/>
      <c r="K42" s="627">
        <v>0</v>
      </c>
      <c r="L42" s="627">
        <v>0</v>
      </c>
      <c r="M42" s="627">
        <v>0</v>
      </c>
      <c r="N42" s="627">
        <f>IF('Plant Total by Account'!$J$1=1,AF42,IF('Plant Total by Account'!$J$1=2,AN42,"Input Toggle"))</f>
        <v>278111.81</v>
      </c>
      <c r="O42" s="627">
        <f>IF('Plant Total by Account'!$J$1=1,AG42,IF('Plant Total by Account'!$J$1=2,AO42,"Input Toggle"))</f>
        <v>0</v>
      </c>
      <c r="P42" s="627">
        <f>IF('Plant Total by Account'!$J$1=1,AH42,IF('Plant Total by Account'!$J$1=2,AP42,"Input Toggle"))</f>
        <v>0</v>
      </c>
      <c r="Q42" s="627">
        <f t="shared" si="11"/>
        <v>0</v>
      </c>
      <c r="R42" s="627">
        <f t="shared" si="12"/>
        <v>0</v>
      </c>
      <c r="S42" s="627">
        <f t="shared" si="13"/>
        <v>0</v>
      </c>
      <c r="T42" s="388"/>
      <c r="U42" s="627">
        <v>0</v>
      </c>
      <c r="V42" s="627">
        <v>0</v>
      </c>
      <c r="W42" s="627">
        <v>0</v>
      </c>
      <c r="X42" s="627">
        <f>IF('Plant Total by Account'!$J$1=1,AJ42,IF('Plant Total by Account'!$J$1=2,AR42,"Input Toggle"))</f>
        <v>0</v>
      </c>
      <c r="Y42" s="627">
        <f>IF('Plant Total by Account'!$J$1=1,AK42,IF('Plant Total by Account'!$J$1=2,AS42,"Input Toggle"))</f>
        <v>0</v>
      </c>
      <c r="Z42" s="627">
        <f>IF('Plant Total by Account'!$J$1=1,AL42,IF('Plant Total by Account'!$J$1=2,AT42,"Input Toggle"))</f>
        <v>0</v>
      </c>
      <c r="AA42" s="627">
        <f t="shared" si="1"/>
        <v>0</v>
      </c>
      <c r="AB42" s="627">
        <f t="shared" si="2"/>
        <v>0</v>
      </c>
      <c r="AC42" s="627">
        <f t="shared" si="3"/>
        <v>0</v>
      </c>
      <c r="AD42" s="388">
        <f t="shared" si="4"/>
        <v>0</v>
      </c>
      <c r="AE42" s="388"/>
      <c r="AF42" s="627">
        <f>SUMIF('ISO w_System Splits'!$D$8:$D$469,$B42,'ISO w_System Splits'!H$8:H$469)</f>
        <v>278111.81</v>
      </c>
      <c r="AG42" s="627">
        <f>SUMIF('ISO w_System Splits'!$D$8:$D$469,$B42,'ISO w_System Splits'!I$8:I$469)</f>
        <v>0</v>
      </c>
      <c r="AH42" s="627">
        <f>SUMIF('ISO w_System Splits'!$D$8:$D$469,$B42,'ISO w_System Splits'!J$8:J$469)</f>
        <v>0</v>
      </c>
      <c r="AI42" s="388"/>
      <c r="AJ42" s="627">
        <v>0</v>
      </c>
      <c r="AK42" s="627">
        <v>0</v>
      </c>
      <c r="AL42" s="627">
        <v>0</v>
      </c>
      <c r="AM42" s="388"/>
      <c r="AN42" s="627">
        <f>SUMIF('ISO w_System Splits'!$D$8:$D$615,$B42,'ISO w_System Splits'!H$8:H$615)-SUMIF('ISO w_System Splits'!$D$470:$D$520,$B42,'ISO w_System Splits'!H$470:H$520)</f>
        <v>278111.81</v>
      </c>
      <c r="AO42" s="627">
        <f>SUMIF('ISO w_System Splits'!$D$8:$D$615,$B42,'ISO w_System Splits'!I$8:I$615)-SUMIF('ISO w_System Splits'!$D$470:$D$520,$B42,'ISO w_System Splits'!I$470:I$520)</f>
        <v>0</v>
      </c>
      <c r="AP42" s="627">
        <f>SUMIF('ISO w_System Splits'!$D$8:$D$615,$B42,'ISO w_System Splits'!J$8:J$615)-SUMIF('ISO w_System Splits'!$D$470:$D$520,$B42,'ISO w_System Splits'!J$470:J$520)</f>
        <v>0</v>
      </c>
      <c r="AQ42" s="388"/>
      <c r="AR42" s="627">
        <v>0</v>
      </c>
      <c r="AS42" s="627">
        <v>0</v>
      </c>
      <c r="AT42" s="627">
        <v>0</v>
      </c>
      <c r="AW42" s="95">
        <f t="shared" si="14"/>
        <v>0</v>
      </c>
      <c r="AX42" s="95">
        <f t="shared" si="15"/>
        <v>0</v>
      </c>
      <c r="AY42" s="95">
        <f t="shared" si="16"/>
        <v>0</v>
      </c>
      <c r="BA42" s="95">
        <f t="shared" si="17"/>
        <v>0</v>
      </c>
      <c r="BB42" s="95">
        <f t="shared" si="18"/>
        <v>0</v>
      </c>
      <c r="BC42" s="95">
        <f t="shared" si="19"/>
        <v>0</v>
      </c>
    </row>
    <row r="43" spans="1:55" ht="15" customHeight="1" x14ac:dyDescent="0.25">
      <c r="A43" s="31" t="s">
        <v>1327</v>
      </c>
      <c r="B43" s="36">
        <v>4141</v>
      </c>
      <c r="C43" s="626">
        <v>76199.12</v>
      </c>
      <c r="D43" s="626">
        <v>0</v>
      </c>
      <c r="E43" s="626">
        <v>0</v>
      </c>
      <c r="F43" s="626">
        <v>0</v>
      </c>
      <c r="G43" s="626">
        <v>0</v>
      </c>
      <c r="H43" s="626">
        <v>0</v>
      </c>
      <c r="I43" s="627">
        <f t="shared" si="0"/>
        <v>76199.12</v>
      </c>
      <c r="J43" s="628"/>
      <c r="K43" s="627">
        <v>0</v>
      </c>
      <c r="L43" s="627">
        <v>0</v>
      </c>
      <c r="M43" s="627">
        <v>0</v>
      </c>
      <c r="N43" s="627">
        <f>IF('Plant Total by Account'!$J$1=1,AF43,IF('Plant Total by Account'!$J$1=2,AN43,"Input Toggle"))</f>
        <v>76199.12</v>
      </c>
      <c r="O43" s="627">
        <f>IF('Plant Total by Account'!$J$1=1,AG43,IF('Plant Total by Account'!$J$1=2,AO43,"Input Toggle"))</f>
        <v>0</v>
      </c>
      <c r="P43" s="627">
        <f>IF('Plant Total by Account'!$J$1=1,AH43,IF('Plant Total by Account'!$J$1=2,AP43,"Input Toggle"))</f>
        <v>0</v>
      </c>
      <c r="Q43" s="627">
        <f t="shared" si="11"/>
        <v>0</v>
      </c>
      <c r="R43" s="627">
        <f t="shared" si="12"/>
        <v>0</v>
      </c>
      <c r="S43" s="627">
        <f t="shared" si="13"/>
        <v>0</v>
      </c>
      <c r="T43" s="388"/>
      <c r="U43" s="627">
        <v>0</v>
      </c>
      <c r="V43" s="627">
        <v>0</v>
      </c>
      <c r="W43" s="627">
        <v>0</v>
      </c>
      <c r="X43" s="627">
        <f>IF('Plant Total by Account'!$J$1=1,AJ43,IF('Plant Total by Account'!$J$1=2,AR43,"Input Toggle"))</f>
        <v>0</v>
      </c>
      <c r="Y43" s="627">
        <f>IF('Plant Total by Account'!$J$1=1,AK43,IF('Plant Total by Account'!$J$1=2,AS43,"Input Toggle"))</f>
        <v>0</v>
      </c>
      <c r="Z43" s="627">
        <f>IF('Plant Total by Account'!$J$1=1,AL43,IF('Plant Total by Account'!$J$1=2,AT43,"Input Toggle"))</f>
        <v>0</v>
      </c>
      <c r="AA43" s="627">
        <f t="shared" si="1"/>
        <v>0</v>
      </c>
      <c r="AB43" s="627">
        <f t="shared" si="2"/>
        <v>0</v>
      </c>
      <c r="AC43" s="627">
        <f t="shared" si="3"/>
        <v>0</v>
      </c>
      <c r="AD43" s="388">
        <f t="shared" si="4"/>
        <v>0</v>
      </c>
      <c r="AE43" s="388"/>
      <c r="AF43" s="627">
        <f>SUMIF('ISO w_System Splits'!$D$8:$D$469,$B43,'ISO w_System Splits'!H$8:H$469)</f>
        <v>76199.12</v>
      </c>
      <c r="AG43" s="627">
        <f>SUMIF('ISO w_System Splits'!$D$8:$D$469,$B43,'ISO w_System Splits'!I$8:I$469)</f>
        <v>0</v>
      </c>
      <c r="AH43" s="627">
        <f>SUMIF('ISO w_System Splits'!$D$8:$D$469,$B43,'ISO w_System Splits'!J$8:J$469)</f>
        <v>0</v>
      </c>
      <c r="AI43" s="388"/>
      <c r="AJ43" s="627">
        <v>0</v>
      </c>
      <c r="AK43" s="627">
        <v>0</v>
      </c>
      <c r="AL43" s="627">
        <v>0</v>
      </c>
      <c r="AM43" s="388"/>
      <c r="AN43" s="627">
        <f>SUMIF('ISO w_System Splits'!$D$8:$D$615,$B43,'ISO w_System Splits'!H$8:H$615)-SUMIF('ISO w_System Splits'!$D$470:$D$520,$B43,'ISO w_System Splits'!H$470:H$520)</f>
        <v>76199.12</v>
      </c>
      <c r="AO43" s="627">
        <f>SUMIF('ISO w_System Splits'!$D$8:$D$615,$B43,'ISO w_System Splits'!I$8:I$615)-SUMIF('ISO w_System Splits'!$D$470:$D$520,$B43,'ISO w_System Splits'!I$470:I$520)</f>
        <v>0</v>
      </c>
      <c r="AP43" s="627">
        <f>SUMIF('ISO w_System Splits'!$D$8:$D$615,$B43,'ISO w_System Splits'!J$8:J$615)-SUMIF('ISO w_System Splits'!$D$470:$D$520,$B43,'ISO w_System Splits'!J$470:J$520)</f>
        <v>0</v>
      </c>
      <c r="AQ43" s="388"/>
      <c r="AR43" s="627">
        <v>0</v>
      </c>
      <c r="AS43" s="627">
        <v>0</v>
      </c>
      <c r="AT43" s="627">
        <v>0</v>
      </c>
      <c r="AW43" s="95">
        <f t="shared" si="14"/>
        <v>0</v>
      </c>
      <c r="AX43" s="95">
        <f t="shared" si="15"/>
        <v>0</v>
      </c>
      <c r="AY43" s="95">
        <f t="shared" si="16"/>
        <v>0</v>
      </c>
      <c r="BA43" s="95">
        <f t="shared" si="17"/>
        <v>0</v>
      </c>
      <c r="BB43" s="95">
        <f t="shared" si="18"/>
        <v>0</v>
      </c>
      <c r="BC43" s="95">
        <f t="shared" si="19"/>
        <v>0</v>
      </c>
    </row>
    <row r="44" spans="1:55" ht="15" customHeight="1" x14ac:dyDescent="0.25">
      <c r="A44" s="31" t="s">
        <v>517</v>
      </c>
      <c r="B44" s="36">
        <v>4142</v>
      </c>
      <c r="C44" s="626">
        <v>25409.4</v>
      </c>
      <c r="D44" s="626">
        <v>0</v>
      </c>
      <c r="E44" s="626">
        <v>0</v>
      </c>
      <c r="F44" s="626">
        <v>0</v>
      </c>
      <c r="G44" s="626">
        <v>0</v>
      </c>
      <c r="H44" s="626">
        <v>0</v>
      </c>
      <c r="I44" s="627">
        <f t="shared" si="0"/>
        <v>25409.4</v>
      </c>
      <c r="J44" s="628"/>
      <c r="K44" s="627">
        <v>0</v>
      </c>
      <c r="L44" s="627">
        <v>0</v>
      </c>
      <c r="M44" s="627">
        <v>0</v>
      </c>
      <c r="N44" s="627">
        <f>IF('Plant Total by Account'!$J$1=1,AF44,IF('Plant Total by Account'!$J$1=2,AN44,"Input Toggle"))</f>
        <v>0</v>
      </c>
      <c r="O44" s="627">
        <f>IF('Plant Total by Account'!$J$1=1,AG44,IF('Plant Total by Account'!$J$1=2,AO44,"Input Toggle"))</f>
        <v>0</v>
      </c>
      <c r="P44" s="627">
        <f>IF('Plant Total by Account'!$J$1=1,AH44,IF('Plant Total by Account'!$J$1=2,AP44,"Input Toggle"))</f>
        <v>0</v>
      </c>
      <c r="Q44" s="627">
        <f t="shared" si="11"/>
        <v>25409.4</v>
      </c>
      <c r="R44" s="627">
        <f t="shared" si="12"/>
        <v>0</v>
      </c>
      <c r="S44" s="627">
        <f t="shared" si="13"/>
        <v>0</v>
      </c>
      <c r="T44" s="388"/>
      <c r="U44" s="627">
        <v>0</v>
      </c>
      <c r="V44" s="627">
        <v>0</v>
      </c>
      <c r="W44" s="627">
        <v>0</v>
      </c>
      <c r="X44" s="627">
        <f>IF('Plant Total by Account'!$J$1=1,AJ44,IF('Plant Total by Account'!$J$1=2,AR44,"Input Toggle"))</f>
        <v>0</v>
      </c>
      <c r="Y44" s="627">
        <f>IF('Plant Total by Account'!$J$1=1,AK44,IF('Plant Total by Account'!$J$1=2,AS44,"Input Toggle"))</f>
        <v>0</v>
      </c>
      <c r="Z44" s="627">
        <f>IF('Plant Total by Account'!$J$1=1,AL44,IF('Plant Total by Account'!$J$1=2,AT44,"Input Toggle"))</f>
        <v>0</v>
      </c>
      <c r="AA44" s="627">
        <f t="shared" si="1"/>
        <v>0</v>
      </c>
      <c r="AB44" s="627">
        <f t="shared" si="2"/>
        <v>0</v>
      </c>
      <c r="AC44" s="627">
        <f t="shared" si="3"/>
        <v>0</v>
      </c>
      <c r="AD44" s="388">
        <f t="shared" si="4"/>
        <v>0</v>
      </c>
      <c r="AE44" s="388"/>
      <c r="AF44" s="627">
        <f>SUMIF('ISO w_System Splits'!$D$8:$D$469,$B44,'ISO w_System Splits'!H$8:H$469)</f>
        <v>0</v>
      </c>
      <c r="AG44" s="627">
        <f>SUMIF('ISO w_System Splits'!$D$8:$D$469,$B44,'ISO w_System Splits'!I$8:I$469)</f>
        <v>0</v>
      </c>
      <c r="AH44" s="627">
        <f>SUMIF('ISO w_System Splits'!$D$8:$D$469,$B44,'ISO w_System Splits'!J$8:J$469)</f>
        <v>0</v>
      </c>
      <c r="AI44" s="388"/>
      <c r="AJ44" s="627">
        <v>0</v>
      </c>
      <c r="AK44" s="627">
        <v>0</v>
      </c>
      <c r="AL44" s="627">
        <v>0</v>
      </c>
      <c r="AM44" s="388"/>
      <c r="AN44" s="627">
        <f>SUMIF('ISO w_System Splits'!$D$8:$D$615,$B44,'ISO w_System Splits'!H$8:H$615)-SUMIF('ISO w_System Splits'!$D$470:$D$520,$B44,'ISO w_System Splits'!H$470:H$520)</f>
        <v>0</v>
      </c>
      <c r="AO44" s="627">
        <f>SUMIF('ISO w_System Splits'!$D$8:$D$615,$B44,'ISO w_System Splits'!I$8:I$615)-SUMIF('ISO w_System Splits'!$D$470:$D$520,$B44,'ISO w_System Splits'!I$470:I$520)</f>
        <v>0</v>
      </c>
      <c r="AP44" s="627">
        <f>SUMIF('ISO w_System Splits'!$D$8:$D$615,$B44,'ISO w_System Splits'!J$8:J$615)-SUMIF('ISO w_System Splits'!$D$470:$D$520,$B44,'ISO w_System Splits'!J$470:J$520)</f>
        <v>0</v>
      </c>
      <c r="AQ44" s="388"/>
      <c r="AR44" s="627">
        <v>0</v>
      </c>
      <c r="AS44" s="627">
        <v>0</v>
      </c>
      <c r="AT44" s="627">
        <v>0</v>
      </c>
      <c r="AW44" s="95">
        <f t="shared" si="14"/>
        <v>0</v>
      </c>
      <c r="AX44" s="95">
        <f t="shared" si="15"/>
        <v>0</v>
      </c>
      <c r="AY44" s="95">
        <f t="shared" si="16"/>
        <v>0</v>
      </c>
      <c r="BA44" s="95">
        <f t="shared" si="17"/>
        <v>0</v>
      </c>
      <c r="BB44" s="95">
        <f t="shared" si="18"/>
        <v>0</v>
      </c>
      <c r="BC44" s="95">
        <f t="shared" si="19"/>
        <v>0</v>
      </c>
    </row>
    <row r="45" spans="1:55" ht="15" customHeight="1" x14ac:dyDescent="0.25">
      <c r="A45" s="95" t="s">
        <v>1328</v>
      </c>
      <c r="B45" s="357">
        <v>4143</v>
      </c>
      <c r="C45" s="626">
        <v>6166.88</v>
      </c>
      <c r="D45" s="626">
        <v>0</v>
      </c>
      <c r="E45" s="626">
        <v>0</v>
      </c>
      <c r="F45" s="626">
        <v>0</v>
      </c>
      <c r="G45" s="626">
        <v>0</v>
      </c>
      <c r="H45" s="626">
        <v>0</v>
      </c>
      <c r="I45" s="627">
        <f t="shared" si="0"/>
        <v>6166.88</v>
      </c>
      <c r="J45" s="628"/>
      <c r="K45" s="627">
        <v>0</v>
      </c>
      <c r="L45" s="627">
        <v>0</v>
      </c>
      <c r="M45" s="627">
        <v>0</v>
      </c>
      <c r="N45" s="627">
        <f>IF('Plant Total by Account'!$J$1=1,AF45,IF('Plant Total by Account'!$J$1=2,AN45,"Input Toggle"))</f>
        <v>6166.88</v>
      </c>
      <c r="O45" s="627">
        <f>IF('Plant Total by Account'!$J$1=1,AG45,IF('Plant Total by Account'!$J$1=2,AO45,"Input Toggle"))</f>
        <v>0</v>
      </c>
      <c r="P45" s="627">
        <f>IF('Plant Total by Account'!$J$1=1,AH45,IF('Plant Total by Account'!$J$1=2,AP45,"Input Toggle"))</f>
        <v>0</v>
      </c>
      <c r="Q45" s="627">
        <f t="shared" si="11"/>
        <v>0</v>
      </c>
      <c r="R45" s="627">
        <f t="shared" si="12"/>
        <v>0</v>
      </c>
      <c r="S45" s="627">
        <f t="shared" si="13"/>
        <v>0</v>
      </c>
      <c r="T45" s="388"/>
      <c r="U45" s="627">
        <v>0</v>
      </c>
      <c r="V45" s="627">
        <v>0</v>
      </c>
      <c r="W45" s="627">
        <v>0</v>
      </c>
      <c r="X45" s="627">
        <f>IF('Plant Total by Account'!$J$1=1,AJ45,IF('Plant Total by Account'!$J$1=2,AR45,"Input Toggle"))</f>
        <v>0</v>
      </c>
      <c r="Y45" s="627">
        <f>IF('Plant Total by Account'!$J$1=1,AK45,IF('Plant Total by Account'!$J$1=2,AS45,"Input Toggle"))</f>
        <v>0</v>
      </c>
      <c r="Z45" s="627">
        <f>IF('Plant Total by Account'!$J$1=1,AL45,IF('Plant Total by Account'!$J$1=2,AT45,"Input Toggle"))</f>
        <v>0</v>
      </c>
      <c r="AA45" s="627">
        <f t="shared" si="1"/>
        <v>0</v>
      </c>
      <c r="AB45" s="627">
        <f t="shared" si="2"/>
        <v>0</v>
      </c>
      <c r="AC45" s="627">
        <f t="shared" si="3"/>
        <v>0</v>
      </c>
      <c r="AD45" s="388">
        <f t="shared" si="4"/>
        <v>0</v>
      </c>
      <c r="AE45" s="388"/>
      <c r="AF45" s="627">
        <f>SUMIF('ISO w_System Splits'!$D$8:$D$469,$B45,'ISO w_System Splits'!H$8:H$469)</f>
        <v>6166.88</v>
      </c>
      <c r="AG45" s="627">
        <f>SUMIF('ISO w_System Splits'!$D$8:$D$469,$B45,'ISO w_System Splits'!I$8:I$469)</f>
        <v>0</v>
      </c>
      <c r="AH45" s="627">
        <f>SUMIF('ISO w_System Splits'!$D$8:$D$469,$B45,'ISO w_System Splits'!J$8:J$469)</f>
        <v>0</v>
      </c>
      <c r="AI45" s="388"/>
      <c r="AJ45" s="627">
        <v>0</v>
      </c>
      <c r="AK45" s="627">
        <v>0</v>
      </c>
      <c r="AL45" s="627">
        <v>0</v>
      </c>
      <c r="AM45" s="388"/>
      <c r="AN45" s="627">
        <f>SUMIF('ISO w_System Splits'!$D$8:$D$615,$B45,'ISO w_System Splits'!H$8:H$615)-SUMIF('ISO w_System Splits'!$D$470:$D$520,$B45,'ISO w_System Splits'!H$470:H$520)</f>
        <v>6166.88</v>
      </c>
      <c r="AO45" s="627">
        <f>SUMIF('ISO w_System Splits'!$D$8:$D$615,$B45,'ISO w_System Splits'!I$8:I$615)-SUMIF('ISO w_System Splits'!$D$470:$D$520,$B45,'ISO w_System Splits'!I$470:I$520)</f>
        <v>0</v>
      </c>
      <c r="AP45" s="627">
        <f>SUMIF('ISO w_System Splits'!$D$8:$D$615,$B45,'ISO w_System Splits'!J$8:J$615)-SUMIF('ISO w_System Splits'!$D$470:$D$520,$B45,'ISO w_System Splits'!J$470:J$520)</f>
        <v>0</v>
      </c>
      <c r="AQ45" s="388"/>
      <c r="AR45" s="627">
        <v>0</v>
      </c>
      <c r="AS45" s="627">
        <v>0</v>
      </c>
      <c r="AT45" s="627">
        <v>0</v>
      </c>
      <c r="AW45" s="95">
        <f t="shared" si="14"/>
        <v>0</v>
      </c>
      <c r="AX45" s="95">
        <f t="shared" si="15"/>
        <v>0</v>
      </c>
      <c r="AY45" s="95">
        <f t="shared" si="16"/>
        <v>0</v>
      </c>
      <c r="BA45" s="95">
        <f t="shared" si="17"/>
        <v>0</v>
      </c>
      <c r="BB45" s="95">
        <f t="shared" si="18"/>
        <v>0</v>
      </c>
      <c r="BC45" s="95">
        <f t="shared" si="19"/>
        <v>0</v>
      </c>
    </row>
    <row r="46" spans="1:55" ht="15" customHeight="1" x14ac:dyDescent="0.25">
      <c r="A46" s="95" t="s">
        <v>1329</v>
      </c>
      <c r="B46" s="357">
        <v>4144</v>
      </c>
      <c r="C46" s="626">
        <v>9993.51</v>
      </c>
      <c r="D46" s="626">
        <v>0</v>
      </c>
      <c r="E46" s="626">
        <v>0</v>
      </c>
      <c r="F46" s="626">
        <v>0</v>
      </c>
      <c r="G46" s="626">
        <v>0</v>
      </c>
      <c r="H46" s="626">
        <v>0</v>
      </c>
      <c r="I46" s="627">
        <f t="shared" si="0"/>
        <v>9993.51</v>
      </c>
      <c r="J46" s="628"/>
      <c r="K46" s="627">
        <v>0</v>
      </c>
      <c r="L46" s="627">
        <v>0</v>
      </c>
      <c r="M46" s="627">
        <v>0</v>
      </c>
      <c r="N46" s="627">
        <f>IF('Plant Total by Account'!$J$1=1,AF46,IF('Plant Total by Account'!$J$1=2,AN46,"Input Toggle"))</f>
        <v>9993.5099999999984</v>
      </c>
      <c r="O46" s="627">
        <f>IF('Plant Total by Account'!$J$1=1,AG46,IF('Plant Total by Account'!$J$1=2,AO46,"Input Toggle"))</f>
        <v>0</v>
      </c>
      <c r="P46" s="627">
        <f>IF('Plant Total by Account'!$J$1=1,AH46,IF('Plant Total by Account'!$J$1=2,AP46,"Input Toggle"))</f>
        <v>0</v>
      </c>
      <c r="Q46" s="627">
        <f t="shared" si="11"/>
        <v>0</v>
      </c>
      <c r="R46" s="627">
        <f t="shared" si="12"/>
        <v>0</v>
      </c>
      <c r="S46" s="627">
        <f t="shared" si="13"/>
        <v>0</v>
      </c>
      <c r="T46" s="388"/>
      <c r="U46" s="627">
        <v>0</v>
      </c>
      <c r="V46" s="627">
        <v>0</v>
      </c>
      <c r="W46" s="627">
        <v>0</v>
      </c>
      <c r="X46" s="627">
        <f>IF('Plant Total by Account'!$J$1=1,AJ46,IF('Plant Total by Account'!$J$1=2,AR46,"Input Toggle"))</f>
        <v>0</v>
      </c>
      <c r="Y46" s="627">
        <f>IF('Plant Total by Account'!$J$1=1,AK46,IF('Plant Total by Account'!$J$1=2,AS46,"Input Toggle"))</f>
        <v>0</v>
      </c>
      <c r="Z46" s="627">
        <f>IF('Plant Total by Account'!$J$1=1,AL46,IF('Plant Total by Account'!$J$1=2,AT46,"Input Toggle"))</f>
        <v>0</v>
      </c>
      <c r="AA46" s="627">
        <f t="shared" si="1"/>
        <v>0</v>
      </c>
      <c r="AB46" s="627">
        <f t="shared" si="2"/>
        <v>0</v>
      </c>
      <c r="AC46" s="627">
        <f t="shared" si="3"/>
        <v>0</v>
      </c>
      <c r="AD46" s="388">
        <f t="shared" si="4"/>
        <v>0</v>
      </c>
      <c r="AE46" s="388"/>
      <c r="AF46" s="627">
        <f>SUMIF('ISO w_System Splits'!$D$8:$D$469,$B46,'ISO w_System Splits'!H$8:H$469)</f>
        <v>9993.5099999999984</v>
      </c>
      <c r="AG46" s="627">
        <f>SUMIF('ISO w_System Splits'!$D$8:$D$469,$B46,'ISO w_System Splits'!I$8:I$469)</f>
        <v>0</v>
      </c>
      <c r="AH46" s="627">
        <f>SUMIF('ISO w_System Splits'!$D$8:$D$469,$B46,'ISO w_System Splits'!J$8:J$469)</f>
        <v>0</v>
      </c>
      <c r="AI46" s="388"/>
      <c r="AJ46" s="627">
        <v>0</v>
      </c>
      <c r="AK46" s="627">
        <v>0</v>
      </c>
      <c r="AL46" s="627">
        <v>0</v>
      </c>
      <c r="AM46" s="388"/>
      <c r="AN46" s="627">
        <f>SUMIF('ISO w_System Splits'!$D$8:$D$615,$B46,'ISO w_System Splits'!H$8:H$615)-SUMIF('ISO w_System Splits'!$D$470:$D$520,$B46,'ISO w_System Splits'!H$470:H$520)</f>
        <v>9993.5099999999984</v>
      </c>
      <c r="AO46" s="627">
        <f>SUMIF('ISO w_System Splits'!$D$8:$D$615,$B46,'ISO w_System Splits'!I$8:I$615)-SUMIF('ISO w_System Splits'!$D$470:$D$520,$B46,'ISO w_System Splits'!I$470:I$520)</f>
        <v>0</v>
      </c>
      <c r="AP46" s="627">
        <f>SUMIF('ISO w_System Splits'!$D$8:$D$615,$B46,'ISO w_System Splits'!J$8:J$615)-SUMIF('ISO w_System Splits'!$D$470:$D$520,$B46,'ISO w_System Splits'!J$470:J$520)</f>
        <v>0</v>
      </c>
      <c r="AQ46" s="388"/>
      <c r="AR46" s="627">
        <v>0</v>
      </c>
      <c r="AS46" s="627">
        <v>0</v>
      </c>
      <c r="AT46" s="627">
        <v>0</v>
      </c>
      <c r="AW46" s="95">
        <f t="shared" si="14"/>
        <v>0</v>
      </c>
      <c r="AX46" s="95">
        <f t="shared" si="15"/>
        <v>0</v>
      </c>
      <c r="AY46" s="95">
        <f t="shared" si="16"/>
        <v>0</v>
      </c>
      <c r="BA46" s="95">
        <f t="shared" si="17"/>
        <v>0</v>
      </c>
      <c r="BB46" s="95">
        <f t="shared" si="18"/>
        <v>0</v>
      </c>
      <c r="BC46" s="95">
        <f t="shared" si="19"/>
        <v>0</v>
      </c>
    </row>
    <row r="47" spans="1:55" ht="15" customHeight="1" x14ac:dyDescent="0.25">
      <c r="A47" s="95" t="s">
        <v>1439</v>
      </c>
      <c r="B47" s="357">
        <v>4147</v>
      </c>
      <c r="C47" s="626">
        <v>3854651.36</v>
      </c>
      <c r="D47" s="626">
        <v>0</v>
      </c>
      <c r="E47" s="626">
        <v>1880.02</v>
      </c>
      <c r="F47" s="626">
        <v>0</v>
      </c>
      <c r="G47" s="626">
        <v>0</v>
      </c>
      <c r="H47" s="626">
        <v>0</v>
      </c>
      <c r="I47" s="627">
        <f t="shared" si="0"/>
        <v>3856531.38</v>
      </c>
      <c r="J47" s="628"/>
      <c r="K47" s="627">
        <v>0</v>
      </c>
      <c r="L47" s="627">
        <v>0</v>
      </c>
      <c r="M47" s="627">
        <v>0</v>
      </c>
      <c r="N47" s="627">
        <f>IF('Plant Total by Account'!$J$1=1,AF47,IF('Plant Total by Account'!$J$1=2,AN47,"Input Toggle"))</f>
        <v>3855187.6400000006</v>
      </c>
      <c r="O47" s="627">
        <f>IF('Plant Total by Account'!$J$1=1,AG47,IF('Plant Total by Account'!$J$1=2,AO47,"Input Toggle"))</f>
        <v>0</v>
      </c>
      <c r="P47" s="627">
        <f>IF('Plant Total by Account'!$J$1=1,AH47,IF('Plant Total by Account'!$J$1=2,AP47,"Input Toggle"))</f>
        <v>1880.0200000000004</v>
      </c>
      <c r="Q47" s="627">
        <f t="shared" si="11"/>
        <v>-536.28000000072643</v>
      </c>
      <c r="R47" s="627">
        <f t="shared" si="12"/>
        <v>0</v>
      </c>
      <c r="S47" s="627">
        <f t="shared" si="13"/>
        <v>0</v>
      </c>
      <c r="T47" s="388"/>
      <c r="U47" s="627">
        <v>0</v>
      </c>
      <c r="V47" s="627">
        <v>0</v>
      </c>
      <c r="W47" s="627">
        <v>0</v>
      </c>
      <c r="X47" s="627">
        <f>IF('Plant Total by Account'!$J$1=1,AJ47,IF('Plant Total by Account'!$J$1=2,AR47,"Input Toggle"))</f>
        <v>0</v>
      </c>
      <c r="Y47" s="627">
        <f>IF('Plant Total by Account'!$J$1=1,AK47,IF('Plant Total by Account'!$J$1=2,AS47,"Input Toggle"))</f>
        <v>0</v>
      </c>
      <c r="Z47" s="627">
        <f>IF('Plant Total by Account'!$J$1=1,AL47,IF('Plant Total by Account'!$J$1=2,AT47,"Input Toggle"))</f>
        <v>0</v>
      </c>
      <c r="AA47" s="627">
        <f t="shared" si="1"/>
        <v>0</v>
      </c>
      <c r="AB47" s="627">
        <f t="shared" si="2"/>
        <v>0</v>
      </c>
      <c r="AC47" s="627">
        <f t="shared" si="3"/>
        <v>0</v>
      </c>
      <c r="AD47" s="388">
        <f t="shared" si="4"/>
        <v>0</v>
      </c>
      <c r="AE47" s="388"/>
      <c r="AF47" s="627">
        <f>SUMIF('ISO w_System Splits'!$D$8:$D$469,$B47,'ISO w_System Splits'!H$8:H$469)</f>
        <v>3855187.6400000006</v>
      </c>
      <c r="AG47" s="627">
        <f>SUMIF('ISO w_System Splits'!$D$8:$D$469,$B47,'ISO w_System Splits'!I$8:I$469)</f>
        <v>0</v>
      </c>
      <c r="AH47" s="627">
        <f>SUMIF('ISO w_System Splits'!$D$8:$D$469,$B47,'ISO w_System Splits'!J$8:J$469)</f>
        <v>1880.0200000000004</v>
      </c>
      <c r="AI47" s="388"/>
      <c r="AJ47" s="627">
        <v>0</v>
      </c>
      <c r="AK47" s="627">
        <v>0</v>
      </c>
      <c r="AL47" s="627">
        <v>0</v>
      </c>
      <c r="AM47" s="388"/>
      <c r="AN47" s="627">
        <f>SUMIF('ISO w_System Splits'!$D$8:$D$615,$B47,'ISO w_System Splits'!H$8:H$615)-SUMIF('ISO w_System Splits'!$D$470:$D$520,$B47,'ISO w_System Splits'!H$470:H$520)</f>
        <v>3855187.6400000006</v>
      </c>
      <c r="AO47" s="627">
        <f>SUMIF('ISO w_System Splits'!$D$8:$D$615,$B47,'ISO w_System Splits'!I$8:I$615)-SUMIF('ISO w_System Splits'!$D$470:$D$520,$B47,'ISO w_System Splits'!I$470:I$520)</f>
        <v>0</v>
      </c>
      <c r="AP47" s="627">
        <f>SUMIF('ISO w_System Splits'!$D$8:$D$615,$B47,'ISO w_System Splits'!J$8:J$615)-SUMIF('ISO w_System Splits'!$D$470:$D$520,$B47,'ISO w_System Splits'!J$470:J$520)</f>
        <v>1880.0200000000004</v>
      </c>
      <c r="AQ47" s="388"/>
      <c r="AR47" s="627">
        <v>0</v>
      </c>
      <c r="AS47" s="627">
        <v>0</v>
      </c>
      <c r="AT47" s="627">
        <v>0</v>
      </c>
      <c r="AW47" s="95">
        <f t="shared" si="14"/>
        <v>0</v>
      </c>
      <c r="AX47" s="95">
        <f t="shared" si="15"/>
        <v>0</v>
      </c>
      <c r="AY47" s="95">
        <f t="shared" si="16"/>
        <v>0</v>
      </c>
      <c r="BA47" s="95">
        <f t="shared" si="17"/>
        <v>0</v>
      </c>
      <c r="BB47" s="95">
        <f t="shared" si="18"/>
        <v>0</v>
      </c>
      <c r="BC47" s="95">
        <f t="shared" si="19"/>
        <v>0</v>
      </c>
    </row>
    <row r="48" spans="1:55" ht="15" customHeight="1" x14ac:dyDescent="0.25">
      <c r="A48" s="95" t="s">
        <v>518</v>
      </c>
      <c r="B48" s="357">
        <v>4148</v>
      </c>
      <c r="C48" s="626">
        <v>1696736.1199999999</v>
      </c>
      <c r="D48" s="626">
        <v>0</v>
      </c>
      <c r="E48" s="626">
        <v>0</v>
      </c>
      <c r="F48" s="626">
        <v>0</v>
      </c>
      <c r="G48" s="626">
        <v>0</v>
      </c>
      <c r="H48" s="626">
        <v>0</v>
      </c>
      <c r="I48" s="627">
        <f t="shared" si="0"/>
        <v>1696736.1199999999</v>
      </c>
      <c r="J48" s="628"/>
      <c r="K48" s="627">
        <v>0</v>
      </c>
      <c r="L48" s="627">
        <v>0</v>
      </c>
      <c r="M48" s="627">
        <v>0</v>
      </c>
      <c r="N48" s="627">
        <f>IF('Plant Total by Account'!$J$1=1,AF48,IF('Plant Total by Account'!$J$1=2,AN48,"Input Toggle"))</f>
        <v>1696736.1200000003</v>
      </c>
      <c r="O48" s="627">
        <f>IF('Plant Total by Account'!$J$1=1,AG48,IF('Plant Total by Account'!$J$1=2,AO48,"Input Toggle"))</f>
        <v>0</v>
      </c>
      <c r="P48" s="627">
        <f>IF('Plant Total by Account'!$J$1=1,AH48,IF('Plant Total by Account'!$J$1=2,AP48,"Input Toggle"))</f>
        <v>0</v>
      </c>
      <c r="Q48" s="627">
        <f t="shared" si="11"/>
        <v>0</v>
      </c>
      <c r="R48" s="627">
        <f t="shared" si="12"/>
        <v>0</v>
      </c>
      <c r="S48" s="627">
        <f t="shared" si="13"/>
        <v>0</v>
      </c>
      <c r="T48" s="388"/>
      <c r="U48" s="627">
        <v>0</v>
      </c>
      <c r="V48" s="627">
        <v>0</v>
      </c>
      <c r="W48" s="627">
        <v>0</v>
      </c>
      <c r="X48" s="627">
        <f>IF('Plant Total by Account'!$J$1=1,AJ48,IF('Plant Total by Account'!$J$1=2,AR48,"Input Toggle"))</f>
        <v>0</v>
      </c>
      <c r="Y48" s="627">
        <f>IF('Plant Total by Account'!$J$1=1,AK48,IF('Plant Total by Account'!$J$1=2,AS48,"Input Toggle"))</f>
        <v>0</v>
      </c>
      <c r="Z48" s="627">
        <f>IF('Plant Total by Account'!$J$1=1,AL48,IF('Plant Total by Account'!$J$1=2,AT48,"Input Toggle"))</f>
        <v>0</v>
      </c>
      <c r="AA48" s="627">
        <f t="shared" si="1"/>
        <v>0</v>
      </c>
      <c r="AB48" s="627">
        <f t="shared" si="2"/>
        <v>0</v>
      </c>
      <c r="AC48" s="627">
        <f t="shared" si="3"/>
        <v>0</v>
      </c>
      <c r="AD48" s="388">
        <f t="shared" si="4"/>
        <v>0</v>
      </c>
      <c r="AE48" s="388"/>
      <c r="AF48" s="627">
        <f>SUMIF('ISO w_System Splits'!$D$8:$D$469,$B48,'ISO w_System Splits'!H$8:H$469)</f>
        <v>1696736.1200000003</v>
      </c>
      <c r="AG48" s="627">
        <f>SUMIF('ISO w_System Splits'!$D$8:$D$469,$B48,'ISO w_System Splits'!I$8:I$469)</f>
        <v>0</v>
      </c>
      <c r="AH48" s="627">
        <f>SUMIF('ISO w_System Splits'!$D$8:$D$469,$B48,'ISO w_System Splits'!J$8:J$469)</f>
        <v>0</v>
      </c>
      <c r="AI48" s="388"/>
      <c r="AJ48" s="627">
        <v>0</v>
      </c>
      <c r="AK48" s="627">
        <v>0</v>
      </c>
      <c r="AL48" s="627">
        <v>0</v>
      </c>
      <c r="AM48" s="388"/>
      <c r="AN48" s="627">
        <f>SUMIF('ISO w_System Splits'!$D$8:$D$615,$B48,'ISO w_System Splits'!H$8:H$615)-SUMIF('ISO w_System Splits'!$D$470:$D$520,$B48,'ISO w_System Splits'!H$470:H$520)</f>
        <v>1696736.1200000003</v>
      </c>
      <c r="AO48" s="627">
        <f>SUMIF('ISO w_System Splits'!$D$8:$D$615,$B48,'ISO w_System Splits'!I$8:I$615)-SUMIF('ISO w_System Splits'!$D$470:$D$520,$B48,'ISO w_System Splits'!I$470:I$520)</f>
        <v>0</v>
      </c>
      <c r="AP48" s="627">
        <f>SUMIF('ISO w_System Splits'!$D$8:$D$615,$B48,'ISO w_System Splits'!J$8:J$615)-SUMIF('ISO w_System Splits'!$D$470:$D$520,$B48,'ISO w_System Splits'!J$470:J$520)</f>
        <v>0</v>
      </c>
      <c r="AQ48" s="388"/>
      <c r="AR48" s="627">
        <v>0</v>
      </c>
      <c r="AS48" s="627">
        <v>0</v>
      </c>
      <c r="AT48" s="627">
        <v>0</v>
      </c>
      <c r="AW48" s="95">
        <f t="shared" si="14"/>
        <v>0</v>
      </c>
      <c r="AX48" s="95">
        <f t="shared" si="15"/>
        <v>0</v>
      </c>
      <c r="AY48" s="95">
        <f t="shared" si="16"/>
        <v>0</v>
      </c>
      <c r="BA48" s="95">
        <f t="shared" si="17"/>
        <v>0</v>
      </c>
      <c r="BB48" s="95">
        <f t="shared" si="18"/>
        <v>0</v>
      </c>
      <c r="BC48" s="95">
        <f t="shared" si="19"/>
        <v>0</v>
      </c>
    </row>
    <row r="49" spans="1:55" ht="15" customHeight="1" x14ac:dyDescent="0.25">
      <c r="A49" s="95" t="s">
        <v>519</v>
      </c>
      <c r="B49" s="357">
        <v>4149</v>
      </c>
      <c r="C49" s="626">
        <v>232</v>
      </c>
      <c r="D49" s="626">
        <v>0</v>
      </c>
      <c r="E49" s="626">
        <v>0</v>
      </c>
      <c r="F49" s="626">
        <v>0</v>
      </c>
      <c r="G49" s="626">
        <v>0</v>
      </c>
      <c r="H49" s="626">
        <v>0</v>
      </c>
      <c r="I49" s="627">
        <f t="shared" si="0"/>
        <v>232</v>
      </c>
      <c r="J49" s="628"/>
      <c r="K49" s="627">
        <v>0</v>
      </c>
      <c r="L49" s="627">
        <v>0</v>
      </c>
      <c r="M49" s="627">
        <v>0</v>
      </c>
      <c r="N49" s="627">
        <f>IF('Plant Total by Account'!$J$1=1,AF49,IF('Plant Total by Account'!$J$1=2,AN49,"Input Toggle"))</f>
        <v>0</v>
      </c>
      <c r="O49" s="627">
        <f>IF('Plant Total by Account'!$J$1=1,AG49,IF('Plant Total by Account'!$J$1=2,AO49,"Input Toggle"))</f>
        <v>0</v>
      </c>
      <c r="P49" s="627">
        <f>IF('Plant Total by Account'!$J$1=1,AH49,IF('Plant Total by Account'!$J$1=2,AP49,"Input Toggle"))</f>
        <v>0</v>
      </c>
      <c r="Q49" s="627">
        <f t="shared" si="11"/>
        <v>232</v>
      </c>
      <c r="R49" s="627">
        <f t="shared" si="12"/>
        <v>0</v>
      </c>
      <c r="S49" s="627">
        <f t="shared" si="13"/>
        <v>0</v>
      </c>
      <c r="T49" s="388"/>
      <c r="U49" s="627">
        <v>0</v>
      </c>
      <c r="V49" s="627">
        <v>0</v>
      </c>
      <c r="W49" s="627">
        <v>0</v>
      </c>
      <c r="X49" s="627">
        <f>IF('Plant Total by Account'!$J$1=1,AJ49,IF('Plant Total by Account'!$J$1=2,AR49,"Input Toggle"))</f>
        <v>0</v>
      </c>
      <c r="Y49" s="627">
        <f>IF('Plant Total by Account'!$J$1=1,AK49,IF('Plant Total by Account'!$J$1=2,AS49,"Input Toggle"))</f>
        <v>0</v>
      </c>
      <c r="Z49" s="627">
        <f>IF('Plant Total by Account'!$J$1=1,AL49,IF('Plant Total by Account'!$J$1=2,AT49,"Input Toggle"))</f>
        <v>0</v>
      </c>
      <c r="AA49" s="627">
        <f t="shared" si="1"/>
        <v>0</v>
      </c>
      <c r="AB49" s="627">
        <f t="shared" si="2"/>
        <v>0</v>
      </c>
      <c r="AC49" s="627">
        <f t="shared" si="3"/>
        <v>0</v>
      </c>
      <c r="AD49" s="388">
        <f t="shared" si="4"/>
        <v>0</v>
      </c>
      <c r="AE49" s="388"/>
      <c r="AF49" s="627">
        <f>SUMIF('ISO w_System Splits'!$D$8:$D$469,$B49,'ISO w_System Splits'!H$8:H$469)</f>
        <v>0</v>
      </c>
      <c r="AG49" s="627">
        <f>SUMIF('ISO w_System Splits'!$D$8:$D$469,$B49,'ISO w_System Splits'!I$8:I$469)</f>
        <v>0</v>
      </c>
      <c r="AH49" s="627">
        <f>SUMIF('ISO w_System Splits'!$D$8:$D$469,$B49,'ISO w_System Splits'!J$8:J$469)</f>
        <v>0</v>
      </c>
      <c r="AI49" s="388"/>
      <c r="AJ49" s="627">
        <v>0</v>
      </c>
      <c r="AK49" s="627">
        <v>0</v>
      </c>
      <c r="AL49" s="627">
        <v>0</v>
      </c>
      <c r="AM49" s="388"/>
      <c r="AN49" s="627">
        <f>SUMIF('ISO w_System Splits'!$D$8:$D$615,$B49,'ISO w_System Splits'!H$8:H$615)-SUMIF('ISO w_System Splits'!$D$470:$D$520,$B49,'ISO w_System Splits'!H$470:H$520)</f>
        <v>0</v>
      </c>
      <c r="AO49" s="627">
        <f>SUMIF('ISO w_System Splits'!$D$8:$D$615,$B49,'ISO w_System Splits'!I$8:I$615)-SUMIF('ISO w_System Splits'!$D$470:$D$520,$B49,'ISO w_System Splits'!I$470:I$520)</f>
        <v>0</v>
      </c>
      <c r="AP49" s="627">
        <f>SUMIF('ISO w_System Splits'!$D$8:$D$615,$B49,'ISO w_System Splits'!J$8:J$615)-SUMIF('ISO w_System Splits'!$D$470:$D$520,$B49,'ISO w_System Splits'!J$470:J$520)</f>
        <v>0</v>
      </c>
      <c r="AQ49" s="388"/>
      <c r="AR49" s="627">
        <v>0</v>
      </c>
      <c r="AS49" s="627">
        <v>0</v>
      </c>
      <c r="AT49" s="627">
        <v>0</v>
      </c>
      <c r="AW49" s="95">
        <f t="shared" si="14"/>
        <v>0</v>
      </c>
      <c r="AX49" s="95">
        <f t="shared" si="15"/>
        <v>0</v>
      </c>
      <c r="AY49" s="95">
        <f t="shared" si="16"/>
        <v>0</v>
      </c>
      <c r="BA49" s="95">
        <f t="shared" si="17"/>
        <v>0</v>
      </c>
      <c r="BB49" s="95">
        <f t="shared" si="18"/>
        <v>0</v>
      </c>
      <c r="BC49" s="95">
        <f t="shared" si="19"/>
        <v>0</v>
      </c>
    </row>
    <row r="50" spans="1:55" ht="15" customHeight="1" x14ac:dyDescent="0.25">
      <c r="A50" s="95" t="s">
        <v>520</v>
      </c>
      <c r="B50" s="357">
        <v>4153</v>
      </c>
      <c r="C50" s="626">
        <v>309032.19</v>
      </c>
      <c r="D50" s="626">
        <v>0</v>
      </c>
      <c r="E50" s="626">
        <v>0</v>
      </c>
      <c r="F50" s="626">
        <v>0</v>
      </c>
      <c r="G50" s="626">
        <v>0</v>
      </c>
      <c r="H50" s="626">
        <v>0</v>
      </c>
      <c r="I50" s="627">
        <f t="shared" si="0"/>
        <v>309032.19</v>
      </c>
      <c r="J50" s="628"/>
      <c r="K50" s="627">
        <v>0</v>
      </c>
      <c r="L50" s="627">
        <v>0</v>
      </c>
      <c r="M50" s="627">
        <v>0</v>
      </c>
      <c r="N50" s="627">
        <f>IF('Plant Total by Account'!$J$1=1,AF50,IF('Plant Total by Account'!$J$1=2,AN50,"Input Toggle"))</f>
        <v>0</v>
      </c>
      <c r="O50" s="627">
        <f>IF('Plant Total by Account'!$J$1=1,AG50,IF('Plant Total by Account'!$J$1=2,AO50,"Input Toggle"))</f>
        <v>0</v>
      </c>
      <c r="P50" s="627">
        <f>IF('Plant Total by Account'!$J$1=1,AH50,IF('Plant Total by Account'!$J$1=2,AP50,"Input Toggle"))</f>
        <v>0</v>
      </c>
      <c r="Q50" s="627">
        <f t="shared" si="11"/>
        <v>309032.19</v>
      </c>
      <c r="R50" s="627">
        <f t="shared" si="12"/>
        <v>0</v>
      </c>
      <c r="S50" s="627">
        <f t="shared" si="13"/>
        <v>0</v>
      </c>
      <c r="T50" s="388"/>
      <c r="U50" s="627">
        <v>0</v>
      </c>
      <c r="V50" s="627">
        <v>0</v>
      </c>
      <c r="W50" s="627">
        <v>0</v>
      </c>
      <c r="X50" s="627">
        <f>IF('Plant Total by Account'!$J$1=1,AJ50,IF('Plant Total by Account'!$J$1=2,AR50,"Input Toggle"))</f>
        <v>0</v>
      </c>
      <c r="Y50" s="627">
        <f>IF('Plant Total by Account'!$J$1=1,AK50,IF('Plant Total by Account'!$J$1=2,AS50,"Input Toggle"))</f>
        <v>0</v>
      </c>
      <c r="Z50" s="627">
        <f>IF('Plant Total by Account'!$J$1=1,AL50,IF('Plant Total by Account'!$J$1=2,AT50,"Input Toggle"))</f>
        <v>0</v>
      </c>
      <c r="AA50" s="627">
        <f t="shared" si="1"/>
        <v>0</v>
      </c>
      <c r="AB50" s="627">
        <f t="shared" si="2"/>
        <v>0</v>
      </c>
      <c r="AC50" s="627">
        <f t="shared" si="3"/>
        <v>0</v>
      </c>
      <c r="AD50" s="388">
        <f t="shared" si="4"/>
        <v>0</v>
      </c>
      <c r="AE50" s="388"/>
      <c r="AF50" s="627">
        <f>SUMIF('ISO w_System Splits'!$D$8:$D$469,$B50,'ISO w_System Splits'!H$8:H$469)</f>
        <v>0</v>
      </c>
      <c r="AG50" s="627">
        <f>SUMIF('ISO w_System Splits'!$D$8:$D$469,$B50,'ISO w_System Splits'!I$8:I$469)</f>
        <v>0</v>
      </c>
      <c r="AH50" s="627">
        <f>SUMIF('ISO w_System Splits'!$D$8:$D$469,$B50,'ISO w_System Splits'!J$8:J$469)</f>
        <v>0</v>
      </c>
      <c r="AI50" s="388"/>
      <c r="AJ50" s="627">
        <v>0</v>
      </c>
      <c r="AK50" s="627">
        <v>0</v>
      </c>
      <c r="AL50" s="627">
        <v>0</v>
      </c>
      <c r="AM50" s="388"/>
      <c r="AN50" s="627">
        <f>SUMIF('ISO w_System Splits'!$D$8:$D$615,$B50,'ISO w_System Splits'!H$8:H$615)-SUMIF('ISO w_System Splits'!$D$470:$D$520,$B50,'ISO w_System Splits'!H$470:H$520)</f>
        <v>0</v>
      </c>
      <c r="AO50" s="627">
        <f>SUMIF('ISO w_System Splits'!$D$8:$D$615,$B50,'ISO w_System Splits'!I$8:I$615)-SUMIF('ISO w_System Splits'!$D$470:$D$520,$B50,'ISO w_System Splits'!I$470:I$520)</f>
        <v>0</v>
      </c>
      <c r="AP50" s="627">
        <f>SUMIF('ISO w_System Splits'!$D$8:$D$615,$B50,'ISO w_System Splits'!J$8:J$615)-SUMIF('ISO w_System Splits'!$D$470:$D$520,$B50,'ISO w_System Splits'!J$470:J$520)</f>
        <v>0</v>
      </c>
      <c r="AQ50" s="388"/>
      <c r="AR50" s="627">
        <v>0</v>
      </c>
      <c r="AS50" s="627">
        <v>0</v>
      </c>
      <c r="AT50" s="627">
        <v>0</v>
      </c>
      <c r="AW50" s="95">
        <f t="shared" si="14"/>
        <v>0</v>
      </c>
      <c r="AX50" s="95">
        <f t="shared" si="15"/>
        <v>0</v>
      </c>
      <c r="AY50" s="95">
        <f t="shared" si="16"/>
        <v>0</v>
      </c>
      <c r="BA50" s="95">
        <f t="shared" si="17"/>
        <v>0</v>
      </c>
      <c r="BB50" s="95">
        <f t="shared" si="18"/>
        <v>0</v>
      </c>
      <c r="BC50" s="95">
        <f t="shared" si="19"/>
        <v>0</v>
      </c>
    </row>
    <row r="51" spans="1:55" ht="15" customHeight="1" x14ac:dyDescent="0.25">
      <c r="A51" s="95" t="s">
        <v>1330</v>
      </c>
      <c r="B51" s="357">
        <v>4154</v>
      </c>
      <c r="C51" s="626">
        <v>751548.67</v>
      </c>
      <c r="D51" s="626">
        <v>0</v>
      </c>
      <c r="E51" s="626">
        <v>0</v>
      </c>
      <c r="F51" s="626">
        <v>0</v>
      </c>
      <c r="G51" s="626">
        <v>0</v>
      </c>
      <c r="H51" s="626">
        <v>0</v>
      </c>
      <c r="I51" s="627">
        <f t="shared" si="0"/>
        <v>751548.67</v>
      </c>
      <c r="J51" s="628"/>
      <c r="K51" s="627">
        <v>0</v>
      </c>
      <c r="L51" s="627">
        <v>0</v>
      </c>
      <c r="M51" s="627">
        <v>0</v>
      </c>
      <c r="N51" s="627">
        <f>IF('Plant Total by Account'!$J$1=1,AF51,IF('Plant Total by Account'!$J$1=2,AN51,"Input Toggle"))</f>
        <v>751548.67</v>
      </c>
      <c r="O51" s="627">
        <f>IF('Plant Total by Account'!$J$1=1,AG51,IF('Plant Total by Account'!$J$1=2,AO51,"Input Toggle"))</f>
        <v>0</v>
      </c>
      <c r="P51" s="627">
        <f>IF('Plant Total by Account'!$J$1=1,AH51,IF('Plant Total by Account'!$J$1=2,AP51,"Input Toggle"))</f>
        <v>0</v>
      </c>
      <c r="Q51" s="627">
        <f t="shared" si="11"/>
        <v>0</v>
      </c>
      <c r="R51" s="627">
        <f t="shared" si="12"/>
        <v>0</v>
      </c>
      <c r="S51" s="627">
        <f t="shared" si="13"/>
        <v>0</v>
      </c>
      <c r="T51" s="388"/>
      <c r="U51" s="627">
        <v>0</v>
      </c>
      <c r="V51" s="627">
        <v>0</v>
      </c>
      <c r="W51" s="627">
        <v>0</v>
      </c>
      <c r="X51" s="627">
        <f>IF('Plant Total by Account'!$J$1=1,AJ51,IF('Plant Total by Account'!$J$1=2,AR51,"Input Toggle"))</f>
        <v>0</v>
      </c>
      <c r="Y51" s="627">
        <f>IF('Plant Total by Account'!$J$1=1,AK51,IF('Plant Total by Account'!$J$1=2,AS51,"Input Toggle"))</f>
        <v>0</v>
      </c>
      <c r="Z51" s="627">
        <f>IF('Plant Total by Account'!$J$1=1,AL51,IF('Plant Total by Account'!$J$1=2,AT51,"Input Toggle"))</f>
        <v>0</v>
      </c>
      <c r="AA51" s="627">
        <f t="shared" si="1"/>
        <v>0</v>
      </c>
      <c r="AB51" s="627">
        <f t="shared" si="2"/>
        <v>0</v>
      </c>
      <c r="AC51" s="627">
        <f t="shared" si="3"/>
        <v>0</v>
      </c>
      <c r="AD51" s="388">
        <f t="shared" si="4"/>
        <v>0</v>
      </c>
      <c r="AE51" s="388"/>
      <c r="AF51" s="627">
        <f>SUMIF('ISO w_System Splits'!$D$8:$D$469,$B51,'ISO w_System Splits'!H$8:H$469)</f>
        <v>751548.67</v>
      </c>
      <c r="AG51" s="627">
        <f>SUMIF('ISO w_System Splits'!$D$8:$D$469,$B51,'ISO w_System Splits'!I$8:I$469)</f>
        <v>0</v>
      </c>
      <c r="AH51" s="627">
        <f>SUMIF('ISO w_System Splits'!$D$8:$D$469,$B51,'ISO w_System Splits'!J$8:J$469)</f>
        <v>0</v>
      </c>
      <c r="AI51" s="388"/>
      <c r="AJ51" s="627">
        <v>0</v>
      </c>
      <c r="AK51" s="627">
        <v>0</v>
      </c>
      <c r="AL51" s="627">
        <v>0</v>
      </c>
      <c r="AM51" s="388"/>
      <c r="AN51" s="627">
        <f>SUMIF('ISO w_System Splits'!$D$8:$D$615,$B51,'ISO w_System Splits'!H$8:H$615)-SUMIF('ISO w_System Splits'!$D$470:$D$520,$B51,'ISO w_System Splits'!H$470:H$520)</f>
        <v>751548.67</v>
      </c>
      <c r="AO51" s="627">
        <f>SUMIF('ISO w_System Splits'!$D$8:$D$615,$B51,'ISO w_System Splits'!I$8:I$615)-SUMIF('ISO w_System Splits'!$D$470:$D$520,$B51,'ISO w_System Splits'!I$470:I$520)</f>
        <v>0</v>
      </c>
      <c r="AP51" s="627">
        <f>SUMIF('ISO w_System Splits'!$D$8:$D$615,$B51,'ISO w_System Splits'!J$8:J$615)-SUMIF('ISO w_System Splits'!$D$470:$D$520,$B51,'ISO w_System Splits'!J$470:J$520)</f>
        <v>0</v>
      </c>
      <c r="AQ51" s="388"/>
      <c r="AR51" s="627">
        <v>0</v>
      </c>
      <c r="AS51" s="627">
        <v>0</v>
      </c>
      <c r="AT51" s="627">
        <v>0</v>
      </c>
      <c r="AW51" s="95">
        <f t="shared" si="14"/>
        <v>0</v>
      </c>
      <c r="AX51" s="95">
        <f t="shared" si="15"/>
        <v>0</v>
      </c>
      <c r="AY51" s="95">
        <f t="shared" si="16"/>
        <v>0</v>
      </c>
      <c r="BA51" s="95">
        <f t="shared" si="17"/>
        <v>0</v>
      </c>
      <c r="BB51" s="95">
        <f t="shared" si="18"/>
        <v>0</v>
      </c>
      <c r="BC51" s="95">
        <f t="shared" si="19"/>
        <v>0</v>
      </c>
    </row>
    <row r="52" spans="1:55" ht="15" customHeight="1" x14ac:dyDescent="0.25">
      <c r="A52" s="95" t="s">
        <v>1331</v>
      </c>
      <c r="B52" s="357">
        <v>4155</v>
      </c>
      <c r="C52" s="626">
        <v>2956983.22</v>
      </c>
      <c r="D52" s="626">
        <v>0</v>
      </c>
      <c r="E52" s="626">
        <v>0</v>
      </c>
      <c r="F52" s="626">
        <v>0</v>
      </c>
      <c r="G52" s="626">
        <v>0</v>
      </c>
      <c r="H52" s="626">
        <v>0</v>
      </c>
      <c r="I52" s="627">
        <f t="shared" si="0"/>
        <v>2956983.22</v>
      </c>
      <c r="J52" s="628"/>
      <c r="K52" s="627">
        <v>0</v>
      </c>
      <c r="L52" s="627">
        <v>0</v>
      </c>
      <c r="M52" s="627">
        <v>0</v>
      </c>
      <c r="N52" s="627">
        <f>IF('Plant Total by Account'!$J$1=1,AF52,IF('Plant Total by Account'!$J$1=2,AN52,"Input Toggle"))</f>
        <v>2956983.2199999997</v>
      </c>
      <c r="O52" s="627">
        <f>IF('Plant Total by Account'!$J$1=1,AG52,IF('Plant Total by Account'!$J$1=2,AO52,"Input Toggle"))</f>
        <v>0</v>
      </c>
      <c r="P52" s="627">
        <f>IF('Plant Total by Account'!$J$1=1,AH52,IF('Plant Total by Account'!$J$1=2,AP52,"Input Toggle"))</f>
        <v>0</v>
      </c>
      <c r="Q52" s="627">
        <f t="shared" si="11"/>
        <v>0</v>
      </c>
      <c r="R52" s="627">
        <f t="shared" si="12"/>
        <v>0</v>
      </c>
      <c r="S52" s="627">
        <f t="shared" si="13"/>
        <v>0</v>
      </c>
      <c r="T52" s="388"/>
      <c r="U52" s="627">
        <v>0</v>
      </c>
      <c r="V52" s="627">
        <v>0</v>
      </c>
      <c r="W52" s="627">
        <v>0</v>
      </c>
      <c r="X52" s="627">
        <f>IF('Plant Total by Account'!$J$1=1,AJ52,IF('Plant Total by Account'!$J$1=2,AR52,"Input Toggle"))</f>
        <v>0</v>
      </c>
      <c r="Y52" s="627">
        <f>IF('Plant Total by Account'!$J$1=1,AK52,IF('Plant Total by Account'!$J$1=2,AS52,"Input Toggle"))</f>
        <v>0</v>
      </c>
      <c r="Z52" s="627">
        <f>IF('Plant Total by Account'!$J$1=1,AL52,IF('Plant Total by Account'!$J$1=2,AT52,"Input Toggle"))</f>
        <v>0</v>
      </c>
      <c r="AA52" s="627">
        <f t="shared" si="1"/>
        <v>0</v>
      </c>
      <c r="AB52" s="627">
        <f t="shared" si="2"/>
        <v>0</v>
      </c>
      <c r="AC52" s="627">
        <f t="shared" si="3"/>
        <v>0</v>
      </c>
      <c r="AD52" s="388">
        <f t="shared" si="4"/>
        <v>0</v>
      </c>
      <c r="AE52" s="388"/>
      <c r="AF52" s="627">
        <f>SUMIF('ISO w_System Splits'!$D$8:$D$469,$B52,'ISO w_System Splits'!H$8:H$469)</f>
        <v>2956983.2199999997</v>
      </c>
      <c r="AG52" s="627">
        <f>SUMIF('ISO w_System Splits'!$D$8:$D$469,$B52,'ISO w_System Splits'!I$8:I$469)</f>
        <v>0</v>
      </c>
      <c r="AH52" s="627">
        <f>SUMIF('ISO w_System Splits'!$D$8:$D$469,$B52,'ISO w_System Splits'!J$8:J$469)</f>
        <v>0</v>
      </c>
      <c r="AI52" s="388"/>
      <c r="AJ52" s="627">
        <v>0</v>
      </c>
      <c r="AK52" s="627">
        <v>0</v>
      </c>
      <c r="AL52" s="627">
        <v>0</v>
      </c>
      <c r="AM52" s="388"/>
      <c r="AN52" s="627">
        <f>SUMIF('ISO w_System Splits'!$D$8:$D$615,$B52,'ISO w_System Splits'!H$8:H$615)-SUMIF('ISO w_System Splits'!$D$470:$D$520,$B52,'ISO w_System Splits'!H$470:H$520)</f>
        <v>2956983.2199999997</v>
      </c>
      <c r="AO52" s="627">
        <f>SUMIF('ISO w_System Splits'!$D$8:$D$615,$B52,'ISO w_System Splits'!I$8:I$615)-SUMIF('ISO w_System Splits'!$D$470:$D$520,$B52,'ISO w_System Splits'!I$470:I$520)</f>
        <v>0</v>
      </c>
      <c r="AP52" s="627">
        <f>SUMIF('ISO w_System Splits'!$D$8:$D$615,$B52,'ISO w_System Splits'!J$8:J$615)-SUMIF('ISO w_System Splits'!$D$470:$D$520,$B52,'ISO w_System Splits'!J$470:J$520)</f>
        <v>0</v>
      </c>
      <c r="AQ52" s="388"/>
      <c r="AR52" s="627">
        <v>0</v>
      </c>
      <c r="AS52" s="627">
        <v>0</v>
      </c>
      <c r="AT52" s="627">
        <v>0</v>
      </c>
      <c r="AW52" s="95">
        <f t="shared" si="14"/>
        <v>0</v>
      </c>
      <c r="AX52" s="95">
        <f t="shared" si="15"/>
        <v>0</v>
      </c>
      <c r="AY52" s="95">
        <f t="shared" si="16"/>
        <v>0</v>
      </c>
      <c r="BA52" s="95">
        <f t="shared" si="17"/>
        <v>0</v>
      </c>
      <c r="BB52" s="95">
        <f t="shared" si="18"/>
        <v>0</v>
      </c>
      <c r="BC52" s="95">
        <f t="shared" si="19"/>
        <v>0</v>
      </c>
    </row>
    <row r="53" spans="1:55" ht="15" customHeight="1" x14ac:dyDescent="0.25">
      <c r="A53" s="95" t="s">
        <v>1332</v>
      </c>
      <c r="B53" s="357">
        <v>4156</v>
      </c>
      <c r="C53" s="626">
        <v>12019807.719999999</v>
      </c>
      <c r="D53" s="626">
        <v>0</v>
      </c>
      <c r="E53" s="626">
        <v>0</v>
      </c>
      <c r="F53" s="626">
        <v>0</v>
      </c>
      <c r="G53" s="626">
        <v>0</v>
      </c>
      <c r="H53" s="626">
        <v>0</v>
      </c>
      <c r="I53" s="627">
        <f t="shared" si="0"/>
        <v>12019807.719999999</v>
      </c>
      <c r="J53" s="628"/>
      <c r="K53" s="627">
        <v>0</v>
      </c>
      <c r="L53" s="627">
        <v>0</v>
      </c>
      <c r="M53" s="627">
        <v>0</v>
      </c>
      <c r="N53" s="627">
        <f>IF('Plant Total by Account'!$J$1=1,AF53,IF('Plant Total by Account'!$J$1=2,AN53,"Input Toggle"))</f>
        <v>12025290.050000001</v>
      </c>
      <c r="O53" s="627">
        <f>IF('Plant Total by Account'!$J$1=1,AG53,IF('Plant Total by Account'!$J$1=2,AO53,"Input Toggle"))</f>
        <v>0</v>
      </c>
      <c r="P53" s="627">
        <f>IF('Plant Total by Account'!$J$1=1,AH53,IF('Plant Total by Account'!$J$1=2,AP53,"Input Toggle"))</f>
        <v>0</v>
      </c>
      <c r="Q53" s="627">
        <f t="shared" si="11"/>
        <v>-5482.3300000019372</v>
      </c>
      <c r="R53" s="627">
        <f t="shared" si="12"/>
        <v>0</v>
      </c>
      <c r="S53" s="627">
        <f t="shared" si="13"/>
        <v>0</v>
      </c>
      <c r="T53" s="388"/>
      <c r="U53" s="627">
        <v>0</v>
      </c>
      <c r="V53" s="627">
        <v>0</v>
      </c>
      <c r="W53" s="627">
        <v>0</v>
      </c>
      <c r="X53" s="627">
        <f>IF('Plant Total by Account'!$J$1=1,AJ53,IF('Plant Total by Account'!$J$1=2,AR53,"Input Toggle"))</f>
        <v>0</v>
      </c>
      <c r="Y53" s="627">
        <f>IF('Plant Total by Account'!$J$1=1,AK53,IF('Plant Total by Account'!$J$1=2,AS53,"Input Toggle"))</f>
        <v>0</v>
      </c>
      <c r="Z53" s="627">
        <f>IF('Plant Total by Account'!$J$1=1,AL53,IF('Plant Total by Account'!$J$1=2,AT53,"Input Toggle"))</f>
        <v>0</v>
      </c>
      <c r="AA53" s="627">
        <f t="shared" si="1"/>
        <v>0</v>
      </c>
      <c r="AB53" s="627">
        <f t="shared" si="2"/>
        <v>0</v>
      </c>
      <c r="AC53" s="627">
        <f t="shared" si="3"/>
        <v>0</v>
      </c>
      <c r="AD53" s="388">
        <f t="shared" si="4"/>
        <v>0</v>
      </c>
      <c r="AE53" s="388"/>
      <c r="AF53" s="627">
        <f>SUMIF('ISO w_System Splits'!$D$8:$D$469,$B53,'ISO w_System Splits'!H$8:H$469)</f>
        <v>12025290.050000001</v>
      </c>
      <c r="AG53" s="627">
        <f>SUMIF('ISO w_System Splits'!$D$8:$D$469,$B53,'ISO w_System Splits'!I$8:I$469)</f>
        <v>0</v>
      </c>
      <c r="AH53" s="627">
        <f>SUMIF('ISO w_System Splits'!$D$8:$D$469,$B53,'ISO w_System Splits'!J$8:J$469)</f>
        <v>0</v>
      </c>
      <c r="AI53" s="388"/>
      <c r="AJ53" s="627">
        <v>0</v>
      </c>
      <c r="AK53" s="627">
        <v>0</v>
      </c>
      <c r="AL53" s="627">
        <v>0</v>
      </c>
      <c r="AM53" s="388"/>
      <c r="AN53" s="627">
        <f>SUMIF('ISO w_System Splits'!$D$8:$D$615,$B53,'ISO w_System Splits'!H$8:H$615)-SUMIF('ISO w_System Splits'!$D$470:$D$520,$B53,'ISO w_System Splits'!H$470:H$520)</f>
        <v>12025290.050000001</v>
      </c>
      <c r="AO53" s="627">
        <f>SUMIF('ISO w_System Splits'!$D$8:$D$615,$B53,'ISO w_System Splits'!I$8:I$615)-SUMIF('ISO w_System Splits'!$D$470:$D$520,$B53,'ISO w_System Splits'!I$470:I$520)</f>
        <v>0</v>
      </c>
      <c r="AP53" s="627">
        <f>SUMIF('ISO w_System Splits'!$D$8:$D$615,$B53,'ISO w_System Splits'!J$8:J$615)-SUMIF('ISO w_System Splits'!$D$470:$D$520,$B53,'ISO w_System Splits'!J$470:J$520)</f>
        <v>0</v>
      </c>
      <c r="AQ53" s="388"/>
      <c r="AR53" s="627">
        <v>0</v>
      </c>
      <c r="AS53" s="627">
        <v>0</v>
      </c>
      <c r="AT53" s="627">
        <v>0</v>
      </c>
      <c r="AW53" s="95">
        <f t="shared" si="14"/>
        <v>0</v>
      </c>
      <c r="AX53" s="95">
        <f t="shared" si="15"/>
        <v>0</v>
      </c>
      <c r="AY53" s="95">
        <f t="shared" si="16"/>
        <v>0</v>
      </c>
      <c r="BA53" s="95">
        <f t="shared" si="17"/>
        <v>0</v>
      </c>
      <c r="BB53" s="95">
        <f t="shared" si="18"/>
        <v>0</v>
      </c>
      <c r="BC53" s="95">
        <f t="shared" si="19"/>
        <v>0</v>
      </c>
    </row>
    <row r="54" spans="1:55" x14ac:dyDescent="0.25">
      <c r="A54" s="95" t="s">
        <v>1440</v>
      </c>
      <c r="B54" s="357">
        <v>4157</v>
      </c>
      <c r="C54" s="626">
        <v>105605.40000000001</v>
      </c>
      <c r="D54" s="626">
        <v>18610.490000000002</v>
      </c>
      <c r="E54" s="626">
        <v>0</v>
      </c>
      <c r="F54" s="626">
        <v>0</v>
      </c>
      <c r="G54" s="626">
        <v>0</v>
      </c>
      <c r="H54" s="626">
        <v>0</v>
      </c>
      <c r="I54" s="627">
        <f t="shared" si="0"/>
        <v>124215.89000000001</v>
      </c>
      <c r="J54" s="628"/>
      <c r="K54" s="627">
        <v>0</v>
      </c>
      <c r="L54" s="627">
        <v>0</v>
      </c>
      <c r="M54" s="627">
        <v>0</v>
      </c>
      <c r="N54" s="627">
        <f>IF('Plant Total by Account'!$J$1=1,AF54,IF('Plant Total by Account'!$J$1=2,AN54,"Input Toggle"))</f>
        <v>105605.40000000001</v>
      </c>
      <c r="O54" s="627">
        <f>IF('Plant Total by Account'!$J$1=1,AG54,IF('Plant Total by Account'!$J$1=2,AO54,"Input Toggle"))</f>
        <v>18610.490000000002</v>
      </c>
      <c r="P54" s="627">
        <f>IF('Plant Total by Account'!$J$1=1,AH54,IF('Plant Total by Account'!$J$1=2,AP54,"Input Toggle"))</f>
        <v>0</v>
      </c>
      <c r="Q54" s="627">
        <f t="shared" si="11"/>
        <v>0</v>
      </c>
      <c r="R54" s="627">
        <f t="shared" si="12"/>
        <v>0</v>
      </c>
      <c r="S54" s="627">
        <f t="shared" si="13"/>
        <v>0</v>
      </c>
      <c r="T54" s="388"/>
      <c r="U54" s="627">
        <v>0</v>
      </c>
      <c r="V54" s="627">
        <v>0</v>
      </c>
      <c r="W54" s="627">
        <v>0</v>
      </c>
      <c r="X54" s="627">
        <f>IF('Plant Total by Account'!$J$1=1,AJ54,IF('Plant Total by Account'!$J$1=2,AR54,"Input Toggle"))</f>
        <v>0</v>
      </c>
      <c r="Y54" s="627">
        <f>IF('Plant Total by Account'!$J$1=1,AK54,IF('Plant Total by Account'!$J$1=2,AS54,"Input Toggle"))</f>
        <v>0</v>
      </c>
      <c r="Z54" s="627">
        <f>IF('Plant Total by Account'!$J$1=1,AL54,IF('Plant Total by Account'!$J$1=2,AT54,"Input Toggle"))</f>
        <v>0</v>
      </c>
      <c r="AA54" s="627">
        <f t="shared" si="1"/>
        <v>0</v>
      </c>
      <c r="AB54" s="627">
        <f t="shared" si="2"/>
        <v>0</v>
      </c>
      <c r="AC54" s="627">
        <f t="shared" si="3"/>
        <v>0</v>
      </c>
      <c r="AD54" s="388">
        <f t="shared" si="4"/>
        <v>0</v>
      </c>
      <c r="AE54" s="388"/>
      <c r="AF54" s="627">
        <f>SUMIF('ISO w_System Splits'!$D$8:$D$469,$B54,'ISO w_System Splits'!H$8:H$469)</f>
        <v>105605.40000000001</v>
      </c>
      <c r="AG54" s="627">
        <f>SUMIF('ISO w_System Splits'!$D$8:$D$469,$B54,'ISO w_System Splits'!I$8:I$469)</f>
        <v>18610.490000000002</v>
      </c>
      <c r="AH54" s="627">
        <f>SUMIF('ISO w_System Splits'!$D$8:$D$469,$B54,'ISO w_System Splits'!J$8:J$469)</f>
        <v>0</v>
      </c>
      <c r="AI54" s="388"/>
      <c r="AJ54" s="627">
        <v>0</v>
      </c>
      <c r="AK54" s="627">
        <v>0</v>
      </c>
      <c r="AL54" s="627">
        <v>0</v>
      </c>
      <c r="AM54" s="388"/>
      <c r="AN54" s="627">
        <f>SUMIF('ISO w_System Splits'!$D$8:$D$615,$B54,'ISO w_System Splits'!H$8:H$615)-SUMIF('ISO w_System Splits'!$D$470:$D$520,$B54,'ISO w_System Splits'!H$470:H$520)</f>
        <v>105605.40000000001</v>
      </c>
      <c r="AO54" s="627">
        <f>SUMIF('ISO w_System Splits'!$D$8:$D$615,$B54,'ISO w_System Splits'!I$8:I$615)-SUMIF('ISO w_System Splits'!$D$470:$D$520,$B54,'ISO w_System Splits'!I$470:I$520)</f>
        <v>18610.490000000002</v>
      </c>
      <c r="AP54" s="627">
        <f>SUMIF('ISO w_System Splits'!$D$8:$D$615,$B54,'ISO w_System Splits'!J$8:J$615)-SUMIF('ISO w_System Splits'!$D$470:$D$520,$B54,'ISO w_System Splits'!J$470:J$520)</f>
        <v>0</v>
      </c>
      <c r="AQ54" s="388"/>
      <c r="AR54" s="627">
        <v>0</v>
      </c>
      <c r="AS54" s="627">
        <v>0</v>
      </c>
      <c r="AT54" s="627">
        <v>0</v>
      </c>
      <c r="AW54" s="95">
        <f t="shared" si="14"/>
        <v>0</v>
      </c>
      <c r="AX54" s="95">
        <f t="shared" si="15"/>
        <v>0</v>
      </c>
      <c r="AY54" s="95">
        <f t="shared" si="16"/>
        <v>0</v>
      </c>
      <c r="BA54" s="95">
        <f t="shared" si="17"/>
        <v>0</v>
      </c>
      <c r="BB54" s="95">
        <f t="shared" si="18"/>
        <v>0</v>
      </c>
      <c r="BC54" s="95">
        <f t="shared" si="19"/>
        <v>0</v>
      </c>
    </row>
    <row r="55" spans="1:55" ht="15" customHeight="1" x14ac:dyDescent="0.25">
      <c r="A55" s="95" t="s">
        <v>521</v>
      </c>
      <c r="B55" s="357">
        <v>4158</v>
      </c>
      <c r="C55" s="626">
        <v>498252.05000000005</v>
      </c>
      <c r="D55" s="626">
        <v>0</v>
      </c>
      <c r="E55" s="626">
        <v>0</v>
      </c>
      <c r="F55" s="626">
        <v>0</v>
      </c>
      <c r="G55" s="626">
        <v>0</v>
      </c>
      <c r="H55" s="626">
        <v>0</v>
      </c>
      <c r="I55" s="627">
        <f t="shared" si="0"/>
        <v>498252.05000000005</v>
      </c>
      <c r="J55" s="628"/>
      <c r="K55" s="627">
        <v>0</v>
      </c>
      <c r="L55" s="627">
        <v>0</v>
      </c>
      <c r="M55" s="627">
        <v>0</v>
      </c>
      <c r="N55" s="627">
        <f>IF('Plant Total by Account'!$J$1=1,AF55,IF('Plant Total by Account'!$J$1=2,AN55,"Input Toggle"))</f>
        <v>0</v>
      </c>
      <c r="O55" s="627">
        <f>IF('Plant Total by Account'!$J$1=1,AG55,IF('Plant Total by Account'!$J$1=2,AO55,"Input Toggle"))</f>
        <v>0</v>
      </c>
      <c r="P55" s="627">
        <f>IF('Plant Total by Account'!$J$1=1,AH55,IF('Plant Total by Account'!$J$1=2,AP55,"Input Toggle"))</f>
        <v>0</v>
      </c>
      <c r="Q55" s="627">
        <f t="shared" si="11"/>
        <v>498252.05000000005</v>
      </c>
      <c r="R55" s="627">
        <f t="shared" si="12"/>
        <v>0</v>
      </c>
      <c r="S55" s="627">
        <f t="shared" si="13"/>
        <v>0</v>
      </c>
      <c r="T55" s="388"/>
      <c r="U55" s="627">
        <v>0</v>
      </c>
      <c r="V55" s="627">
        <v>0</v>
      </c>
      <c r="W55" s="627">
        <v>0</v>
      </c>
      <c r="X55" s="627">
        <f>IF('Plant Total by Account'!$J$1=1,AJ55,IF('Plant Total by Account'!$J$1=2,AR55,"Input Toggle"))</f>
        <v>0</v>
      </c>
      <c r="Y55" s="627">
        <f>IF('Plant Total by Account'!$J$1=1,AK55,IF('Plant Total by Account'!$J$1=2,AS55,"Input Toggle"))</f>
        <v>0</v>
      </c>
      <c r="Z55" s="627">
        <f>IF('Plant Total by Account'!$J$1=1,AL55,IF('Plant Total by Account'!$J$1=2,AT55,"Input Toggle"))</f>
        <v>0</v>
      </c>
      <c r="AA55" s="627">
        <f t="shared" si="1"/>
        <v>0</v>
      </c>
      <c r="AB55" s="627">
        <f t="shared" si="2"/>
        <v>0</v>
      </c>
      <c r="AC55" s="627">
        <f t="shared" si="3"/>
        <v>0</v>
      </c>
      <c r="AD55" s="388">
        <f t="shared" si="4"/>
        <v>0</v>
      </c>
      <c r="AE55" s="388"/>
      <c r="AF55" s="627">
        <f>SUMIF('ISO w_System Splits'!$D$8:$D$469,$B55,'ISO w_System Splits'!H$8:H$469)</f>
        <v>0</v>
      </c>
      <c r="AG55" s="627">
        <f>SUMIF('ISO w_System Splits'!$D$8:$D$469,$B55,'ISO w_System Splits'!I$8:I$469)</f>
        <v>0</v>
      </c>
      <c r="AH55" s="627">
        <f>SUMIF('ISO w_System Splits'!$D$8:$D$469,$B55,'ISO w_System Splits'!J$8:J$469)</f>
        <v>0</v>
      </c>
      <c r="AI55" s="388"/>
      <c r="AJ55" s="627">
        <v>0</v>
      </c>
      <c r="AK55" s="627">
        <v>0</v>
      </c>
      <c r="AL55" s="627">
        <v>0</v>
      </c>
      <c r="AM55" s="388"/>
      <c r="AN55" s="627">
        <f>SUMIF('ISO w_System Splits'!$D$8:$D$615,$B55,'ISO w_System Splits'!H$8:H$615)-SUMIF('ISO w_System Splits'!$D$470:$D$520,$B55,'ISO w_System Splits'!H$470:H$520)</f>
        <v>0</v>
      </c>
      <c r="AO55" s="627">
        <f>SUMIF('ISO w_System Splits'!$D$8:$D$615,$B55,'ISO w_System Splits'!I$8:I$615)-SUMIF('ISO w_System Splits'!$D$470:$D$520,$B55,'ISO w_System Splits'!I$470:I$520)</f>
        <v>0</v>
      </c>
      <c r="AP55" s="627">
        <f>SUMIF('ISO w_System Splits'!$D$8:$D$615,$B55,'ISO w_System Splits'!J$8:J$615)-SUMIF('ISO w_System Splits'!$D$470:$D$520,$B55,'ISO w_System Splits'!J$470:J$520)</f>
        <v>0</v>
      </c>
      <c r="AQ55" s="388"/>
      <c r="AR55" s="627">
        <v>0</v>
      </c>
      <c r="AS55" s="627">
        <v>0</v>
      </c>
      <c r="AT55" s="627">
        <v>0</v>
      </c>
      <c r="AW55" s="95">
        <f t="shared" si="14"/>
        <v>0</v>
      </c>
      <c r="AX55" s="95">
        <f t="shared" si="15"/>
        <v>0</v>
      </c>
      <c r="AY55" s="95">
        <f t="shared" si="16"/>
        <v>0</v>
      </c>
      <c r="BA55" s="95">
        <f t="shared" si="17"/>
        <v>0</v>
      </c>
      <c r="BB55" s="95">
        <f t="shared" si="18"/>
        <v>0</v>
      </c>
      <c r="BC55" s="95">
        <f t="shared" si="19"/>
        <v>0</v>
      </c>
    </row>
    <row r="56" spans="1:55" ht="15" customHeight="1" x14ac:dyDescent="0.25">
      <c r="A56" s="95" t="s">
        <v>1333</v>
      </c>
      <c r="B56" s="357">
        <v>4166</v>
      </c>
      <c r="C56" s="626">
        <v>9034.39</v>
      </c>
      <c r="D56" s="626">
        <v>0</v>
      </c>
      <c r="E56" s="626">
        <v>0</v>
      </c>
      <c r="F56" s="626">
        <v>0</v>
      </c>
      <c r="G56" s="626">
        <v>0</v>
      </c>
      <c r="H56" s="626">
        <v>0</v>
      </c>
      <c r="I56" s="627">
        <v>9034.39</v>
      </c>
      <c r="J56" s="628"/>
      <c r="K56" s="627">
        <v>0</v>
      </c>
      <c r="L56" s="627">
        <v>0</v>
      </c>
      <c r="M56" s="627">
        <v>0</v>
      </c>
      <c r="N56" s="627">
        <f>IF('Plant Total by Account'!$J$1=1,AF56,IF('Plant Total by Account'!$J$1=2,AN56,"Input Toggle"))</f>
        <v>9034.39</v>
      </c>
      <c r="O56" s="627">
        <f>IF('Plant Total by Account'!$J$1=1,AG56,IF('Plant Total by Account'!$J$1=2,AO56,"Input Toggle"))</f>
        <v>0</v>
      </c>
      <c r="P56" s="627">
        <f>IF('Plant Total by Account'!$J$1=1,AH56,IF('Plant Total by Account'!$J$1=2,AP56,"Input Toggle"))</f>
        <v>0</v>
      </c>
      <c r="Q56" s="627">
        <f t="shared" si="11"/>
        <v>0</v>
      </c>
      <c r="R56" s="627">
        <f t="shared" si="12"/>
        <v>0</v>
      </c>
      <c r="S56" s="627">
        <f t="shared" si="13"/>
        <v>0</v>
      </c>
      <c r="T56" s="388"/>
      <c r="U56" s="627">
        <v>0</v>
      </c>
      <c r="V56" s="627">
        <v>0</v>
      </c>
      <c r="W56" s="627">
        <v>0</v>
      </c>
      <c r="X56" s="627">
        <f>IF('Plant Total by Account'!$J$1=1,AJ56,IF('Plant Total by Account'!$J$1=2,AR56,"Input Toggle"))</f>
        <v>0</v>
      </c>
      <c r="Y56" s="627">
        <f>IF('Plant Total by Account'!$J$1=1,AK56,IF('Plant Total by Account'!$J$1=2,AS56,"Input Toggle"))</f>
        <v>0</v>
      </c>
      <c r="Z56" s="627">
        <f>IF('Plant Total by Account'!$J$1=1,AL56,IF('Plant Total by Account'!$J$1=2,AT56,"Input Toggle"))</f>
        <v>0</v>
      </c>
      <c r="AA56" s="627">
        <f t="shared" si="1"/>
        <v>0</v>
      </c>
      <c r="AB56" s="627">
        <f t="shared" si="2"/>
        <v>0</v>
      </c>
      <c r="AC56" s="627">
        <f t="shared" si="3"/>
        <v>0</v>
      </c>
      <c r="AD56" s="388">
        <f t="shared" si="4"/>
        <v>0</v>
      </c>
      <c r="AE56" s="388"/>
      <c r="AF56" s="627">
        <f>SUMIF('ISO w_System Splits'!$D$8:$D$469,$B56,'ISO w_System Splits'!H$8:H$469)</f>
        <v>9034.39</v>
      </c>
      <c r="AG56" s="627">
        <f>SUMIF('ISO w_System Splits'!$D$8:$D$469,$B56,'ISO w_System Splits'!I$8:I$469)</f>
        <v>0</v>
      </c>
      <c r="AH56" s="627">
        <f>SUMIF('ISO w_System Splits'!$D$8:$D$469,$B56,'ISO w_System Splits'!J$8:J$469)</f>
        <v>0</v>
      </c>
      <c r="AI56" s="388"/>
      <c r="AJ56" s="627">
        <v>0</v>
      </c>
      <c r="AK56" s="627">
        <v>0</v>
      </c>
      <c r="AL56" s="627">
        <v>0</v>
      </c>
      <c r="AM56" s="388"/>
      <c r="AN56" s="627">
        <f>SUMIF('ISO w_System Splits'!$D$8:$D$615,$B56,'ISO w_System Splits'!H$8:H$615)-SUMIF('ISO w_System Splits'!$D$470:$D$520,$B56,'ISO w_System Splits'!H$470:H$520)</f>
        <v>9034.39</v>
      </c>
      <c r="AO56" s="627">
        <f>SUMIF('ISO w_System Splits'!$D$8:$D$615,$B56,'ISO w_System Splits'!I$8:I$615)-SUMIF('ISO w_System Splits'!$D$470:$D$520,$B56,'ISO w_System Splits'!I$470:I$520)</f>
        <v>0</v>
      </c>
      <c r="AP56" s="627">
        <f>SUMIF('ISO w_System Splits'!$D$8:$D$615,$B56,'ISO w_System Splits'!J$8:J$615)-SUMIF('ISO w_System Splits'!$D$470:$D$520,$B56,'ISO w_System Splits'!J$470:J$520)</f>
        <v>0</v>
      </c>
      <c r="AQ56" s="388"/>
      <c r="AR56" s="627">
        <v>0</v>
      </c>
      <c r="AS56" s="627">
        <v>0</v>
      </c>
      <c r="AT56" s="627">
        <v>0</v>
      </c>
      <c r="AW56" s="95">
        <f t="shared" si="14"/>
        <v>0</v>
      </c>
      <c r="AX56" s="95">
        <f t="shared" si="15"/>
        <v>0</v>
      </c>
      <c r="AY56" s="95">
        <f t="shared" si="16"/>
        <v>0</v>
      </c>
      <c r="BA56" s="95">
        <f t="shared" si="17"/>
        <v>0</v>
      </c>
      <c r="BB56" s="95">
        <f t="shared" si="18"/>
        <v>0</v>
      </c>
      <c r="BC56" s="95">
        <f t="shared" si="19"/>
        <v>0</v>
      </c>
    </row>
    <row r="57" spans="1:55" ht="15" customHeight="1" x14ac:dyDescent="0.25">
      <c r="A57" s="95" t="s">
        <v>522</v>
      </c>
      <c r="B57" s="357">
        <v>4168</v>
      </c>
      <c r="C57" s="626">
        <v>4331.1900000000005</v>
      </c>
      <c r="D57" s="626">
        <v>0</v>
      </c>
      <c r="E57" s="626">
        <v>0</v>
      </c>
      <c r="F57" s="626">
        <v>0</v>
      </c>
      <c r="G57" s="626">
        <v>0</v>
      </c>
      <c r="H57" s="626">
        <v>0</v>
      </c>
      <c r="I57" s="627">
        <v>4331.1900000000005</v>
      </c>
      <c r="J57" s="628"/>
      <c r="K57" s="627">
        <v>0</v>
      </c>
      <c r="L57" s="627">
        <v>0</v>
      </c>
      <c r="M57" s="627">
        <v>0</v>
      </c>
      <c r="N57" s="627">
        <f>IF('Plant Total by Account'!$J$1=1,AF57,IF('Plant Total by Account'!$J$1=2,AN57,"Input Toggle"))</f>
        <v>0</v>
      </c>
      <c r="O57" s="627">
        <f>IF('Plant Total by Account'!$J$1=1,AG57,IF('Plant Total by Account'!$J$1=2,AO57,"Input Toggle"))</f>
        <v>0</v>
      </c>
      <c r="P57" s="627">
        <f>IF('Plant Total by Account'!$J$1=1,AH57,IF('Plant Total by Account'!$J$1=2,AP57,"Input Toggle"))</f>
        <v>0</v>
      </c>
      <c r="Q57" s="627">
        <f t="shared" si="11"/>
        <v>4331.1900000000005</v>
      </c>
      <c r="R57" s="627">
        <f t="shared" si="12"/>
        <v>0</v>
      </c>
      <c r="S57" s="627">
        <f t="shared" si="13"/>
        <v>0</v>
      </c>
      <c r="T57" s="388"/>
      <c r="U57" s="627">
        <v>0</v>
      </c>
      <c r="V57" s="627">
        <v>0</v>
      </c>
      <c r="W57" s="627">
        <v>0</v>
      </c>
      <c r="X57" s="627">
        <f>IF('Plant Total by Account'!$J$1=1,AJ57,IF('Plant Total by Account'!$J$1=2,AR57,"Input Toggle"))</f>
        <v>0</v>
      </c>
      <c r="Y57" s="627">
        <f>IF('Plant Total by Account'!$J$1=1,AK57,IF('Plant Total by Account'!$J$1=2,AS57,"Input Toggle"))</f>
        <v>0</v>
      </c>
      <c r="Z57" s="627">
        <f>IF('Plant Total by Account'!$J$1=1,AL57,IF('Plant Total by Account'!$J$1=2,AT57,"Input Toggle"))</f>
        <v>0</v>
      </c>
      <c r="AA57" s="627">
        <f t="shared" si="1"/>
        <v>0</v>
      </c>
      <c r="AB57" s="627">
        <f t="shared" si="2"/>
        <v>0</v>
      </c>
      <c r="AC57" s="627">
        <f t="shared" si="3"/>
        <v>0</v>
      </c>
      <c r="AD57" s="388">
        <f t="shared" si="4"/>
        <v>0</v>
      </c>
      <c r="AE57" s="388"/>
      <c r="AF57" s="627">
        <f>SUMIF('ISO w_System Splits'!$D$8:$D$469,$B57,'ISO w_System Splits'!H$8:H$469)</f>
        <v>0</v>
      </c>
      <c r="AG57" s="627">
        <f>SUMIF('ISO w_System Splits'!$D$8:$D$469,$B57,'ISO w_System Splits'!I$8:I$469)</f>
        <v>0</v>
      </c>
      <c r="AH57" s="627">
        <f>SUMIF('ISO w_System Splits'!$D$8:$D$469,$B57,'ISO w_System Splits'!J$8:J$469)</f>
        <v>0</v>
      </c>
      <c r="AI57" s="388"/>
      <c r="AJ57" s="627">
        <v>0</v>
      </c>
      <c r="AK57" s="627">
        <v>0</v>
      </c>
      <c r="AL57" s="627">
        <v>0</v>
      </c>
      <c r="AM57" s="388"/>
      <c r="AN57" s="627">
        <f>SUMIF('ISO w_System Splits'!$D$8:$D$615,$B57,'ISO w_System Splits'!H$8:H$615)-SUMIF('ISO w_System Splits'!$D$470:$D$520,$B57,'ISO w_System Splits'!H$470:H$520)</f>
        <v>0</v>
      </c>
      <c r="AO57" s="627">
        <f>SUMIF('ISO w_System Splits'!$D$8:$D$615,$B57,'ISO w_System Splits'!I$8:I$615)-SUMIF('ISO w_System Splits'!$D$470:$D$520,$B57,'ISO w_System Splits'!I$470:I$520)</f>
        <v>0</v>
      </c>
      <c r="AP57" s="627">
        <f>SUMIF('ISO w_System Splits'!$D$8:$D$615,$B57,'ISO w_System Splits'!J$8:J$615)-SUMIF('ISO w_System Splits'!$D$470:$D$520,$B57,'ISO w_System Splits'!J$470:J$520)</f>
        <v>0</v>
      </c>
      <c r="AQ57" s="388"/>
      <c r="AR57" s="627">
        <v>0</v>
      </c>
      <c r="AS57" s="627">
        <v>0</v>
      </c>
      <c r="AT57" s="627">
        <v>0</v>
      </c>
      <c r="AW57" s="95">
        <f t="shared" si="14"/>
        <v>0</v>
      </c>
      <c r="AX57" s="95">
        <f t="shared" si="15"/>
        <v>0</v>
      </c>
      <c r="AY57" s="95">
        <f t="shared" si="16"/>
        <v>0</v>
      </c>
      <c r="BA57" s="95">
        <f t="shared" si="17"/>
        <v>0</v>
      </c>
      <c r="BB57" s="95">
        <f t="shared" si="18"/>
        <v>0</v>
      </c>
      <c r="BC57" s="95">
        <f t="shared" si="19"/>
        <v>0</v>
      </c>
    </row>
    <row r="58" spans="1:55" ht="15" customHeight="1" x14ac:dyDescent="0.25">
      <c r="A58" s="95" t="s">
        <v>1434</v>
      </c>
      <c r="B58" s="357">
        <v>4169</v>
      </c>
      <c r="C58" s="626">
        <v>3565382.1700000009</v>
      </c>
      <c r="D58" s="626">
        <v>0</v>
      </c>
      <c r="E58" s="626">
        <v>2701.36</v>
      </c>
      <c r="F58" s="626">
        <v>0</v>
      </c>
      <c r="G58" s="626">
        <v>0</v>
      </c>
      <c r="H58" s="626">
        <v>0</v>
      </c>
      <c r="I58" s="627">
        <v>3568083.5300000007</v>
      </c>
      <c r="J58" s="628"/>
      <c r="K58" s="627">
        <v>0</v>
      </c>
      <c r="L58" s="627">
        <v>0</v>
      </c>
      <c r="M58" s="627">
        <v>0</v>
      </c>
      <c r="N58" s="627">
        <f>IF('Plant Total by Account'!$J$1=1,AF58,IF('Plant Total by Account'!$J$1=2,AN58,"Input Toggle"))</f>
        <v>3452749.4022800648</v>
      </c>
      <c r="O58" s="627">
        <f>IF('Plant Total by Account'!$J$1=1,AG58,IF('Plant Total by Account'!$J$1=2,AO58,"Input Toggle"))</f>
        <v>0</v>
      </c>
      <c r="P58" s="627">
        <f>IF('Plant Total by Account'!$J$1=1,AH58,IF('Plant Total by Account'!$J$1=2,AP58,"Input Toggle"))</f>
        <v>2616.0222609020552</v>
      </c>
      <c r="Q58" s="627">
        <f t="shared" si="11"/>
        <v>112632.76771993609</v>
      </c>
      <c r="R58" s="627">
        <f t="shared" si="12"/>
        <v>0</v>
      </c>
      <c r="S58" s="627">
        <f t="shared" si="13"/>
        <v>85.337739097944905</v>
      </c>
      <c r="T58" s="388"/>
      <c r="U58" s="627">
        <v>0</v>
      </c>
      <c r="V58" s="627">
        <v>0</v>
      </c>
      <c r="W58" s="627">
        <v>0</v>
      </c>
      <c r="X58" s="627">
        <f>IF('Plant Total by Account'!$J$1=1,AJ58,IF('Plant Total by Account'!$J$1=2,AR58,"Input Toggle"))</f>
        <v>0</v>
      </c>
      <c r="Y58" s="627">
        <f>IF('Plant Total by Account'!$J$1=1,AK58,IF('Plant Total by Account'!$J$1=2,AS58,"Input Toggle"))</f>
        <v>0</v>
      </c>
      <c r="Z58" s="627">
        <f>IF('Plant Total by Account'!$J$1=1,AL58,IF('Plant Total by Account'!$J$1=2,AT58,"Input Toggle"))</f>
        <v>0</v>
      </c>
      <c r="AA58" s="627">
        <f t="shared" si="1"/>
        <v>0</v>
      </c>
      <c r="AB58" s="627">
        <f t="shared" si="2"/>
        <v>0</v>
      </c>
      <c r="AC58" s="627">
        <f t="shared" si="3"/>
        <v>0</v>
      </c>
      <c r="AD58" s="388">
        <f t="shared" si="4"/>
        <v>0</v>
      </c>
      <c r="AE58" s="388"/>
      <c r="AF58" s="627">
        <f>SUMIF('ISO w_System Splits'!$D$8:$D$469,$B58,'ISO w_System Splits'!H$8:H$469)</f>
        <v>3452749.4022800648</v>
      </c>
      <c r="AG58" s="627">
        <f>SUMIF('ISO w_System Splits'!$D$8:$D$469,$B58,'ISO w_System Splits'!I$8:I$469)</f>
        <v>0</v>
      </c>
      <c r="AH58" s="627">
        <f>SUMIF('ISO w_System Splits'!$D$8:$D$469,$B58,'ISO w_System Splits'!J$8:J$469)</f>
        <v>2616.0222609020552</v>
      </c>
      <c r="AI58" s="388"/>
      <c r="AJ58" s="627">
        <v>0</v>
      </c>
      <c r="AK58" s="627">
        <v>0</v>
      </c>
      <c r="AL58" s="627">
        <v>0</v>
      </c>
      <c r="AM58" s="388"/>
      <c r="AN58" s="627">
        <f>SUMIF('ISO w_System Splits'!$D$8:$D$615,$B58,'ISO w_System Splits'!H$8:H$615)-SUMIF('ISO w_System Splits'!$D$470:$D$520,$B58,'ISO w_System Splits'!H$470:H$520)</f>
        <v>3452749.4022800648</v>
      </c>
      <c r="AO58" s="627">
        <f>SUMIF('ISO w_System Splits'!$D$8:$D$615,$B58,'ISO w_System Splits'!I$8:I$615)-SUMIF('ISO w_System Splits'!$D$470:$D$520,$B58,'ISO w_System Splits'!I$470:I$520)</f>
        <v>0</v>
      </c>
      <c r="AP58" s="627">
        <f>SUMIF('ISO w_System Splits'!$D$8:$D$615,$B58,'ISO w_System Splits'!J$8:J$615)-SUMIF('ISO w_System Splits'!$D$470:$D$520,$B58,'ISO w_System Splits'!J$470:J$520)</f>
        <v>2616.0222609020552</v>
      </c>
      <c r="AQ58" s="388"/>
      <c r="AR58" s="627">
        <v>0</v>
      </c>
      <c r="AS58" s="627">
        <v>0</v>
      </c>
      <c r="AT58" s="627">
        <v>0</v>
      </c>
      <c r="AW58" s="95">
        <f t="shared" si="14"/>
        <v>0</v>
      </c>
      <c r="AX58" s="95">
        <f t="shared" si="15"/>
        <v>0</v>
      </c>
      <c r="AY58" s="95">
        <f t="shared" si="16"/>
        <v>0</v>
      </c>
      <c r="BA58" s="95">
        <f t="shared" si="17"/>
        <v>0</v>
      </c>
      <c r="BB58" s="95">
        <f t="shared" si="18"/>
        <v>0</v>
      </c>
      <c r="BC58" s="95">
        <f t="shared" si="19"/>
        <v>0</v>
      </c>
    </row>
    <row r="59" spans="1:55" ht="15" customHeight="1" x14ac:dyDescent="0.25">
      <c r="A59" s="95" t="s">
        <v>1334</v>
      </c>
      <c r="B59" s="357">
        <v>4185</v>
      </c>
      <c r="C59" s="626">
        <v>12533939</v>
      </c>
      <c r="D59" s="626">
        <v>0</v>
      </c>
      <c r="E59" s="626">
        <v>0</v>
      </c>
      <c r="F59" s="626">
        <v>0</v>
      </c>
      <c r="G59" s="626">
        <v>0</v>
      </c>
      <c r="H59" s="626">
        <v>0</v>
      </c>
      <c r="I59" s="627">
        <v>12533939</v>
      </c>
      <c r="J59" s="628"/>
      <c r="K59" s="627">
        <v>0</v>
      </c>
      <c r="L59" s="627">
        <v>0</v>
      </c>
      <c r="M59" s="627">
        <v>0</v>
      </c>
      <c r="N59" s="627">
        <f>IF('Plant Total by Account'!$J$1=1,AF59,IF('Plant Total by Account'!$J$1=2,AN59,"Input Toggle"))</f>
        <v>12546475.5</v>
      </c>
      <c r="O59" s="627">
        <f>IF('Plant Total by Account'!$J$1=1,AG59,IF('Plant Total by Account'!$J$1=2,AO59,"Input Toggle"))</f>
        <v>0</v>
      </c>
      <c r="P59" s="627">
        <f>IF('Plant Total by Account'!$J$1=1,AH59,IF('Plant Total by Account'!$J$1=2,AP59,"Input Toggle"))</f>
        <v>0</v>
      </c>
      <c r="Q59" s="627">
        <f t="shared" si="11"/>
        <v>-12536.5</v>
      </c>
      <c r="R59" s="627">
        <f t="shared" si="12"/>
        <v>0</v>
      </c>
      <c r="S59" s="627">
        <f t="shared" si="13"/>
        <v>0</v>
      </c>
      <c r="T59" s="388"/>
      <c r="U59" s="627">
        <v>0</v>
      </c>
      <c r="V59" s="627">
        <v>0</v>
      </c>
      <c r="W59" s="627">
        <v>0</v>
      </c>
      <c r="X59" s="627">
        <f>IF('Plant Total by Account'!$J$1=1,AJ59,IF('Plant Total by Account'!$J$1=2,AR59,"Input Toggle"))</f>
        <v>0</v>
      </c>
      <c r="Y59" s="627">
        <f>IF('Plant Total by Account'!$J$1=1,AK59,IF('Plant Total by Account'!$J$1=2,AS59,"Input Toggle"))</f>
        <v>0</v>
      </c>
      <c r="Z59" s="627">
        <f>IF('Plant Total by Account'!$J$1=1,AL59,IF('Plant Total by Account'!$J$1=2,AT59,"Input Toggle"))</f>
        <v>0</v>
      </c>
      <c r="AA59" s="627">
        <f t="shared" si="1"/>
        <v>0</v>
      </c>
      <c r="AB59" s="627">
        <f t="shared" si="2"/>
        <v>0</v>
      </c>
      <c r="AC59" s="627">
        <f t="shared" si="3"/>
        <v>0</v>
      </c>
      <c r="AD59" s="388">
        <f t="shared" si="4"/>
        <v>0</v>
      </c>
      <c r="AE59" s="388"/>
      <c r="AF59" s="627">
        <f>SUMIF('ISO w_System Splits'!$D$8:$D$469,$B59,'ISO w_System Splits'!H$8:H$469)</f>
        <v>12546475.5</v>
      </c>
      <c r="AG59" s="627">
        <f>SUMIF('ISO w_System Splits'!$D$8:$D$469,$B59,'ISO w_System Splits'!I$8:I$469)</f>
        <v>0</v>
      </c>
      <c r="AH59" s="627">
        <f>SUMIF('ISO w_System Splits'!$D$8:$D$469,$B59,'ISO w_System Splits'!J$8:J$469)</f>
        <v>0</v>
      </c>
      <c r="AI59" s="388"/>
      <c r="AJ59" s="627">
        <v>0</v>
      </c>
      <c r="AK59" s="627">
        <v>0</v>
      </c>
      <c r="AL59" s="627">
        <v>0</v>
      </c>
      <c r="AM59" s="388"/>
      <c r="AN59" s="627">
        <f>SUMIF('ISO w_System Splits'!$D$8:$D$615,$B59,'ISO w_System Splits'!H$8:H$615)-SUMIF('ISO w_System Splits'!$D$470:$D$520,$B59,'ISO w_System Splits'!H$470:H$520)</f>
        <v>12546475.5</v>
      </c>
      <c r="AO59" s="627">
        <f>SUMIF('ISO w_System Splits'!$D$8:$D$615,$B59,'ISO w_System Splits'!I$8:I$615)-SUMIF('ISO w_System Splits'!$D$470:$D$520,$B59,'ISO w_System Splits'!I$470:I$520)</f>
        <v>0</v>
      </c>
      <c r="AP59" s="627">
        <f>SUMIF('ISO w_System Splits'!$D$8:$D$615,$B59,'ISO w_System Splits'!J$8:J$615)-SUMIF('ISO w_System Splits'!$D$470:$D$520,$B59,'ISO w_System Splits'!J$470:J$520)</f>
        <v>0</v>
      </c>
      <c r="AQ59" s="388"/>
      <c r="AR59" s="627">
        <v>0</v>
      </c>
      <c r="AS59" s="627">
        <v>0</v>
      </c>
      <c r="AT59" s="627">
        <v>0</v>
      </c>
      <c r="AW59" s="95">
        <f t="shared" si="14"/>
        <v>0</v>
      </c>
      <c r="AX59" s="95">
        <f t="shared" si="15"/>
        <v>0</v>
      </c>
      <c r="AY59" s="95">
        <f t="shared" si="16"/>
        <v>0</v>
      </c>
      <c r="BA59" s="95">
        <f t="shared" si="17"/>
        <v>0</v>
      </c>
      <c r="BB59" s="95">
        <f t="shared" si="18"/>
        <v>0</v>
      </c>
      <c r="BC59" s="95">
        <f t="shared" si="19"/>
        <v>0</v>
      </c>
    </row>
    <row r="60" spans="1:55" ht="15" customHeight="1" x14ac:dyDescent="0.25">
      <c r="A60" s="95" t="s">
        <v>1334</v>
      </c>
      <c r="B60" s="357">
        <v>4186</v>
      </c>
      <c r="C60" s="626">
        <v>1193710.3500000001</v>
      </c>
      <c r="D60" s="626">
        <v>0</v>
      </c>
      <c r="E60" s="626">
        <v>0</v>
      </c>
      <c r="F60" s="626">
        <v>0</v>
      </c>
      <c r="G60" s="626">
        <v>0</v>
      </c>
      <c r="H60" s="626">
        <v>0</v>
      </c>
      <c r="I60" s="627">
        <v>1193710.3500000001</v>
      </c>
      <c r="J60" s="628"/>
      <c r="K60" s="627">
        <v>0</v>
      </c>
      <c r="L60" s="627">
        <v>0</v>
      </c>
      <c r="M60" s="627">
        <v>0</v>
      </c>
      <c r="N60" s="627">
        <f>IF('Plant Total by Account'!$J$1=1,AF60,IF('Plant Total by Account'!$J$1=2,AN60,"Input Toggle"))</f>
        <v>1194334.76</v>
      </c>
      <c r="O60" s="627">
        <f>IF('Plant Total by Account'!$J$1=1,AG60,IF('Plant Total by Account'!$J$1=2,AO60,"Input Toggle"))</f>
        <v>0</v>
      </c>
      <c r="P60" s="627">
        <f>IF('Plant Total by Account'!$J$1=1,AH60,IF('Plant Total by Account'!$J$1=2,AP60,"Input Toggle"))</f>
        <v>0</v>
      </c>
      <c r="Q60" s="627">
        <f t="shared" si="11"/>
        <v>-624.40999999991618</v>
      </c>
      <c r="R60" s="627">
        <f t="shared" si="12"/>
        <v>0</v>
      </c>
      <c r="S60" s="627">
        <f t="shared" si="13"/>
        <v>0</v>
      </c>
      <c r="T60" s="388"/>
      <c r="U60" s="627">
        <v>0</v>
      </c>
      <c r="V60" s="627">
        <v>0</v>
      </c>
      <c r="W60" s="627">
        <v>0</v>
      </c>
      <c r="X60" s="627">
        <f>IF('Plant Total by Account'!$J$1=1,AJ60,IF('Plant Total by Account'!$J$1=2,AR60,"Input Toggle"))</f>
        <v>0</v>
      </c>
      <c r="Y60" s="627">
        <f>IF('Plant Total by Account'!$J$1=1,AK60,IF('Plant Total by Account'!$J$1=2,AS60,"Input Toggle"))</f>
        <v>0</v>
      </c>
      <c r="Z60" s="627">
        <f>IF('Plant Total by Account'!$J$1=1,AL60,IF('Plant Total by Account'!$J$1=2,AT60,"Input Toggle"))</f>
        <v>0</v>
      </c>
      <c r="AA60" s="627">
        <f t="shared" si="1"/>
        <v>0</v>
      </c>
      <c r="AB60" s="627">
        <f t="shared" si="2"/>
        <v>0</v>
      </c>
      <c r="AC60" s="627">
        <f t="shared" si="3"/>
        <v>0</v>
      </c>
      <c r="AD60" s="388">
        <f t="shared" si="4"/>
        <v>0</v>
      </c>
      <c r="AE60" s="388"/>
      <c r="AF60" s="627">
        <f>SUMIF('ISO w_System Splits'!$D$8:$D$469,$B60,'ISO w_System Splits'!H$8:H$469)</f>
        <v>1194334.76</v>
      </c>
      <c r="AG60" s="627">
        <f>SUMIF('ISO w_System Splits'!$D$8:$D$469,$B60,'ISO w_System Splits'!I$8:I$469)</f>
        <v>0</v>
      </c>
      <c r="AH60" s="627">
        <f>SUMIF('ISO w_System Splits'!$D$8:$D$469,$B60,'ISO w_System Splits'!J$8:J$469)</f>
        <v>0</v>
      </c>
      <c r="AI60" s="388"/>
      <c r="AJ60" s="627">
        <v>0</v>
      </c>
      <c r="AK60" s="627">
        <v>0</v>
      </c>
      <c r="AL60" s="627">
        <v>0</v>
      </c>
      <c r="AM60" s="388"/>
      <c r="AN60" s="627">
        <f>SUMIF('ISO w_System Splits'!$D$8:$D$615,$B60,'ISO w_System Splits'!H$8:H$615)-SUMIF('ISO w_System Splits'!$D$470:$D$520,$B60,'ISO w_System Splits'!H$470:H$520)</f>
        <v>1194334.76</v>
      </c>
      <c r="AO60" s="627">
        <f>SUMIF('ISO w_System Splits'!$D$8:$D$615,$B60,'ISO w_System Splits'!I$8:I$615)-SUMIF('ISO w_System Splits'!$D$470:$D$520,$B60,'ISO w_System Splits'!I$470:I$520)</f>
        <v>0</v>
      </c>
      <c r="AP60" s="627">
        <f>SUMIF('ISO w_System Splits'!$D$8:$D$615,$B60,'ISO w_System Splits'!J$8:J$615)-SUMIF('ISO w_System Splits'!$D$470:$D$520,$B60,'ISO w_System Splits'!J$470:J$520)</f>
        <v>0</v>
      </c>
      <c r="AQ60" s="388"/>
      <c r="AR60" s="627">
        <v>0</v>
      </c>
      <c r="AS60" s="627">
        <v>0</v>
      </c>
      <c r="AT60" s="627">
        <v>0</v>
      </c>
      <c r="AW60" s="95">
        <f t="shared" si="14"/>
        <v>0</v>
      </c>
      <c r="AX60" s="95">
        <f t="shared" si="15"/>
        <v>0</v>
      </c>
      <c r="AY60" s="95">
        <f t="shared" si="16"/>
        <v>0</v>
      </c>
      <c r="BA60" s="95">
        <f t="shared" si="17"/>
        <v>0</v>
      </c>
      <c r="BB60" s="95">
        <f t="shared" si="18"/>
        <v>0</v>
      </c>
      <c r="BC60" s="95">
        <f t="shared" si="19"/>
        <v>0</v>
      </c>
    </row>
    <row r="61" spans="1:55" ht="15" customHeight="1" x14ac:dyDescent="0.25">
      <c r="A61" s="95" t="s">
        <v>1335</v>
      </c>
      <c r="B61" s="357">
        <v>4187</v>
      </c>
      <c r="C61" s="626">
        <v>10444073.319999998</v>
      </c>
      <c r="D61" s="626">
        <v>0</v>
      </c>
      <c r="E61" s="626">
        <v>0</v>
      </c>
      <c r="F61" s="626">
        <v>0</v>
      </c>
      <c r="G61" s="626">
        <v>0</v>
      </c>
      <c r="H61" s="626">
        <v>0</v>
      </c>
      <c r="I61" s="627">
        <v>10444073.319999998</v>
      </c>
      <c r="J61" s="628"/>
      <c r="K61" s="627">
        <v>0</v>
      </c>
      <c r="L61" s="627">
        <v>0</v>
      </c>
      <c r="M61" s="627">
        <v>0</v>
      </c>
      <c r="N61" s="627">
        <f>IF('Plant Total by Account'!$J$1=1,AF61,IF('Plant Total by Account'!$J$1=2,AN61,"Input Toggle"))</f>
        <v>10444073.32</v>
      </c>
      <c r="O61" s="627">
        <f>IF('Plant Total by Account'!$J$1=1,AG61,IF('Plant Total by Account'!$J$1=2,AO61,"Input Toggle"))</f>
        <v>0</v>
      </c>
      <c r="P61" s="627">
        <f>IF('Plant Total by Account'!$J$1=1,AH61,IF('Plant Total by Account'!$J$1=2,AP61,"Input Toggle"))</f>
        <v>0</v>
      </c>
      <c r="Q61" s="627">
        <f t="shared" si="11"/>
        <v>0</v>
      </c>
      <c r="R61" s="627">
        <f t="shared" si="12"/>
        <v>0</v>
      </c>
      <c r="S61" s="627">
        <f t="shared" si="13"/>
        <v>0</v>
      </c>
      <c r="T61" s="388"/>
      <c r="U61" s="627">
        <v>0</v>
      </c>
      <c r="V61" s="627">
        <v>0</v>
      </c>
      <c r="W61" s="627">
        <v>0</v>
      </c>
      <c r="X61" s="627">
        <f>IF('Plant Total by Account'!$J$1=1,AJ61,IF('Plant Total by Account'!$J$1=2,AR61,"Input Toggle"))</f>
        <v>0</v>
      </c>
      <c r="Y61" s="627">
        <f>IF('Plant Total by Account'!$J$1=1,AK61,IF('Plant Total by Account'!$J$1=2,AS61,"Input Toggle"))</f>
        <v>0</v>
      </c>
      <c r="Z61" s="627">
        <f>IF('Plant Total by Account'!$J$1=1,AL61,IF('Plant Total by Account'!$J$1=2,AT61,"Input Toggle"))</f>
        <v>0</v>
      </c>
      <c r="AA61" s="627">
        <f t="shared" si="1"/>
        <v>0</v>
      </c>
      <c r="AB61" s="627">
        <f t="shared" si="2"/>
        <v>0</v>
      </c>
      <c r="AC61" s="627">
        <f t="shared" si="3"/>
        <v>0</v>
      </c>
      <c r="AD61" s="388">
        <f t="shared" si="4"/>
        <v>0</v>
      </c>
      <c r="AE61" s="388"/>
      <c r="AF61" s="627">
        <f>SUMIF('ISO w_System Splits'!$D$8:$D$469,$B61,'ISO w_System Splits'!H$8:H$469)</f>
        <v>10444073.32</v>
      </c>
      <c r="AG61" s="627">
        <f>SUMIF('ISO w_System Splits'!$D$8:$D$469,$B61,'ISO w_System Splits'!I$8:I$469)</f>
        <v>0</v>
      </c>
      <c r="AH61" s="627">
        <f>SUMIF('ISO w_System Splits'!$D$8:$D$469,$B61,'ISO w_System Splits'!J$8:J$469)</f>
        <v>0</v>
      </c>
      <c r="AI61" s="388"/>
      <c r="AJ61" s="627">
        <v>0</v>
      </c>
      <c r="AK61" s="627">
        <v>0</v>
      </c>
      <c r="AL61" s="627">
        <v>0</v>
      </c>
      <c r="AM61" s="388"/>
      <c r="AN61" s="627">
        <f>SUMIF('ISO w_System Splits'!$D$8:$D$615,$B61,'ISO w_System Splits'!H$8:H$615)-SUMIF('ISO w_System Splits'!$D$470:$D$520,$B61,'ISO w_System Splits'!H$470:H$520)</f>
        <v>10444073.32</v>
      </c>
      <c r="AO61" s="627">
        <f>SUMIF('ISO w_System Splits'!$D$8:$D$615,$B61,'ISO w_System Splits'!I$8:I$615)-SUMIF('ISO w_System Splits'!$D$470:$D$520,$B61,'ISO w_System Splits'!I$470:I$520)</f>
        <v>0</v>
      </c>
      <c r="AP61" s="627">
        <f>SUMIF('ISO w_System Splits'!$D$8:$D$615,$B61,'ISO w_System Splits'!J$8:J$615)-SUMIF('ISO w_System Splits'!$D$470:$D$520,$B61,'ISO w_System Splits'!J$470:J$520)</f>
        <v>0</v>
      </c>
      <c r="AQ61" s="388"/>
      <c r="AR61" s="627">
        <v>0</v>
      </c>
      <c r="AS61" s="627">
        <v>0</v>
      </c>
      <c r="AT61" s="627">
        <v>0</v>
      </c>
      <c r="AW61" s="95">
        <f t="shared" si="14"/>
        <v>0</v>
      </c>
      <c r="AX61" s="95">
        <f t="shared" si="15"/>
        <v>0</v>
      </c>
      <c r="AY61" s="95">
        <f t="shared" si="16"/>
        <v>0</v>
      </c>
      <c r="BA61" s="95">
        <f t="shared" si="17"/>
        <v>0</v>
      </c>
      <c r="BB61" s="95">
        <f t="shared" si="18"/>
        <v>0</v>
      </c>
      <c r="BC61" s="95">
        <f t="shared" si="19"/>
        <v>0</v>
      </c>
    </row>
    <row r="62" spans="1:55" ht="15" customHeight="1" x14ac:dyDescent="0.25">
      <c r="A62" s="95" t="s">
        <v>1005</v>
      </c>
      <c r="B62" s="357">
        <v>4188</v>
      </c>
      <c r="C62" s="626">
        <v>2855826.2300000004</v>
      </c>
      <c r="D62" s="626">
        <v>8043.41</v>
      </c>
      <c r="E62" s="626">
        <v>0</v>
      </c>
      <c r="F62" s="626">
        <v>0</v>
      </c>
      <c r="G62" s="626">
        <v>0</v>
      </c>
      <c r="H62" s="626">
        <v>0</v>
      </c>
      <c r="I62" s="627">
        <v>2863869.6400000006</v>
      </c>
      <c r="J62" s="628"/>
      <c r="K62" s="627">
        <v>0</v>
      </c>
      <c r="L62" s="627">
        <v>0</v>
      </c>
      <c r="M62" s="627">
        <v>0</v>
      </c>
      <c r="N62" s="627">
        <f>IF('Plant Total by Account'!$J$1=1,AF62,IF('Plant Total by Account'!$J$1=2,AN62,"Input Toggle"))</f>
        <v>2858639.23</v>
      </c>
      <c r="O62" s="627">
        <f>IF('Plant Total by Account'!$J$1=1,AG62,IF('Plant Total by Account'!$J$1=2,AO62,"Input Toggle"))</f>
        <v>8043.4099999999989</v>
      </c>
      <c r="P62" s="627">
        <f>IF('Plant Total by Account'!$J$1=1,AH62,IF('Plant Total by Account'!$J$1=2,AP62,"Input Toggle"))</f>
        <v>0</v>
      </c>
      <c r="Q62" s="627">
        <f t="shared" si="11"/>
        <v>-2812.9999999995343</v>
      </c>
      <c r="R62" s="627">
        <f t="shared" si="12"/>
        <v>9.0949470177292824E-13</v>
      </c>
      <c r="S62" s="627">
        <f t="shared" si="13"/>
        <v>0</v>
      </c>
      <c r="T62" s="388"/>
      <c r="U62" s="627">
        <v>0</v>
      </c>
      <c r="V62" s="627">
        <v>0</v>
      </c>
      <c r="W62" s="627">
        <v>0</v>
      </c>
      <c r="X62" s="627">
        <f>IF('Plant Total by Account'!$J$1=1,AJ62,IF('Plant Total by Account'!$J$1=2,AR62,"Input Toggle"))</f>
        <v>0</v>
      </c>
      <c r="Y62" s="627">
        <f>IF('Plant Total by Account'!$J$1=1,AK62,IF('Plant Total by Account'!$J$1=2,AS62,"Input Toggle"))</f>
        <v>0</v>
      </c>
      <c r="Z62" s="627">
        <f>IF('Plant Total by Account'!$J$1=1,AL62,IF('Plant Total by Account'!$J$1=2,AT62,"Input Toggle"))</f>
        <v>0</v>
      </c>
      <c r="AA62" s="627">
        <f t="shared" si="1"/>
        <v>0</v>
      </c>
      <c r="AB62" s="627">
        <f t="shared" si="2"/>
        <v>0</v>
      </c>
      <c r="AC62" s="627">
        <f t="shared" si="3"/>
        <v>0</v>
      </c>
      <c r="AD62" s="388">
        <f t="shared" si="4"/>
        <v>0</v>
      </c>
      <c r="AE62" s="388"/>
      <c r="AF62" s="627">
        <f>SUMIF('ISO w_System Splits'!$D$8:$D$469,$B62,'ISO w_System Splits'!H$8:H$469)</f>
        <v>2858639.23</v>
      </c>
      <c r="AG62" s="627">
        <f>SUMIF('ISO w_System Splits'!$D$8:$D$469,$B62,'ISO w_System Splits'!I$8:I$469)</f>
        <v>8043.4099999999989</v>
      </c>
      <c r="AH62" s="627">
        <f>SUMIF('ISO w_System Splits'!$D$8:$D$469,$B62,'ISO w_System Splits'!J$8:J$469)</f>
        <v>0</v>
      </c>
      <c r="AI62" s="388"/>
      <c r="AJ62" s="627">
        <v>0</v>
      </c>
      <c r="AK62" s="627">
        <v>0</v>
      </c>
      <c r="AL62" s="627">
        <v>0</v>
      </c>
      <c r="AM62" s="388"/>
      <c r="AN62" s="627">
        <f>SUMIF('ISO w_System Splits'!$D$8:$D$615,$B62,'ISO w_System Splits'!H$8:H$615)-SUMIF('ISO w_System Splits'!$D$470:$D$520,$B62,'ISO w_System Splits'!H$470:H$520)</f>
        <v>2858639.23</v>
      </c>
      <c r="AO62" s="627">
        <f>SUMIF('ISO w_System Splits'!$D$8:$D$615,$B62,'ISO w_System Splits'!I$8:I$615)-SUMIF('ISO w_System Splits'!$D$470:$D$520,$B62,'ISO w_System Splits'!I$470:I$520)</f>
        <v>8043.4099999999989</v>
      </c>
      <c r="AP62" s="627">
        <f>SUMIF('ISO w_System Splits'!$D$8:$D$615,$B62,'ISO w_System Splits'!J$8:J$615)-SUMIF('ISO w_System Splits'!$D$470:$D$520,$B62,'ISO w_System Splits'!J$470:J$520)</f>
        <v>0</v>
      </c>
      <c r="AQ62" s="388"/>
      <c r="AR62" s="627">
        <v>0</v>
      </c>
      <c r="AS62" s="627">
        <v>0</v>
      </c>
      <c r="AT62" s="627">
        <v>0</v>
      </c>
      <c r="AW62" s="95">
        <f t="shared" si="14"/>
        <v>0</v>
      </c>
      <c r="AX62" s="95">
        <f t="shared" si="15"/>
        <v>0</v>
      </c>
      <c r="AY62" s="95">
        <f t="shared" si="16"/>
        <v>0</v>
      </c>
      <c r="BA62" s="95">
        <f t="shared" si="17"/>
        <v>0</v>
      </c>
      <c r="BB62" s="95">
        <f t="shared" si="18"/>
        <v>0</v>
      </c>
      <c r="BC62" s="95">
        <f t="shared" si="19"/>
        <v>0</v>
      </c>
    </row>
    <row r="63" spans="1:55" ht="15" customHeight="1" x14ac:dyDescent="0.25">
      <c r="A63" s="95" t="s">
        <v>1336</v>
      </c>
      <c r="B63" s="357">
        <v>4189</v>
      </c>
      <c r="C63" s="626">
        <v>78247.819999999992</v>
      </c>
      <c r="D63" s="626">
        <v>0</v>
      </c>
      <c r="E63" s="626">
        <v>0</v>
      </c>
      <c r="F63" s="626">
        <v>0</v>
      </c>
      <c r="G63" s="626">
        <v>0</v>
      </c>
      <c r="H63" s="626">
        <v>0</v>
      </c>
      <c r="I63" s="627">
        <v>78247.819999999992</v>
      </c>
      <c r="J63" s="628"/>
      <c r="K63" s="627">
        <v>0</v>
      </c>
      <c r="L63" s="627">
        <v>0</v>
      </c>
      <c r="M63" s="627">
        <v>0</v>
      </c>
      <c r="N63" s="627">
        <f>IF('Plant Total by Account'!$J$1=1,AF63,IF('Plant Total by Account'!$J$1=2,AN63,"Input Toggle"))</f>
        <v>78247.820000000007</v>
      </c>
      <c r="O63" s="627">
        <f>IF('Plant Total by Account'!$J$1=1,AG63,IF('Plant Total by Account'!$J$1=2,AO63,"Input Toggle"))</f>
        <v>0</v>
      </c>
      <c r="P63" s="627">
        <f>IF('Plant Total by Account'!$J$1=1,AH63,IF('Plant Total by Account'!$J$1=2,AP63,"Input Toggle"))</f>
        <v>0</v>
      </c>
      <c r="Q63" s="627">
        <f t="shared" si="11"/>
        <v>0</v>
      </c>
      <c r="R63" s="627">
        <f t="shared" si="12"/>
        <v>0</v>
      </c>
      <c r="S63" s="627">
        <f t="shared" si="13"/>
        <v>0</v>
      </c>
      <c r="T63" s="388"/>
      <c r="U63" s="627">
        <v>0</v>
      </c>
      <c r="V63" s="627">
        <v>0</v>
      </c>
      <c r="W63" s="627">
        <v>0</v>
      </c>
      <c r="X63" s="627">
        <f>IF('Plant Total by Account'!$J$1=1,AJ63,IF('Plant Total by Account'!$J$1=2,AR63,"Input Toggle"))</f>
        <v>0</v>
      </c>
      <c r="Y63" s="627">
        <f>IF('Plant Total by Account'!$J$1=1,AK63,IF('Plant Total by Account'!$J$1=2,AS63,"Input Toggle"))</f>
        <v>0</v>
      </c>
      <c r="Z63" s="627">
        <f>IF('Plant Total by Account'!$J$1=1,AL63,IF('Plant Total by Account'!$J$1=2,AT63,"Input Toggle"))</f>
        <v>0</v>
      </c>
      <c r="AA63" s="627">
        <f t="shared" si="1"/>
        <v>0</v>
      </c>
      <c r="AB63" s="627">
        <f t="shared" si="2"/>
        <v>0</v>
      </c>
      <c r="AC63" s="627">
        <f t="shared" si="3"/>
        <v>0</v>
      </c>
      <c r="AD63" s="388">
        <f t="shared" si="4"/>
        <v>0</v>
      </c>
      <c r="AE63" s="388"/>
      <c r="AF63" s="627">
        <f>SUMIF('ISO w_System Splits'!$D$8:$D$469,$B63,'ISO w_System Splits'!H$8:H$469)</f>
        <v>78247.820000000007</v>
      </c>
      <c r="AG63" s="627">
        <f>SUMIF('ISO w_System Splits'!$D$8:$D$469,$B63,'ISO w_System Splits'!I$8:I$469)</f>
        <v>0</v>
      </c>
      <c r="AH63" s="627">
        <f>SUMIF('ISO w_System Splits'!$D$8:$D$469,$B63,'ISO w_System Splits'!J$8:J$469)</f>
        <v>0</v>
      </c>
      <c r="AI63" s="388"/>
      <c r="AJ63" s="627">
        <v>0</v>
      </c>
      <c r="AK63" s="627">
        <v>0</v>
      </c>
      <c r="AL63" s="627">
        <v>0</v>
      </c>
      <c r="AM63" s="388"/>
      <c r="AN63" s="627">
        <f>SUMIF('ISO w_System Splits'!$D$8:$D$615,$B63,'ISO w_System Splits'!H$8:H$615)-SUMIF('ISO w_System Splits'!$D$470:$D$520,$B63,'ISO w_System Splits'!H$470:H$520)</f>
        <v>78247.820000000007</v>
      </c>
      <c r="AO63" s="627">
        <f>SUMIF('ISO w_System Splits'!$D$8:$D$615,$B63,'ISO w_System Splits'!I$8:I$615)-SUMIF('ISO w_System Splits'!$D$470:$D$520,$B63,'ISO w_System Splits'!I$470:I$520)</f>
        <v>0</v>
      </c>
      <c r="AP63" s="627">
        <f>SUMIF('ISO w_System Splits'!$D$8:$D$615,$B63,'ISO w_System Splits'!J$8:J$615)-SUMIF('ISO w_System Splits'!$D$470:$D$520,$B63,'ISO w_System Splits'!J$470:J$520)</f>
        <v>0</v>
      </c>
      <c r="AQ63" s="388"/>
      <c r="AR63" s="627">
        <v>0</v>
      </c>
      <c r="AS63" s="627">
        <v>0</v>
      </c>
      <c r="AT63" s="627">
        <v>0</v>
      </c>
      <c r="AW63" s="95">
        <f t="shared" si="14"/>
        <v>0</v>
      </c>
      <c r="AX63" s="95">
        <f t="shared" si="15"/>
        <v>0</v>
      </c>
      <c r="AY63" s="95">
        <f t="shared" si="16"/>
        <v>0</v>
      </c>
      <c r="BA63" s="95">
        <f t="shared" si="17"/>
        <v>0</v>
      </c>
      <c r="BB63" s="95">
        <f t="shared" si="18"/>
        <v>0</v>
      </c>
      <c r="BC63" s="95">
        <f t="shared" si="19"/>
        <v>0</v>
      </c>
    </row>
    <row r="64" spans="1:55" ht="15" customHeight="1" x14ac:dyDescent="0.25">
      <c r="A64" s="95" t="s">
        <v>1451</v>
      </c>
      <c r="B64" s="357">
        <v>4200</v>
      </c>
      <c r="C64" s="626">
        <v>0</v>
      </c>
      <c r="D64" s="626">
        <v>465309.77000000008</v>
      </c>
      <c r="E64" s="626">
        <v>0</v>
      </c>
      <c r="F64" s="626">
        <v>0</v>
      </c>
      <c r="G64" s="626">
        <v>0</v>
      </c>
      <c r="H64" s="626">
        <v>0</v>
      </c>
      <c r="I64" s="627">
        <v>465309.77000000008</v>
      </c>
      <c r="J64" s="628"/>
      <c r="K64" s="627">
        <v>0</v>
      </c>
      <c r="L64" s="627">
        <v>0</v>
      </c>
      <c r="M64" s="627">
        <v>0</v>
      </c>
      <c r="N64" s="627">
        <f>IF('Plant Total by Account'!$J$1=1,AF64,IF('Plant Total by Account'!$J$1=2,AN64,"Input Toggle"))</f>
        <v>0</v>
      </c>
      <c r="O64" s="627">
        <f>IF('Plant Total by Account'!$J$1=1,AG64,IF('Plant Total by Account'!$J$1=2,AO64,"Input Toggle"))</f>
        <v>0</v>
      </c>
      <c r="P64" s="627">
        <f>IF('Plant Total by Account'!$J$1=1,AH64,IF('Plant Total by Account'!$J$1=2,AP64,"Input Toggle"))</f>
        <v>0</v>
      </c>
      <c r="Q64" s="627">
        <f t="shared" si="11"/>
        <v>0</v>
      </c>
      <c r="R64" s="627">
        <f t="shared" si="12"/>
        <v>465309.77000000008</v>
      </c>
      <c r="S64" s="627">
        <f t="shared" si="13"/>
        <v>0</v>
      </c>
      <c r="T64" s="388"/>
      <c r="U64" s="627">
        <v>0</v>
      </c>
      <c r="V64" s="627">
        <v>0</v>
      </c>
      <c r="W64" s="627">
        <v>0</v>
      </c>
      <c r="X64" s="627">
        <f>IF('Plant Total by Account'!$J$1=1,AJ64,IF('Plant Total by Account'!$J$1=2,AR64,"Input Toggle"))</f>
        <v>0</v>
      </c>
      <c r="Y64" s="627">
        <f>IF('Plant Total by Account'!$J$1=1,AK64,IF('Plant Total by Account'!$J$1=2,AS64,"Input Toggle"))</f>
        <v>0</v>
      </c>
      <c r="Z64" s="627">
        <f>IF('Plant Total by Account'!$J$1=1,AL64,IF('Plant Total by Account'!$J$1=2,AT64,"Input Toggle"))</f>
        <v>0</v>
      </c>
      <c r="AA64" s="627">
        <f t="shared" si="1"/>
        <v>0</v>
      </c>
      <c r="AB64" s="627">
        <f t="shared" si="2"/>
        <v>0</v>
      </c>
      <c r="AC64" s="627">
        <f t="shared" si="3"/>
        <v>0</v>
      </c>
      <c r="AD64" s="388">
        <f t="shared" si="4"/>
        <v>0</v>
      </c>
      <c r="AE64" s="388"/>
      <c r="AF64" s="627">
        <f>SUMIF('ISO w_System Splits'!$D$8:$D$469,$B64,'ISO w_System Splits'!H$8:H$469)</f>
        <v>0</v>
      </c>
      <c r="AG64" s="627">
        <f>SUMIF('ISO w_System Splits'!$D$8:$D$469,$B64,'ISO w_System Splits'!I$8:I$469)</f>
        <v>0</v>
      </c>
      <c r="AH64" s="627">
        <f>SUMIF('ISO w_System Splits'!$D$8:$D$469,$B64,'ISO w_System Splits'!J$8:J$469)</f>
        <v>0</v>
      </c>
      <c r="AI64" s="388"/>
      <c r="AJ64" s="627">
        <v>0</v>
      </c>
      <c r="AK64" s="627">
        <v>0</v>
      </c>
      <c r="AL64" s="627">
        <v>0</v>
      </c>
      <c r="AM64" s="388"/>
      <c r="AN64" s="627">
        <f>SUMIF('ISO w_System Splits'!$D$8:$D$615,$B64,'ISO w_System Splits'!H$8:H$615)-SUMIF('ISO w_System Splits'!$D$470:$D$520,$B64,'ISO w_System Splits'!H$470:H$520)</f>
        <v>0</v>
      </c>
      <c r="AO64" s="627">
        <f>SUMIF('ISO w_System Splits'!$D$8:$D$615,$B64,'ISO w_System Splits'!I$8:I$615)-SUMIF('ISO w_System Splits'!$D$470:$D$520,$B64,'ISO w_System Splits'!I$470:I$520)</f>
        <v>0</v>
      </c>
      <c r="AP64" s="627">
        <f>SUMIF('ISO w_System Splits'!$D$8:$D$615,$B64,'ISO w_System Splits'!J$8:J$615)-SUMIF('ISO w_System Splits'!$D$470:$D$520,$B64,'ISO w_System Splits'!J$470:J$520)</f>
        <v>0</v>
      </c>
      <c r="AQ64" s="388"/>
      <c r="AR64" s="627">
        <v>0</v>
      </c>
      <c r="AS64" s="627">
        <v>0</v>
      </c>
      <c r="AT64" s="627">
        <v>0</v>
      </c>
      <c r="AW64" s="95">
        <f t="shared" si="14"/>
        <v>0</v>
      </c>
      <c r="AX64" s="95">
        <f t="shared" si="15"/>
        <v>0</v>
      </c>
      <c r="AY64" s="95">
        <f t="shared" si="16"/>
        <v>0</v>
      </c>
      <c r="BA64" s="95">
        <f t="shared" si="17"/>
        <v>0</v>
      </c>
      <c r="BB64" s="95">
        <f t="shared" si="18"/>
        <v>0</v>
      </c>
      <c r="BC64" s="95">
        <f t="shared" si="19"/>
        <v>0</v>
      </c>
    </row>
    <row r="65" spans="1:55" ht="15" customHeight="1" x14ac:dyDescent="0.25">
      <c r="A65" s="95" t="s">
        <v>1452</v>
      </c>
      <c r="B65" s="357">
        <v>4207</v>
      </c>
      <c r="C65" s="626">
        <v>0</v>
      </c>
      <c r="D65" s="626">
        <v>25798.080000000002</v>
      </c>
      <c r="E65" s="626">
        <v>0</v>
      </c>
      <c r="F65" s="626">
        <v>0</v>
      </c>
      <c r="G65" s="626">
        <v>0</v>
      </c>
      <c r="H65" s="626">
        <v>0</v>
      </c>
      <c r="I65" s="627">
        <v>25798.080000000002</v>
      </c>
      <c r="J65" s="628"/>
      <c r="K65" s="627">
        <v>0</v>
      </c>
      <c r="L65" s="627">
        <v>0</v>
      </c>
      <c r="M65" s="627">
        <v>0</v>
      </c>
      <c r="N65" s="627">
        <f>IF('Plant Total by Account'!$J$1=1,AF65,IF('Plant Total by Account'!$J$1=2,AN65,"Input Toggle"))</f>
        <v>0</v>
      </c>
      <c r="O65" s="627">
        <f>IF('Plant Total by Account'!$J$1=1,AG65,IF('Plant Total by Account'!$J$1=2,AO65,"Input Toggle"))</f>
        <v>0</v>
      </c>
      <c r="P65" s="627">
        <f>IF('Plant Total by Account'!$J$1=1,AH65,IF('Plant Total by Account'!$J$1=2,AP65,"Input Toggle"))</f>
        <v>0</v>
      </c>
      <c r="Q65" s="627">
        <f t="shared" si="11"/>
        <v>0</v>
      </c>
      <c r="R65" s="627">
        <f t="shared" si="12"/>
        <v>25798.080000000002</v>
      </c>
      <c r="S65" s="627">
        <f t="shared" si="13"/>
        <v>0</v>
      </c>
      <c r="T65" s="388"/>
      <c r="U65" s="627">
        <v>0</v>
      </c>
      <c r="V65" s="627">
        <v>0</v>
      </c>
      <c r="W65" s="627">
        <v>0</v>
      </c>
      <c r="X65" s="627">
        <f>IF('Plant Total by Account'!$J$1=1,AJ65,IF('Plant Total by Account'!$J$1=2,AR65,"Input Toggle"))</f>
        <v>0</v>
      </c>
      <c r="Y65" s="627">
        <f>IF('Plant Total by Account'!$J$1=1,AK65,IF('Plant Total by Account'!$J$1=2,AS65,"Input Toggle"))</f>
        <v>0</v>
      </c>
      <c r="Z65" s="627">
        <f>IF('Plant Total by Account'!$J$1=1,AL65,IF('Plant Total by Account'!$J$1=2,AT65,"Input Toggle"))</f>
        <v>0</v>
      </c>
      <c r="AA65" s="627">
        <f t="shared" si="1"/>
        <v>0</v>
      </c>
      <c r="AB65" s="627">
        <f t="shared" si="2"/>
        <v>0</v>
      </c>
      <c r="AC65" s="627">
        <f t="shared" si="3"/>
        <v>0</v>
      </c>
      <c r="AD65" s="388">
        <f t="shared" si="4"/>
        <v>0</v>
      </c>
      <c r="AE65" s="388"/>
      <c r="AF65" s="627">
        <f>SUMIF('ISO w_System Splits'!$D$8:$D$469,$B65,'ISO w_System Splits'!H$8:H$469)</f>
        <v>0</v>
      </c>
      <c r="AG65" s="627">
        <f>SUMIF('ISO w_System Splits'!$D$8:$D$469,$B65,'ISO w_System Splits'!I$8:I$469)</f>
        <v>0</v>
      </c>
      <c r="AH65" s="627">
        <f>SUMIF('ISO w_System Splits'!$D$8:$D$469,$B65,'ISO w_System Splits'!J$8:J$469)</f>
        <v>0</v>
      </c>
      <c r="AI65" s="388"/>
      <c r="AJ65" s="627">
        <v>0</v>
      </c>
      <c r="AK65" s="627">
        <v>0</v>
      </c>
      <c r="AL65" s="627">
        <v>0</v>
      </c>
      <c r="AM65" s="388"/>
      <c r="AN65" s="627">
        <f>SUMIF('ISO w_System Splits'!$D$8:$D$615,$B65,'ISO w_System Splits'!H$8:H$615)-SUMIF('ISO w_System Splits'!$D$470:$D$520,$B65,'ISO w_System Splits'!H$470:H$520)</f>
        <v>0</v>
      </c>
      <c r="AO65" s="627">
        <f>SUMIF('ISO w_System Splits'!$D$8:$D$615,$B65,'ISO w_System Splits'!I$8:I$615)-SUMIF('ISO w_System Splits'!$D$470:$D$520,$B65,'ISO w_System Splits'!I$470:I$520)</f>
        <v>0</v>
      </c>
      <c r="AP65" s="627">
        <f>SUMIF('ISO w_System Splits'!$D$8:$D$615,$B65,'ISO w_System Splits'!J$8:J$615)-SUMIF('ISO w_System Splits'!$D$470:$D$520,$B65,'ISO w_System Splits'!J$470:J$520)</f>
        <v>0</v>
      </c>
      <c r="AQ65" s="388"/>
      <c r="AR65" s="627">
        <v>0</v>
      </c>
      <c r="AS65" s="627">
        <v>0</v>
      </c>
      <c r="AT65" s="627">
        <v>0</v>
      </c>
      <c r="AW65" s="95">
        <f t="shared" si="14"/>
        <v>0</v>
      </c>
      <c r="AX65" s="95">
        <f t="shared" si="15"/>
        <v>0</v>
      </c>
      <c r="AY65" s="95">
        <f t="shared" si="16"/>
        <v>0</v>
      </c>
      <c r="BA65" s="95">
        <f t="shared" si="17"/>
        <v>0</v>
      </c>
      <c r="BB65" s="95">
        <f t="shared" si="18"/>
        <v>0</v>
      </c>
      <c r="BC65" s="95">
        <f t="shared" si="19"/>
        <v>0</v>
      </c>
    </row>
    <row r="66" spans="1:55" ht="15" customHeight="1" x14ac:dyDescent="0.25">
      <c r="A66" s="95" t="s">
        <v>1777</v>
      </c>
      <c r="B66" s="357" t="s">
        <v>1105</v>
      </c>
      <c r="C66" s="626">
        <v>0</v>
      </c>
      <c r="D66" s="626">
        <v>23141.5</v>
      </c>
      <c r="E66" s="626">
        <v>0</v>
      </c>
      <c r="F66" s="626">
        <v>0</v>
      </c>
      <c r="G66" s="626">
        <v>0</v>
      </c>
      <c r="H66" s="626">
        <v>0</v>
      </c>
      <c r="I66" s="627">
        <v>23141.5</v>
      </c>
      <c r="J66" s="628"/>
      <c r="K66" s="627">
        <v>0</v>
      </c>
      <c r="L66" s="627">
        <v>0</v>
      </c>
      <c r="M66" s="627">
        <v>0</v>
      </c>
      <c r="N66" s="627">
        <f>IF('Plant Total by Account'!$J$1=1,AF66,IF('Plant Total by Account'!$J$1=2,AN66,"Input Toggle"))</f>
        <v>0</v>
      </c>
      <c r="O66" s="627">
        <f>IF('Plant Total by Account'!$J$1=1,AG66,IF('Plant Total by Account'!$J$1=2,AO66,"Input Toggle"))</f>
        <v>0</v>
      </c>
      <c r="P66" s="627">
        <f>IF('Plant Total by Account'!$J$1=1,AH66,IF('Plant Total by Account'!$J$1=2,AP66,"Input Toggle"))</f>
        <v>0</v>
      </c>
      <c r="Q66" s="627">
        <f>C66-N66</f>
        <v>0</v>
      </c>
      <c r="R66" s="627">
        <f>IF((D66-O66)&lt;0,D66,D66-O66)</f>
        <v>23141.5</v>
      </c>
      <c r="S66" s="627">
        <f>E66-P66</f>
        <v>0</v>
      </c>
      <c r="T66" s="388"/>
      <c r="U66" s="627">
        <v>0</v>
      </c>
      <c r="V66" s="627">
        <v>0</v>
      </c>
      <c r="W66" s="627">
        <v>0</v>
      </c>
      <c r="X66" s="627">
        <f>IF('Plant Total by Account'!$J$1=1,AJ66,IF('Plant Total by Account'!$J$1=2,AR66,"Input Toggle"))</f>
        <v>0</v>
      </c>
      <c r="Y66" s="627">
        <f>IF('Plant Total by Account'!$J$1=1,AK66,IF('Plant Total by Account'!$J$1=2,AS66,"Input Toggle"))</f>
        <v>0</v>
      </c>
      <c r="Z66" s="627">
        <f>IF('Plant Total by Account'!$J$1=1,AL66,IF('Plant Total by Account'!$J$1=2,AT66,"Input Toggle"))</f>
        <v>0</v>
      </c>
      <c r="AA66" s="627">
        <f>F66-X66</f>
        <v>0</v>
      </c>
      <c r="AB66" s="627">
        <f>G66-Y66</f>
        <v>0</v>
      </c>
      <c r="AC66" s="627">
        <f>H66-Z66</f>
        <v>0</v>
      </c>
      <c r="AD66" s="388">
        <f>I66-SUM(K66:AC66)</f>
        <v>0</v>
      </c>
      <c r="AE66" s="388"/>
      <c r="AF66" s="627">
        <f>SUMIF('ISO w_System Splits'!$D$8:$D$469,$B66,'ISO w_System Splits'!H$8:H$469)</f>
        <v>0</v>
      </c>
      <c r="AG66" s="627">
        <f>SUMIF('ISO w_System Splits'!$D$8:$D$469,$B66,'ISO w_System Splits'!I$8:I$469)</f>
        <v>0</v>
      </c>
      <c r="AH66" s="627">
        <f>SUMIF('ISO w_System Splits'!$D$8:$D$469,$B66,'ISO w_System Splits'!J$8:J$469)</f>
        <v>0</v>
      </c>
      <c r="AI66" s="388"/>
      <c r="AJ66" s="627">
        <v>0</v>
      </c>
      <c r="AK66" s="627">
        <v>0</v>
      </c>
      <c r="AL66" s="627">
        <v>0</v>
      </c>
      <c r="AM66" s="388"/>
      <c r="AN66" s="627">
        <f>SUMIF('ISO w_System Splits'!$D$8:$D$615,$B66,'ISO w_System Splits'!H$8:H$615)-SUMIF('ISO w_System Splits'!$D$470:$D$520,$B66,'ISO w_System Splits'!H$470:H$520)</f>
        <v>0</v>
      </c>
      <c r="AO66" s="627">
        <f>SUMIF('ISO w_System Splits'!$D$8:$D$615,$B66,'ISO w_System Splits'!I$8:I$615)-SUMIF('ISO w_System Splits'!$D$470:$D$520,$B66,'ISO w_System Splits'!I$470:I$520)</f>
        <v>0</v>
      </c>
      <c r="AP66" s="627">
        <f>SUMIF('ISO w_System Splits'!$D$8:$D$615,$B66,'ISO w_System Splits'!J$8:J$615)-SUMIF('ISO w_System Splits'!$D$470:$D$520,$B66,'ISO w_System Splits'!J$470:J$520)</f>
        <v>0</v>
      </c>
      <c r="AQ66" s="388"/>
      <c r="AR66" s="627">
        <v>0</v>
      </c>
      <c r="AS66" s="627">
        <v>0</v>
      </c>
      <c r="AT66" s="627">
        <v>0</v>
      </c>
      <c r="AW66" s="95">
        <f t="shared" si="14"/>
        <v>0</v>
      </c>
      <c r="AX66" s="95">
        <f t="shared" si="15"/>
        <v>0</v>
      </c>
      <c r="AY66" s="95">
        <f t="shared" si="16"/>
        <v>0</v>
      </c>
      <c r="BA66" s="95">
        <f t="shared" si="17"/>
        <v>0</v>
      </c>
      <c r="BB66" s="95">
        <f t="shared" si="18"/>
        <v>0</v>
      </c>
      <c r="BC66" s="95">
        <f t="shared" si="19"/>
        <v>0</v>
      </c>
    </row>
    <row r="67" spans="1:55" ht="15" customHeight="1" x14ac:dyDescent="0.25">
      <c r="A67" s="95" t="s">
        <v>1453</v>
      </c>
      <c r="B67" s="357">
        <v>4314</v>
      </c>
      <c r="C67" s="626">
        <v>0</v>
      </c>
      <c r="D67" s="626">
        <v>5448.7300000000005</v>
      </c>
      <c r="E67" s="626">
        <v>0</v>
      </c>
      <c r="F67" s="626">
        <v>0</v>
      </c>
      <c r="G67" s="626">
        <v>0</v>
      </c>
      <c r="H67" s="626">
        <v>0</v>
      </c>
      <c r="I67" s="627">
        <v>5448.7300000000005</v>
      </c>
      <c r="J67" s="628"/>
      <c r="K67" s="627">
        <v>0</v>
      </c>
      <c r="L67" s="627">
        <v>0</v>
      </c>
      <c r="M67" s="627">
        <v>0</v>
      </c>
      <c r="N67" s="627">
        <f>IF('Plant Total by Account'!$J$1=1,AF67,IF('Plant Total by Account'!$J$1=2,AN67,"Input Toggle"))</f>
        <v>0</v>
      </c>
      <c r="O67" s="627">
        <f>IF('Plant Total by Account'!$J$1=1,AG67,IF('Plant Total by Account'!$J$1=2,AO67,"Input Toggle"))</f>
        <v>0</v>
      </c>
      <c r="P67" s="627">
        <f>IF('Plant Total by Account'!$J$1=1,AH67,IF('Plant Total by Account'!$J$1=2,AP67,"Input Toggle"))</f>
        <v>0</v>
      </c>
      <c r="Q67" s="627">
        <f t="shared" si="11"/>
        <v>0</v>
      </c>
      <c r="R67" s="627">
        <f t="shared" si="12"/>
        <v>5448.7300000000005</v>
      </c>
      <c r="S67" s="627">
        <f t="shared" si="13"/>
        <v>0</v>
      </c>
      <c r="T67" s="388"/>
      <c r="U67" s="627">
        <v>0</v>
      </c>
      <c r="V67" s="627">
        <v>0</v>
      </c>
      <c r="W67" s="627">
        <v>0</v>
      </c>
      <c r="X67" s="627">
        <f>IF('Plant Total by Account'!$J$1=1,AJ67,IF('Plant Total by Account'!$J$1=2,AR67,"Input Toggle"))</f>
        <v>0</v>
      </c>
      <c r="Y67" s="627">
        <f>IF('Plant Total by Account'!$J$1=1,AK67,IF('Plant Total by Account'!$J$1=2,AS67,"Input Toggle"))</f>
        <v>0</v>
      </c>
      <c r="Z67" s="627">
        <f>IF('Plant Total by Account'!$J$1=1,AL67,IF('Plant Total by Account'!$J$1=2,AT67,"Input Toggle"))</f>
        <v>0</v>
      </c>
      <c r="AA67" s="627">
        <f t="shared" si="1"/>
        <v>0</v>
      </c>
      <c r="AB67" s="627">
        <f t="shared" si="2"/>
        <v>0</v>
      </c>
      <c r="AC67" s="627">
        <f t="shared" si="3"/>
        <v>0</v>
      </c>
      <c r="AD67" s="388">
        <f t="shared" si="4"/>
        <v>0</v>
      </c>
      <c r="AE67" s="388"/>
      <c r="AF67" s="627">
        <f>SUMIF('ISO w_System Splits'!$D$8:$D$469,$B67,'ISO w_System Splits'!H$8:H$469)</f>
        <v>0</v>
      </c>
      <c r="AG67" s="627">
        <f>SUMIF('ISO w_System Splits'!$D$8:$D$469,$B67,'ISO w_System Splits'!I$8:I$469)</f>
        <v>0</v>
      </c>
      <c r="AH67" s="627">
        <f>SUMIF('ISO w_System Splits'!$D$8:$D$469,$B67,'ISO w_System Splits'!J$8:J$469)</f>
        <v>0</v>
      </c>
      <c r="AI67" s="388"/>
      <c r="AJ67" s="627">
        <v>0</v>
      </c>
      <c r="AK67" s="627">
        <v>0</v>
      </c>
      <c r="AL67" s="627">
        <v>0</v>
      </c>
      <c r="AM67" s="388"/>
      <c r="AN67" s="627">
        <f>SUMIF('ISO w_System Splits'!$D$8:$D$615,$B67,'ISO w_System Splits'!H$8:H$615)-SUMIF('ISO w_System Splits'!$D$470:$D$520,$B67,'ISO w_System Splits'!H$470:H$520)</f>
        <v>0</v>
      </c>
      <c r="AO67" s="627">
        <f>SUMIF('ISO w_System Splits'!$D$8:$D$615,$B67,'ISO w_System Splits'!I$8:I$615)-SUMIF('ISO w_System Splits'!$D$470:$D$520,$B67,'ISO w_System Splits'!I$470:I$520)</f>
        <v>0</v>
      </c>
      <c r="AP67" s="627">
        <f>SUMIF('ISO w_System Splits'!$D$8:$D$615,$B67,'ISO w_System Splits'!J$8:J$615)-SUMIF('ISO w_System Splits'!$D$470:$D$520,$B67,'ISO w_System Splits'!J$470:J$520)</f>
        <v>0</v>
      </c>
      <c r="AQ67" s="388"/>
      <c r="AR67" s="627">
        <v>0</v>
      </c>
      <c r="AS67" s="627">
        <v>0</v>
      </c>
      <c r="AT67" s="627">
        <v>0</v>
      </c>
      <c r="AW67" s="95">
        <f t="shared" si="14"/>
        <v>0</v>
      </c>
      <c r="AX67" s="95">
        <f t="shared" si="15"/>
        <v>0</v>
      </c>
      <c r="AY67" s="95">
        <f t="shared" si="16"/>
        <v>0</v>
      </c>
      <c r="BA67" s="95">
        <f t="shared" si="17"/>
        <v>0</v>
      </c>
      <c r="BB67" s="95">
        <f t="shared" si="18"/>
        <v>0</v>
      </c>
      <c r="BC67" s="95">
        <f t="shared" si="19"/>
        <v>0</v>
      </c>
    </row>
    <row r="68" spans="1:55" ht="15" customHeight="1" x14ac:dyDescent="0.25">
      <c r="A68" s="95" t="s">
        <v>523</v>
      </c>
      <c r="B68" s="357">
        <v>4319</v>
      </c>
      <c r="C68" s="626">
        <v>0</v>
      </c>
      <c r="D68" s="626">
        <v>0</v>
      </c>
      <c r="E68" s="626">
        <v>0</v>
      </c>
      <c r="F68" s="626">
        <v>0</v>
      </c>
      <c r="G68" s="626">
        <v>0</v>
      </c>
      <c r="H68" s="626">
        <v>0</v>
      </c>
      <c r="I68" s="627">
        <v>0</v>
      </c>
      <c r="J68" s="628"/>
      <c r="K68" s="627">
        <v>0</v>
      </c>
      <c r="L68" s="627">
        <v>0</v>
      </c>
      <c r="M68" s="627">
        <v>0</v>
      </c>
      <c r="N68" s="627">
        <f>IF('Plant Total by Account'!$J$1=1,AF68,IF('Plant Total by Account'!$J$1=2,AN68,"Input Toggle"))</f>
        <v>0</v>
      </c>
      <c r="O68" s="627">
        <f>IF('Plant Total by Account'!$J$1=1,AG68,IF('Plant Total by Account'!$J$1=2,AO68,"Input Toggle"))</f>
        <v>0</v>
      </c>
      <c r="P68" s="627">
        <f>IF('Plant Total by Account'!$J$1=1,AH68,IF('Plant Total by Account'!$J$1=2,AP68,"Input Toggle"))</f>
        <v>0</v>
      </c>
      <c r="Q68" s="627">
        <f t="shared" si="11"/>
        <v>0</v>
      </c>
      <c r="R68" s="627">
        <f t="shared" si="12"/>
        <v>0</v>
      </c>
      <c r="S68" s="627">
        <f t="shared" si="13"/>
        <v>0</v>
      </c>
      <c r="T68" s="388"/>
      <c r="U68" s="627">
        <v>0</v>
      </c>
      <c r="V68" s="627">
        <v>0</v>
      </c>
      <c r="W68" s="627">
        <v>0</v>
      </c>
      <c r="X68" s="627">
        <f>IF('Plant Total by Account'!$J$1=1,AJ68,IF('Plant Total by Account'!$J$1=2,AR68,"Input Toggle"))</f>
        <v>0</v>
      </c>
      <c r="Y68" s="627">
        <f>IF('Plant Total by Account'!$J$1=1,AK68,IF('Plant Total by Account'!$J$1=2,AS68,"Input Toggle"))</f>
        <v>0</v>
      </c>
      <c r="Z68" s="627">
        <f>IF('Plant Total by Account'!$J$1=1,AL68,IF('Plant Total by Account'!$J$1=2,AT68,"Input Toggle"))</f>
        <v>0</v>
      </c>
      <c r="AA68" s="627">
        <f t="shared" ref="AA68:AA84" si="20">F68-X68</f>
        <v>0</v>
      </c>
      <c r="AB68" s="627">
        <f t="shared" ref="AB68:AB84" si="21">G68-Y68</f>
        <v>0</v>
      </c>
      <c r="AC68" s="627">
        <f t="shared" ref="AC68:AC84" si="22">H68-Z68</f>
        <v>0</v>
      </c>
      <c r="AD68" s="388">
        <f t="shared" ref="AD68:AD84" si="23">I68-SUM(K68:AC68)</f>
        <v>0</v>
      </c>
      <c r="AE68" s="388"/>
      <c r="AF68" s="627">
        <f>SUMIF('ISO w_System Splits'!$D$8:$D$469,$B68,'ISO w_System Splits'!H$8:H$469)</f>
        <v>0</v>
      </c>
      <c r="AG68" s="627">
        <f>SUMIF('ISO w_System Splits'!$D$8:$D$469,$B68,'ISO w_System Splits'!I$8:I$469)</f>
        <v>0</v>
      </c>
      <c r="AH68" s="627">
        <f>SUMIF('ISO w_System Splits'!$D$8:$D$469,$B68,'ISO w_System Splits'!J$8:J$469)</f>
        <v>0</v>
      </c>
      <c r="AI68" s="388"/>
      <c r="AJ68" s="627">
        <v>0</v>
      </c>
      <c r="AK68" s="627">
        <v>0</v>
      </c>
      <c r="AL68" s="627">
        <v>0</v>
      </c>
      <c r="AM68" s="388"/>
      <c r="AN68" s="627">
        <f>SUMIF('ISO w_System Splits'!$D$8:$D$615,$B68,'ISO w_System Splits'!H$8:H$615)-SUMIF('ISO w_System Splits'!$D$470:$D$520,$B68,'ISO w_System Splits'!H$470:H$520)</f>
        <v>0</v>
      </c>
      <c r="AO68" s="627">
        <f>SUMIF('ISO w_System Splits'!$D$8:$D$615,$B68,'ISO w_System Splits'!I$8:I$615)-SUMIF('ISO w_System Splits'!$D$470:$D$520,$B68,'ISO w_System Splits'!I$470:I$520)</f>
        <v>0</v>
      </c>
      <c r="AP68" s="627">
        <f>SUMIF('ISO w_System Splits'!$D$8:$D$615,$B68,'ISO w_System Splits'!J$8:J$615)-SUMIF('ISO w_System Splits'!$D$470:$D$520,$B68,'ISO w_System Splits'!J$470:J$520)</f>
        <v>0</v>
      </c>
      <c r="AQ68" s="388"/>
      <c r="AR68" s="627">
        <v>0</v>
      </c>
      <c r="AS68" s="627">
        <v>0</v>
      </c>
      <c r="AT68" s="627">
        <v>0</v>
      </c>
      <c r="AW68" s="95">
        <f t="shared" si="14"/>
        <v>0</v>
      </c>
      <c r="AX68" s="95">
        <f t="shared" si="15"/>
        <v>0</v>
      </c>
      <c r="AY68" s="95">
        <f t="shared" si="16"/>
        <v>0</v>
      </c>
      <c r="BA68" s="95">
        <f t="shared" si="17"/>
        <v>0</v>
      </c>
      <c r="BB68" s="95">
        <f t="shared" si="18"/>
        <v>0</v>
      </c>
      <c r="BC68" s="95">
        <f t="shared" si="19"/>
        <v>0</v>
      </c>
    </row>
    <row r="69" spans="1:55" x14ac:dyDescent="0.25">
      <c r="A69" s="95" t="s">
        <v>1453</v>
      </c>
      <c r="B69" s="357">
        <v>4414</v>
      </c>
      <c r="C69" s="626">
        <v>0</v>
      </c>
      <c r="D69" s="626">
        <v>0</v>
      </c>
      <c r="E69" s="626">
        <v>0</v>
      </c>
      <c r="F69" s="626">
        <v>0</v>
      </c>
      <c r="G69" s="626">
        <v>0</v>
      </c>
      <c r="H69" s="626">
        <v>0</v>
      </c>
      <c r="I69" s="627">
        <v>0</v>
      </c>
      <c r="J69" s="628"/>
      <c r="K69" s="627">
        <v>0</v>
      </c>
      <c r="L69" s="627">
        <v>0</v>
      </c>
      <c r="M69" s="627">
        <v>0</v>
      </c>
      <c r="N69" s="627">
        <f>IF('Plant Total by Account'!$J$1=1,AF69,IF('Plant Total by Account'!$J$1=2,AN69,"Input Toggle"))</f>
        <v>0</v>
      </c>
      <c r="O69" s="627">
        <f>IF('Plant Total by Account'!$J$1=1,AG69,IF('Plant Total by Account'!$J$1=2,AO69,"Input Toggle"))</f>
        <v>0</v>
      </c>
      <c r="P69" s="627">
        <f>IF('Plant Total by Account'!$J$1=1,AH69,IF('Plant Total by Account'!$J$1=2,AP69,"Input Toggle"))</f>
        <v>0</v>
      </c>
      <c r="Q69" s="627">
        <f t="shared" ref="Q69:Q84" si="24">C69-N69</f>
        <v>0</v>
      </c>
      <c r="R69" s="627">
        <f t="shared" ref="R69:R84" si="25">IF((D69-O69)&lt;0,D69,D69-O69)</f>
        <v>0</v>
      </c>
      <c r="S69" s="627">
        <f t="shared" ref="S69:S84" si="26">E69-P69</f>
        <v>0</v>
      </c>
      <c r="T69" s="388"/>
      <c r="U69" s="627">
        <v>0</v>
      </c>
      <c r="V69" s="627">
        <v>0</v>
      </c>
      <c r="W69" s="627">
        <v>0</v>
      </c>
      <c r="X69" s="627">
        <f>IF('Plant Total by Account'!$J$1=1,AJ69,IF('Plant Total by Account'!$J$1=2,AR69,"Input Toggle"))</f>
        <v>0</v>
      </c>
      <c r="Y69" s="627">
        <f>IF('Plant Total by Account'!$J$1=1,AK69,IF('Plant Total by Account'!$J$1=2,AS69,"Input Toggle"))</f>
        <v>0</v>
      </c>
      <c r="Z69" s="627">
        <f>IF('Plant Total by Account'!$J$1=1,AL69,IF('Plant Total by Account'!$J$1=2,AT69,"Input Toggle"))</f>
        <v>0</v>
      </c>
      <c r="AA69" s="627">
        <f t="shared" si="20"/>
        <v>0</v>
      </c>
      <c r="AB69" s="627">
        <f t="shared" si="21"/>
        <v>0</v>
      </c>
      <c r="AC69" s="627">
        <f t="shared" si="22"/>
        <v>0</v>
      </c>
      <c r="AD69" s="388">
        <f t="shared" si="23"/>
        <v>0</v>
      </c>
      <c r="AE69" s="388"/>
      <c r="AF69" s="627">
        <f>SUMIF('ISO w_System Splits'!$D$8:$D$469,$B69,'ISO w_System Splits'!H$8:H$469)</f>
        <v>0</v>
      </c>
      <c r="AG69" s="627">
        <f>SUMIF('ISO w_System Splits'!$D$8:$D$469,$B69,'ISO w_System Splits'!I$8:I$469)</f>
        <v>0</v>
      </c>
      <c r="AH69" s="627">
        <f>SUMIF('ISO w_System Splits'!$D$8:$D$469,$B69,'ISO w_System Splits'!J$8:J$469)</f>
        <v>0</v>
      </c>
      <c r="AI69" s="388"/>
      <c r="AJ69" s="627">
        <v>0</v>
      </c>
      <c r="AK69" s="627">
        <v>0</v>
      </c>
      <c r="AL69" s="627">
        <v>0</v>
      </c>
      <c r="AM69" s="388"/>
      <c r="AN69" s="627">
        <f>SUMIF('ISO w_System Splits'!$D$8:$D$615,$B69,'ISO w_System Splits'!H$8:H$615)-SUMIF('ISO w_System Splits'!$D$470:$D$520,$B69,'ISO w_System Splits'!H$470:H$520)</f>
        <v>0</v>
      </c>
      <c r="AO69" s="627">
        <f>SUMIF('ISO w_System Splits'!$D$8:$D$615,$B69,'ISO w_System Splits'!I$8:I$615)-SUMIF('ISO w_System Splits'!$D$470:$D$520,$B69,'ISO w_System Splits'!I$470:I$520)</f>
        <v>0</v>
      </c>
      <c r="AP69" s="627">
        <f>SUMIF('ISO w_System Splits'!$D$8:$D$615,$B69,'ISO w_System Splits'!J$8:J$615)-SUMIF('ISO w_System Splits'!$D$470:$D$520,$B69,'ISO w_System Splits'!J$470:J$520)</f>
        <v>0</v>
      </c>
      <c r="AQ69" s="388"/>
      <c r="AR69" s="627">
        <v>0</v>
      </c>
      <c r="AS69" s="627">
        <v>0</v>
      </c>
      <c r="AT69" s="627">
        <v>0</v>
      </c>
      <c r="AW69" s="95">
        <f t="shared" ref="AW69:AW84" si="27">AF:AF-AN:AN</f>
        <v>0</v>
      </c>
      <c r="AX69" s="95">
        <f t="shared" ref="AX69:AX84" si="28">AG:AG-AO:AO</f>
        <v>0</v>
      </c>
      <c r="AY69" s="95">
        <f t="shared" ref="AY69:AY84" si="29">AH:AH-AP:AP</f>
        <v>0</v>
      </c>
      <c r="BA69" s="95">
        <f t="shared" ref="BA69:BA84" si="30">AJ:AJ-AR:AR</f>
        <v>0</v>
      </c>
      <c r="BB69" s="95">
        <f t="shared" ref="BB69:BB84" si="31">AK:AK-AS:AS</f>
        <v>0</v>
      </c>
      <c r="BC69" s="95">
        <f t="shared" ref="BC69:BC84" si="32">AL:AL-AT:AT</f>
        <v>0</v>
      </c>
    </row>
    <row r="70" spans="1:55" ht="15" customHeight="1" x14ac:dyDescent="0.25">
      <c r="A70" s="95" t="s">
        <v>1454</v>
      </c>
      <c r="B70" s="357">
        <v>4419</v>
      </c>
      <c r="C70" s="626">
        <v>0</v>
      </c>
      <c r="D70" s="626">
        <v>0</v>
      </c>
      <c r="E70" s="626">
        <v>0</v>
      </c>
      <c r="F70" s="626">
        <v>0</v>
      </c>
      <c r="G70" s="626">
        <v>0</v>
      </c>
      <c r="H70" s="626">
        <v>0</v>
      </c>
      <c r="I70" s="627">
        <v>0</v>
      </c>
      <c r="J70" s="628"/>
      <c r="K70" s="627">
        <v>0</v>
      </c>
      <c r="L70" s="627">
        <v>0</v>
      </c>
      <c r="M70" s="627">
        <v>0</v>
      </c>
      <c r="N70" s="627">
        <f>IF('Plant Total by Account'!$J$1=1,AF70,IF('Plant Total by Account'!$J$1=2,AN70,"Input Toggle"))</f>
        <v>0</v>
      </c>
      <c r="O70" s="627">
        <f>IF('Plant Total by Account'!$J$1=1,AG70,IF('Plant Total by Account'!$J$1=2,AO70,"Input Toggle"))</f>
        <v>0</v>
      </c>
      <c r="P70" s="627">
        <f>IF('Plant Total by Account'!$J$1=1,AH70,IF('Plant Total by Account'!$J$1=2,AP70,"Input Toggle"))</f>
        <v>0</v>
      </c>
      <c r="Q70" s="627">
        <f t="shared" si="24"/>
        <v>0</v>
      </c>
      <c r="R70" s="627">
        <f t="shared" si="25"/>
        <v>0</v>
      </c>
      <c r="S70" s="627">
        <f t="shared" si="26"/>
        <v>0</v>
      </c>
      <c r="T70" s="388"/>
      <c r="U70" s="627">
        <v>0</v>
      </c>
      <c r="V70" s="627">
        <v>0</v>
      </c>
      <c r="W70" s="627">
        <v>0</v>
      </c>
      <c r="X70" s="627">
        <f>IF('Plant Total by Account'!$J$1=1,AJ70,IF('Plant Total by Account'!$J$1=2,AR70,"Input Toggle"))</f>
        <v>0</v>
      </c>
      <c r="Y70" s="627">
        <f>IF('Plant Total by Account'!$J$1=1,AK70,IF('Plant Total by Account'!$J$1=2,AS70,"Input Toggle"))</f>
        <v>0</v>
      </c>
      <c r="Z70" s="627">
        <f>IF('Plant Total by Account'!$J$1=1,AL70,IF('Plant Total by Account'!$J$1=2,AT70,"Input Toggle"))</f>
        <v>0</v>
      </c>
      <c r="AA70" s="627">
        <f t="shared" si="20"/>
        <v>0</v>
      </c>
      <c r="AB70" s="627">
        <f t="shared" si="21"/>
        <v>0</v>
      </c>
      <c r="AC70" s="627">
        <f t="shared" si="22"/>
        <v>0</v>
      </c>
      <c r="AD70" s="388">
        <f t="shared" si="23"/>
        <v>0</v>
      </c>
      <c r="AE70" s="388"/>
      <c r="AF70" s="627">
        <f>SUMIF('ISO w_System Splits'!$D$8:$D$469,$B70,'ISO w_System Splits'!H$8:H$469)</f>
        <v>0</v>
      </c>
      <c r="AG70" s="627">
        <f>SUMIF('ISO w_System Splits'!$D$8:$D$469,$B70,'ISO w_System Splits'!I$8:I$469)</f>
        <v>0</v>
      </c>
      <c r="AH70" s="627">
        <f>SUMIF('ISO w_System Splits'!$D$8:$D$469,$B70,'ISO w_System Splits'!J$8:J$469)</f>
        <v>0</v>
      </c>
      <c r="AI70" s="388"/>
      <c r="AJ70" s="627">
        <v>0</v>
      </c>
      <c r="AK70" s="627">
        <v>0</v>
      </c>
      <c r="AL70" s="627">
        <v>0</v>
      </c>
      <c r="AM70" s="388"/>
      <c r="AN70" s="627">
        <f>SUMIF('ISO w_System Splits'!$D$8:$D$615,$B70,'ISO w_System Splits'!H$8:H$615)-SUMIF('ISO w_System Splits'!$D$470:$D$520,$B70,'ISO w_System Splits'!H$470:H$520)</f>
        <v>0</v>
      </c>
      <c r="AO70" s="627">
        <f>SUMIF('ISO w_System Splits'!$D$8:$D$615,$B70,'ISO w_System Splits'!I$8:I$615)-SUMIF('ISO w_System Splits'!$D$470:$D$520,$B70,'ISO w_System Splits'!I$470:I$520)</f>
        <v>0</v>
      </c>
      <c r="AP70" s="627">
        <f>SUMIF('ISO w_System Splits'!$D$8:$D$615,$B70,'ISO w_System Splits'!J$8:J$615)-SUMIF('ISO w_System Splits'!$D$470:$D$520,$B70,'ISO w_System Splits'!J$470:J$520)</f>
        <v>0</v>
      </c>
      <c r="AQ70" s="388"/>
      <c r="AR70" s="627">
        <v>0</v>
      </c>
      <c r="AS70" s="627">
        <v>0</v>
      </c>
      <c r="AT70" s="627">
        <v>0</v>
      </c>
      <c r="AW70" s="95">
        <f t="shared" si="27"/>
        <v>0</v>
      </c>
      <c r="AX70" s="95">
        <f t="shared" si="28"/>
        <v>0</v>
      </c>
      <c r="AY70" s="95">
        <f t="shared" si="29"/>
        <v>0</v>
      </c>
      <c r="BA70" s="95">
        <f t="shared" si="30"/>
        <v>0</v>
      </c>
      <c r="BB70" s="95">
        <f t="shared" si="31"/>
        <v>0</v>
      </c>
      <c r="BC70" s="95">
        <f t="shared" si="32"/>
        <v>0</v>
      </c>
    </row>
    <row r="71" spans="1:55" ht="15" customHeight="1" x14ac:dyDescent="0.25">
      <c r="A71" s="95" t="s">
        <v>524</v>
      </c>
      <c r="B71" s="357">
        <v>4518</v>
      </c>
      <c r="C71" s="626">
        <v>0</v>
      </c>
      <c r="D71" s="626">
        <v>0</v>
      </c>
      <c r="E71" s="626">
        <v>0</v>
      </c>
      <c r="F71" s="626">
        <v>0</v>
      </c>
      <c r="G71" s="626">
        <v>0</v>
      </c>
      <c r="H71" s="626">
        <v>0</v>
      </c>
      <c r="I71" s="627">
        <v>0</v>
      </c>
      <c r="J71" s="628"/>
      <c r="K71" s="627">
        <v>0</v>
      </c>
      <c r="L71" s="627">
        <v>0</v>
      </c>
      <c r="M71" s="627">
        <v>0</v>
      </c>
      <c r="N71" s="627">
        <f>IF('Plant Total by Account'!$J$1=1,AF71,IF('Plant Total by Account'!$J$1=2,AN71,"Input Toggle"))</f>
        <v>0</v>
      </c>
      <c r="O71" s="627">
        <f>IF('Plant Total by Account'!$J$1=1,AG71,IF('Plant Total by Account'!$J$1=2,AO71,"Input Toggle"))</f>
        <v>0</v>
      </c>
      <c r="P71" s="627">
        <f>IF('Plant Total by Account'!$J$1=1,AH71,IF('Plant Total by Account'!$J$1=2,AP71,"Input Toggle"))</f>
        <v>0</v>
      </c>
      <c r="Q71" s="627">
        <f t="shared" si="24"/>
        <v>0</v>
      </c>
      <c r="R71" s="627">
        <f t="shared" si="25"/>
        <v>0</v>
      </c>
      <c r="S71" s="627">
        <f t="shared" si="26"/>
        <v>0</v>
      </c>
      <c r="T71" s="388"/>
      <c r="U71" s="627">
        <v>0</v>
      </c>
      <c r="V71" s="627">
        <v>0</v>
      </c>
      <c r="W71" s="627">
        <v>0</v>
      </c>
      <c r="X71" s="627">
        <f>IF('Plant Total by Account'!$J$1=1,AJ71,IF('Plant Total by Account'!$J$1=2,AR71,"Input Toggle"))</f>
        <v>0</v>
      </c>
      <c r="Y71" s="627">
        <f>IF('Plant Total by Account'!$J$1=1,AK71,IF('Plant Total by Account'!$J$1=2,AS71,"Input Toggle"))</f>
        <v>0</v>
      </c>
      <c r="Z71" s="627">
        <f>IF('Plant Total by Account'!$J$1=1,AL71,IF('Plant Total by Account'!$J$1=2,AT71,"Input Toggle"))</f>
        <v>0</v>
      </c>
      <c r="AA71" s="627">
        <f t="shared" si="20"/>
        <v>0</v>
      </c>
      <c r="AB71" s="627">
        <f t="shared" si="21"/>
        <v>0</v>
      </c>
      <c r="AC71" s="627">
        <f t="shared" si="22"/>
        <v>0</v>
      </c>
      <c r="AD71" s="388">
        <f t="shared" si="23"/>
        <v>0</v>
      </c>
      <c r="AE71" s="388"/>
      <c r="AF71" s="627">
        <f>SUMIF('ISO w_System Splits'!$D$8:$D$469,$B71,'ISO w_System Splits'!H$8:H$469)</f>
        <v>0</v>
      </c>
      <c r="AG71" s="627">
        <f>SUMIF('ISO w_System Splits'!$D$8:$D$469,$B71,'ISO w_System Splits'!I$8:I$469)</f>
        <v>0</v>
      </c>
      <c r="AH71" s="627">
        <f>SUMIF('ISO w_System Splits'!$D$8:$D$469,$B71,'ISO w_System Splits'!J$8:J$469)</f>
        <v>0</v>
      </c>
      <c r="AI71" s="388"/>
      <c r="AJ71" s="627">
        <v>0</v>
      </c>
      <c r="AK71" s="627">
        <v>0</v>
      </c>
      <c r="AL71" s="627">
        <v>0</v>
      </c>
      <c r="AM71" s="388"/>
      <c r="AN71" s="627">
        <f>SUMIF('ISO w_System Splits'!$D$8:$D$615,$B71,'ISO w_System Splits'!H$8:H$615)-SUMIF('ISO w_System Splits'!$D$470:$D$520,$B71,'ISO w_System Splits'!H$470:H$520)</f>
        <v>0</v>
      </c>
      <c r="AO71" s="627">
        <f>SUMIF('ISO w_System Splits'!$D$8:$D$615,$B71,'ISO w_System Splits'!I$8:I$615)-SUMIF('ISO w_System Splits'!$D$470:$D$520,$B71,'ISO w_System Splits'!I$470:I$520)</f>
        <v>0</v>
      </c>
      <c r="AP71" s="627">
        <f>SUMIF('ISO w_System Splits'!$D$8:$D$615,$B71,'ISO w_System Splits'!J$8:J$615)-SUMIF('ISO w_System Splits'!$D$470:$D$520,$B71,'ISO w_System Splits'!J$470:J$520)</f>
        <v>0</v>
      </c>
      <c r="AQ71" s="388"/>
      <c r="AR71" s="627">
        <v>0</v>
      </c>
      <c r="AS71" s="627">
        <v>0</v>
      </c>
      <c r="AT71" s="627">
        <v>0</v>
      </c>
      <c r="AW71" s="95">
        <f t="shared" si="27"/>
        <v>0</v>
      </c>
      <c r="AX71" s="95">
        <f t="shared" si="28"/>
        <v>0</v>
      </c>
      <c r="AY71" s="95">
        <f t="shared" si="29"/>
        <v>0</v>
      </c>
      <c r="BA71" s="95">
        <f t="shared" si="30"/>
        <v>0</v>
      </c>
      <c r="BB71" s="95">
        <f t="shared" si="31"/>
        <v>0</v>
      </c>
      <c r="BC71" s="95">
        <f t="shared" si="32"/>
        <v>0</v>
      </c>
    </row>
    <row r="72" spans="1:55" ht="15" customHeight="1" x14ac:dyDescent="0.25">
      <c r="A72" s="95" t="s">
        <v>1455</v>
      </c>
      <c r="B72" s="357">
        <v>4570</v>
      </c>
      <c r="C72" s="626">
        <v>0</v>
      </c>
      <c r="D72" s="626">
        <v>0</v>
      </c>
      <c r="E72" s="626">
        <v>256666.35</v>
      </c>
      <c r="F72" s="626">
        <v>0</v>
      </c>
      <c r="G72" s="626">
        <v>0</v>
      </c>
      <c r="H72" s="626">
        <v>0</v>
      </c>
      <c r="I72" s="627">
        <v>256666.35</v>
      </c>
      <c r="J72" s="628"/>
      <c r="K72" s="627">
        <v>0</v>
      </c>
      <c r="L72" s="627">
        <v>0</v>
      </c>
      <c r="M72" s="627">
        <v>0</v>
      </c>
      <c r="N72" s="627">
        <f>IF('Plant Total by Account'!$J$1=1,AF72,IF('Plant Total by Account'!$J$1=2,AN72,"Input Toggle"))</f>
        <v>0</v>
      </c>
      <c r="O72" s="627">
        <f>IF('Plant Total by Account'!$J$1=1,AG72,IF('Plant Total by Account'!$J$1=2,AO72,"Input Toggle"))</f>
        <v>0</v>
      </c>
      <c r="P72" s="627">
        <f>IF('Plant Total by Account'!$J$1=1,AH72,IF('Plant Total by Account'!$J$1=2,AP72,"Input Toggle"))</f>
        <v>0</v>
      </c>
      <c r="Q72" s="627">
        <f t="shared" si="24"/>
        <v>0</v>
      </c>
      <c r="R72" s="627">
        <f t="shared" si="25"/>
        <v>0</v>
      </c>
      <c r="S72" s="627">
        <f t="shared" si="26"/>
        <v>256666.35</v>
      </c>
      <c r="T72" s="388"/>
      <c r="U72" s="627">
        <v>0</v>
      </c>
      <c r="V72" s="627">
        <v>0</v>
      </c>
      <c r="W72" s="627">
        <v>0</v>
      </c>
      <c r="X72" s="627">
        <f>IF('Plant Total by Account'!$J$1=1,AJ72,IF('Plant Total by Account'!$J$1=2,AR72,"Input Toggle"))</f>
        <v>0</v>
      </c>
      <c r="Y72" s="627">
        <f>IF('Plant Total by Account'!$J$1=1,AK72,IF('Plant Total by Account'!$J$1=2,AS72,"Input Toggle"))</f>
        <v>0</v>
      </c>
      <c r="Z72" s="627">
        <f>IF('Plant Total by Account'!$J$1=1,AL72,IF('Plant Total by Account'!$J$1=2,AT72,"Input Toggle"))</f>
        <v>0</v>
      </c>
      <c r="AA72" s="627">
        <f t="shared" si="20"/>
        <v>0</v>
      </c>
      <c r="AB72" s="627">
        <f t="shared" si="21"/>
        <v>0</v>
      </c>
      <c r="AC72" s="627">
        <f t="shared" si="22"/>
        <v>0</v>
      </c>
      <c r="AD72" s="388">
        <f t="shared" si="23"/>
        <v>0</v>
      </c>
      <c r="AE72" s="388"/>
      <c r="AF72" s="627">
        <f>SUMIF('ISO w_System Splits'!$D$8:$D$469,$B72,'ISO w_System Splits'!H$8:H$469)</f>
        <v>0</v>
      </c>
      <c r="AG72" s="627">
        <f>SUMIF('ISO w_System Splits'!$D$8:$D$469,$B72,'ISO w_System Splits'!I$8:I$469)</f>
        <v>0</v>
      </c>
      <c r="AH72" s="627">
        <f>SUMIF('ISO w_System Splits'!$D$8:$D$469,$B72,'ISO w_System Splits'!J$8:J$469)</f>
        <v>0</v>
      </c>
      <c r="AI72" s="388"/>
      <c r="AJ72" s="627">
        <v>0</v>
      </c>
      <c r="AK72" s="627">
        <v>0</v>
      </c>
      <c r="AL72" s="627">
        <v>0</v>
      </c>
      <c r="AM72" s="388"/>
      <c r="AN72" s="627">
        <f>SUMIF('ISO w_System Splits'!$D$8:$D$615,$B72,'ISO w_System Splits'!H$8:H$615)-SUMIF('ISO w_System Splits'!$D$470:$D$520,$B72,'ISO w_System Splits'!H$470:H$520)</f>
        <v>0</v>
      </c>
      <c r="AO72" s="627">
        <f>SUMIF('ISO w_System Splits'!$D$8:$D$615,$B72,'ISO w_System Splits'!I$8:I$615)-SUMIF('ISO w_System Splits'!$D$470:$D$520,$B72,'ISO w_System Splits'!I$470:I$520)</f>
        <v>0</v>
      </c>
      <c r="AP72" s="627">
        <f>SUMIF('ISO w_System Splits'!$D$8:$D$615,$B72,'ISO w_System Splits'!J$8:J$615)-SUMIF('ISO w_System Splits'!$D$470:$D$520,$B72,'ISO w_System Splits'!J$470:J$520)</f>
        <v>0</v>
      </c>
      <c r="AQ72" s="388"/>
      <c r="AR72" s="627">
        <v>0</v>
      </c>
      <c r="AS72" s="627">
        <v>0</v>
      </c>
      <c r="AT72" s="627">
        <v>0</v>
      </c>
      <c r="AW72" s="95">
        <f t="shared" si="27"/>
        <v>0</v>
      </c>
      <c r="AX72" s="95">
        <f t="shared" si="28"/>
        <v>0</v>
      </c>
      <c r="AY72" s="95">
        <f t="shared" si="29"/>
        <v>0</v>
      </c>
      <c r="BA72" s="95">
        <f t="shared" si="30"/>
        <v>0</v>
      </c>
      <c r="BB72" s="95">
        <f t="shared" si="31"/>
        <v>0</v>
      </c>
      <c r="BC72" s="95">
        <f t="shared" si="32"/>
        <v>0</v>
      </c>
    </row>
    <row r="73" spans="1:55" ht="15" customHeight="1" x14ac:dyDescent="0.25">
      <c r="A73" s="95" t="s">
        <v>1444</v>
      </c>
      <c r="B73" s="357">
        <v>4600</v>
      </c>
      <c r="C73" s="626">
        <v>0</v>
      </c>
      <c r="D73" s="626">
        <v>106617.96</v>
      </c>
      <c r="E73" s="626">
        <v>21514.78</v>
      </c>
      <c r="F73" s="626">
        <v>0</v>
      </c>
      <c r="G73" s="626">
        <v>14551.73</v>
      </c>
      <c r="H73" s="626">
        <v>0</v>
      </c>
      <c r="I73" s="627">
        <v>142684.47</v>
      </c>
      <c r="J73" s="628"/>
      <c r="K73" s="627">
        <v>0</v>
      </c>
      <c r="L73" s="627">
        <v>0</v>
      </c>
      <c r="M73" s="627">
        <v>0</v>
      </c>
      <c r="N73" s="627">
        <f>IF('Plant Total by Account'!$J$1=1,AF73,IF('Plant Total by Account'!$J$1=2,AN73,"Input Toggle"))</f>
        <v>0</v>
      </c>
      <c r="O73" s="627">
        <f>IF('Plant Total by Account'!$J$1=1,AG73,IF('Plant Total by Account'!$J$1=2,AO73,"Input Toggle"))</f>
        <v>0</v>
      </c>
      <c r="P73" s="627">
        <f>IF('Plant Total by Account'!$J$1=1,AH73,IF('Plant Total by Account'!$J$1=2,AP73,"Input Toggle"))</f>
        <v>0</v>
      </c>
      <c r="Q73" s="627">
        <f t="shared" si="24"/>
        <v>0</v>
      </c>
      <c r="R73" s="627">
        <f t="shared" si="25"/>
        <v>106617.96</v>
      </c>
      <c r="S73" s="627">
        <f t="shared" si="26"/>
        <v>21514.78</v>
      </c>
      <c r="T73" s="388"/>
      <c r="U73" s="627">
        <v>0</v>
      </c>
      <c r="V73" s="627">
        <v>0</v>
      </c>
      <c r="W73" s="627">
        <v>0</v>
      </c>
      <c r="X73" s="627">
        <f>IF('Plant Total by Account'!$J$1=1,AJ73,IF('Plant Total by Account'!$J$1=2,AR73,"Input Toggle"))</f>
        <v>0</v>
      </c>
      <c r="Y73" s="627">
        <f>IF('Plant Total by Account'!$J$1=1,AK73,IF('Plant Total by Account'!$J$1=2,AS73,"Input Toggle"))</f>
        <v>0</v>
      </c>
      <c r="Z73" s="627">
        <f>IF('Plant Total by Account'!$J$1=1,AL73,IF('Plant Total by Account'!$J$1=2,AT73,"Input Toggle"))</f>
        <v>0</v>
      </c>
      <c r="AA73" s="627">
        <f t="shared" si="20"/>
        <v>0</v>
      </c>
      <c r="AB73" s="627">
        <f t="shared" si="21"/>
        <v>14551.73</v>
      </c>
      <c r="AC73" s="627">
        <f t="shared" si="22"/>
        <v>0</v>
      </c>
      <c r="AD73" s="388">
        <f t="shared" si="23"/>
        <v>0</v>
      </c>
      <c r="AE73" s="388"/>
      <c r="AF73" s="627">
        <f>SUMIF('ISO w_System Splits'!$D$8:$D$469,$B73,'ISO w_System Splits'!H$8:H$469)</f>
        <v>0</v>
      </c>
      <c r="AG73" s="627">
        <f>SUMIF('ISO w_System Splits'!$D$8:$D$469,$B73,'ISO w_System Splits'!I$8:I$469)</f>
        <v>0</v>
      </c>
      <c r="AH73" s="627">
        <f>SUMIF('ISO w_System Splits'!$D$8:$D$469,$B73,'ISO w_System Splits'!J$8:J$469)</f>
        <v>0</v>
      </c>
      <c r="AI73" s="388"/>
      <c r="AJ73" s="627">
        <v>0</v>
      </c>
      <c r="AK73" s="627">
        <v>0</v>
      </c>
      <c r="AL73" s="627">
        <v>0</v>
      </c>
      <c r="AM73" s="388"/>
      <c r="AN73" s="627">
        <f>SUMIF('ISO w_System Splits'!$D$8:$D$615,$B73,'ISO w_System Splits'!H$8:H$615)-SUMIF('ISO w_System Splits'!$D$470:$D$520,$B73,'ISO w_System Splits'!H$470:H$520)</f>
        <v>0</v>
      </c>
      <c r="AO73" s="627">
        <f>SUMIF('ISO w_System Splits'!$D$8:$D$615,$B73,'ISO w_System Splits'!I$8:I$615)-SUMIF('ISO w_System Splits'!$D$470:$D$520,$B73,'ISO w_System Splits'!I$470:I$520)</f>
        <v>0</v>
      </c>
      <c r="AP73" s="627">
        <f>SUMIF('ISO w_System Splits'!$D$8:$D$615,$B73,'ISO w_System Splits'!J$8:J$615)-SUMIF('ISO w_System Splits'!$D$470:$D$520,$B73,'ISO w_System Splits'!J$470:J$520)</f>
        <v>0</v>
      </c>
      <c r="AQ73" s="388"/>
      <c r="AR73" s="627">
        <v>0</v>
      </c>
      <c r="AS73" s="627">
        <v>0</v>
      </c>
      <c r="AT73" s="627">
        <v>0</v>
      </c>
      <c r="AW73" s="95">
        <f t="shared" si="27"/>
        <v>0</v>
      </c>
      <c r="AX73" s="95">
        <f t="shared" si="28"/>
        <v>0</v>
      </c>
      <c r="AY73" s="95">
        <f t="shared" si="29"/>
        <v>0</v>
      </c>
      <c r="BA73" s="95">
        <f t="shared" si="30"/>
        <v>0</v>
      </c>
      <c r="BB73" s="95">
        <f t="shared" si="31"/>
        <v>0</v>
      </c>
      <c r="BC73" s="95">
        <f t="shared" si="32"/>
        <v>0</v>
      </c>
    </row>
    <row r="74" spans="1:55" ht="15" customHeight="1" x14ac:dyDescent="0.25">
      <c r="A74" s="95" t="s">
        <v>525</v>
      </c>
      <c r="B74" s="357">
        <v>4605</v>
      </c>
      <c r="C74" s="626">
        <v>0</v>
      </c>
      <c r="D74" s="626">
        <v>235737.67</v>
      </c>
      <c r="E74" s="626">
        <v>0</v>
      </c>
      <c r="F74" s="626">
        <v>83844.39</v>
      </c>
      <c r="G74" s="626">
        <v>0</v>
      </c>
      <c r="H74" s="626">
        <v>0</v>
      </c>
      <c r="I74" s="627">
        <v>319582.06</v>
      </c>
      <c r="J74" s="628"/>
      <c r="K74" s="627">
        <v>0</v>
      </c>
      <c r="L74" s="627">
        <v>0</v>
      </c>
      <c r="M74" s="627">
        <v>0</v>
      </c>
      <c r="N74" s="627">
        <f>IF('Plant Total by Account'!$J$1=1,AF74,IF('Plant Total by Account'!$J$1=2,AN74,"Input Toggle"))</f>
        <v>0</v>
      </c>
      <c r="O74" s="627">
        <f>IF('Plant Total by Account'!$J$1=1,AG74,IF('Plant Total by Account'!$J$1=2,AO74,"Input Toggle"))</f>
        <v>0</v>
      </c>
      <c r="P74" s="627">
        <f>IF('Plant Total by Account'!$J$1=1,AH74,IF('Plant Total by Account'!$J$1=2,AP74,"Input Toggle"))</f>
        <v>0</v>
      </c>
      <c r="Q74" s="627">
        <f t="shared" si="24"/>
        <v>0</v>
      </c>
      <c r="R74" s="627">
        <f t="shared" si="25"/>
        <v>235737.67</v>
      </c>
      <c r="S74" s="627">
        <f t="shared" si="26"/>
        <v>0</v>
      </c>
      <c r="T74" s="388"/>
      <c r="U74" s="627">
        <v>0</v>
      </c>
      <c r="V74" s="627">
        <v>0</v>
      </c>
      <c r="W74" s="627">
        <v>0</v>
      </c>
      <c r="X74" s="627">
        <f>IF('Plant Total by Account'!$J$1=1,AJ74,IF('Plant Total by Account'!$J$1=2,AR74,"Input Toggle"))</f>
        <v>0</v>
      </c>
      <c r="Y74" s="627">
        <f>IF('Plant Total by Account'!$J$1=1,AK74,IF('Plant Total by Account'!$J$1=2,AS74,"Input Toggle"))</f>
        <v>0</v>
      </c>
      <c r="Z74" s="627">
        <f>IF('Plant Total by Account'!$J$1=1,AL74,IF('Plant Total by Account'!$J$1=2,AT74,"Input Toggle"))</f>
        <v>0</v>
      </c>
      <c r="AA74" s="627">
        <f t="shared" si="20"/>
        <v>83844.39</v>
      </c>
      <c r="AB74" s="627">
        <f t="shared" si="21"/>
        <v>0</v>
      </c>
      <c r="AC74" s="627">
        <f t="shared" si="22"/>
        <v>0</v>
      </c>
      <c r="AD74" s="388">
        <f t="shared" si="23"/>
        <v>0</v>
      </c>
      <c r="AE74" s="388"/>
      <c r="AF74" s="627">
        <f>SUMIF('ISO w_System Splits'!$D$8:$D$469,$B74,'ISO w_System Splits'!H$8:H$469)</f>
        <v>0</v>
      </c>
      <c r="AG74" s="627">
        <f>SUMIF('ISO w_System Splits'!$D$8:$D$469,$B74,'ISO w_System Splits'!I$8:I$469)</f>
        <v>0</v>
      </c>
      <c r="AH74" s="627">
        <f>SUMIF('ISO w_System Splits'!$D$8:$D$469,$B74,'ISO w_System Splits'!J$8:J$469)</f>
        <v>0</v>
      </c>
      <c r="AI74" s="388"/>
      <c r="AJ74" s="627">
        <v>0</v>
      </c>
      <c r="AK74" s="627">
        <v>0</v>
      </c>
      <c r="AL74" s="627">
        <v>0</v>
      </c>
      <c r="AM74" s="388"/>
      <c r="AN74" s="627">
        <f>SUMIF('ISO w_System Splits'!$D$8:$D$615,$B74,'ISO w_System Splits'!H$8:H$615)-SUMIF('ISO w_System Splits'!$D$470:$D$520,$B74,'ISO w_System Splits'!H$470:H$520)</f>
        <v>0</v>
      </c>
      <c r="AO74" s="627">
        <f>SUMIF('ISO w_System Splits'!$D$8:$D$615,$B74,'ISO w_System Splits'!I$8:I$615)-SUMIF('ISO w_System Splits'!$D$470:$D$520,$B74,'ISO w_System Splits'!I$470:I$520)</f>
        <v>0</v>
      </c>
      <c r="AP74" s="627">
        <f>SUMIF('ISO w_System Splits'!$D$8:$D$615,$B74,'ISO w_System Splits'!J$8:J$615)-SUMIF('ISO w_System Splits'!$D$470:$D$520,$B74,'ISO w_System Splits'!J$470:J$520)</f>
        <v>0</v>
      </c>
      <c r="AQ74" s="388"/>
      <c r="AR74" s="627">
        <v>0</v>
      </c>
      <c r="AS74" s="627">
        <v>0</v>
      </c>
      <c r="AT74" s="627">
        <v>0</v>
      </c>
      <c r="AW74" s="95">
        <f t="shared" si="27"/>
        <v>0</v>
      </c>
      <c r="AX74" s="95">
        <f t="shared" si="28"/>
        <v>0</v>
      </c>
      <c r="AY74" s="95">
        <f t="shared" si="29"/>
        <v>0</v>
      </c>
      <c r="BA74" s="95">
        <f t="shared" si="30"/>
        <v>0</v>
      </c>
      <c r="BB74" s="95">
        <f t="shared" si="31"/>
        <v>0</v>
      </c>
      <c r="BC74" s="95">
        <f t="shared" si="32"/>
        <v>0</v>
      </c>
    </row>
    <row r="75" spans="1:55" ht="15" customHeight="1" x14ac:dyDescent="0.25">
      <c r="A75" s="95" t="s">
        <v>1456</v>
      </c>
      <c r="B75" s="357">
        <v>4625</v>
      </c>
      <c r="C75" s="626">
        <v>0</v>
      </c>
      <c r="D75" s="626">
        <v>7825.3600000000006</v>
      </c>
      <c r="E75" s="626">
        <v>0</v>
      </c>
      <c r="F75" s="626">
        <v>0</v>
      </c>
      <c r="G75" s="626">
        <v>0</v>
      </c>
      <c r="H75" s="626">
        <v>0</v>
      </c>
      <c r="I75" s="627">
        <v>7825.3600000000006</v>
      </c>
      <c r="J75" s="628"/>
      <c r="K75" s="627">
        <v>0</v>
      </c>
      <c r="L75" s="627">
        <v>0</v>
      </c>
      <c r="M75" s="627">
        <v>0</v>
      </c>
      <c r="N75" s="627">
        <f>IF('Plant Total by Account'!$J$1=1,AF75,IF('Plant Total by Account'!$J$1=2,AN75,"Input Toggle"))</f>
        <v>0</v>
      </c>
      <c r="O75" s="627">
        <f>IF('Plant Total by Account'!$J$1=1,AG75,IF('Plant Total by Account'!$J$1=2,AO75,"Input Toggle"))</f>
        <v>0</v>
      </c>
      <c r="P75" s="627">
        <f>IF('Plant Total by Account'!$J$1=1,AH75,IF('Plant Total by Account'!$J$1=2,AP75,"Input Toggle"))</f>
        <v>0</v>
      </c>
      <c r="Q75" s="627">
        <f t="shared" si="24"/>
        <v>0</v>
      </c>
      <c r="R75" s="627">
        <f t="shared" si="25"/>
        <v>7825.3600000000006</v>
      </c>
      <c r="S75" s="627">
        <f t="shared" si="26"/>
        <v>0</v>
      </c>
      <c r="T75" s="388"/>
      <c r="U75" s="627">
        <v>0</v>
      </c>
      <c r="V75" s="627">
        <v>0</v>
      </c>
      <c r="W75" s="627">
        <v>0</v>
      </c>
      <c r="X75" s="627">
        <f>IF('Plant Total by Account'!$J$1=1,AJ75,IF('Plant Total by Account'!$J$1=2,AR75,"Input Toggle"))</f>
        <v>0</v>
      </c>
      <c r="Y75" s="627">
        <f>IF('Plant Total by Account'!$J$1=1,AK75,IF('Plant Total by Account'!$J$1=2,AS75,"Input Toggle"))</f>
        <v>0</v>
      </c>
      <c r="Z75" s="627">
        <f>IF('Plant Total by Account'!$J$1=1,AL75,IF('Plant Total by Account'!$J$1=2,AT75,"Input Toggle"))</f>
        <v>0</v>
      </c>
      <c r="AA75" s="627">
        <f t="shared" si="20"/>
        <v>0</v>
      </c>
      <c r="AB75" s="627">
        <f t="shared" si="21"/>
        <v>0</v>
      </c>
      <c r="AC75" s="627">
        <f t="shared" si="22"/>
        <v>0</v>
      </c>
      <c r="AD75" s="388">
        <f t="shared" si="23"/>
        <v>0</v>
      </c>
      <c r="AE75" s="388"/>
      <c r="AF75" s="627">
        <f>SUMIF('ISO w_System Splits'!$D$8:$D$469,$B75,'ISO w_System Splits'!H$8:H$469)</f>
        <v>0</v>
      </c>
      <c r="AG75" s="627">
        <f>SUMIF('ISO w_System Splits'!$D$8:$D$469,$B75,'ISO w_System Splits'!I$8:I$469)</f>
        <v>0</v>
      </c>
      <c r="AH75" s="627">
        <f>SUMIF('ISO w_System Splits'!$D$8:$D$469,$B75,'ISO w_System Splits'!J$8:J$469)</f>
        <v>0</v>
      </c>
      <c r="AI75" s="388"/>
      <c r="AJ75" s="627">
        <v>0</v>
      </c>
      <c r="AK75" s="627">
        <v>0</v>
      </c>
      <c r="AL75" s="627">
        <v>0</v>
      </c>
      <c r="AM75" s="388"/>
      <c r="AN75" s="627">
        <f>SUMIF('ISO w_System Splits'!$D$8:$D$615,$B75,'ISO w_System Splits'!H$8:H$615)-SUMIF('ISO w_System Splits'!$D$470:$D$520,$B75,'ISO w_System Splits'!H$470:H$520)</f>
        <v>0</v>
      </c>
      <c r="AO75" s="627">
        <f>SUMIF('ISO w_System Splits'!$D$8:$D$615,$B75,'ISO w_System Splits'!I$8:I$615)-SUMIF('ISO w_System Splits'!$D$470:$D$520,$B75,'ISO w_System Splits'!I$470:I$520)</f>
        <v>0</v>
      </c>
      <c r="AP75" s="627">
        <f>SUMIF('ISO w_System Splits'!$D$8:$D$615,$B75,'ISO w_System Splits'!J$8:J$615)-SUMIF('ISO w_System Splits'!$D$470:$D$520,$B75,'ISO w_System Splits'!J$470:J$520)</f>
        <v>0</v>
      </c>
      <c r="AQ75" s="388"/>
      <c r="AR75" s="627">
        <v>0</v>
      </c>
      <c r="AS75" s="627">
        <v>0</v>
      </c>
      <c r="AT75" s="627">
        <v>0</v>
      </c>
      <c r="AW75" s="95">
        <f t="shared" si="27"/>
        <v>0</v>
      </c>
      <c r="AX75" s="95">
        <f t="shared" si="28"/>
        <v>0</v>
      </c>
      <c r="AY75" s="95">
        <f t="shared" si="29"/>
        <v>0</v>
      </c>
      <c r="BA75" s="95">
        <f t="shared" si="30"/>
        <v>0</v>
      </c>
      <c r="BB75" s="95">
        <f t="shared" si="31"/>
        <v>0</v>
      </c>
      <c r="BC75" s="95">
        <f t="shared" si="32"/>
        <v>0</v>
      </c>
    </row>
    <row r="76" spans="1:55" ht="15" customHeight="1" x14ac:dyDescent="0.25">
      <c r="A76" s="95" t="s">
        <v>1443</v>
      </c>
      <c r="B76" s="357">
        <v>4700</v>
      </c>
      <c r="C76" s="626">
        <v>33304.81</v>
      </c>
      <c r="D76" s="626">
        <v>0</v>
      </c>
      <c r="E76" s="626">
        <v>1232.8699999999999</v>
      </c>
      <c r="F76" s="626">
        <v>0</v>
      </c>
      <c r="G76" s="626">
        <v>0</v>
      </c>
      <c r="H76" s="626">
        <v>0</v>
      </c>
      <c r="I76" s="627">
        <v>34537.68</v>
      </c>
      <c r="J76" s="628"/>
      <c r="K76" s="627">
        <v>0</v>
      </c>
      <c r="L76" s="627">
        <v>0</v>
      </c>
      <c r="M76" s="627">
        <v>0</v>
      </c>
      <c r="N76" s="627">
        <f>IF('Plant Total by Account'!$J$1=1,AF76,IF('Plant Total by Account'!$J$1=2,AN76,"Input Toggle"))</f>
        <v>0</v>
      </c>
      <c r="O76" s="627">
        <f>IF('Plant Total by Account'!$J$1=1,AG76,IF('Plant Total by Account'!$J$1=2,AO76,"Input Toggle"))</f>
        <v>0</v>
      </c>
      <c r="P76" s="627">
        <f>IF('Plant Total by Account'!$J$1=1,AH76,IF('Plant Total by Account'!$J$1=2,AP76,"Input Toggle"))</f>
        <v>0</v>
      </c>
      <c r="Q76" s="627">
        <f t="shared" si="24"/>
        <v>33304.81</v>
      </c>
      <c r="R76" s="627">
        <f t="shared" si="25"/>
        <v>0</v>
      </c>
      <c r="S76" s="627">
        <f t="shared" si="26"/>
        <v>1232.8699999999999</v>
      </c>
      <c r="T76" s="388"/>
      <c r="U76" s="627">
        <v>0</v>
      </c>
      <c r="V76" s="627">
        <v>0</v>
      </c>
      <c r="W76" s="627">
        <v>0</v>
      </c>
      <c r="X76" s="627">
        <f>IF('Plant Total by Account'!$J$1=1,AJ76,IF('Plant Total by Account'!$J$1=2,AR76,"Input Toggle"))</f>
        <v>0</v>
      </c>
      <c r="Y76" s="627">
        <f>IF('Plant Total by Account'!$J$1=1,AK76,IF('Plant Total by Account'!$J$1=2,AS76,"Input Toggle"))</f>
        <v>0</v>
      </c>
      <c r="Z76" s="627">
        <f>IF('Plant Total by Account'!$J$1=1,AL76,IF('Plant Total by Account'!$J$1=2,AT76,"Input Toggle"))</f>
        <v>0</v>
      </c>
      <c r="AA76" s="627">
        <f t="shared" si="20"/>
        <v>0</v>
      </c>
      <c r="AB76" s="627">
        <f t="shared" si="21"/>
        <v>0</v>
      </c>
      <c r="AC76" s="627">
        <f t="shared" si="22"/>
        <v>0</v>
      </c>
      <c r="AD76" s="388">
        <f t="shared" si="23"/>
        <v>0</v>
      </c>
      <c r="AE76" s="388"/>
      <c r="AF76" s="627">
        <f>SUMIF('ISO w_System Splits'!$D$8:$D$469,$B76,'ISO w_System Splits'!H$8:H$469)</f>
        <v>0</v>
      </c>
      <c r="AG76" s="627">
        <f>SUMIF('ISO w_System Splits'!$D$8:$D$469,$B76,'ISO w_System Splits'!I$8:I$469)</f>
        <v>0</v>
      </c>
      <c r="AH76" s="627">
        <f>SUMIF('ISO w_System Splits'!$D$8:$D$469,$B76,'ISO w_System Splits'!J$8:J$469)</f>
        <v>0</v>
      </c>
      <c r="AI76" s="388"/>
      <c r="AJ76" s="627">
        <v>0</v>
      </c>
      <c r="AK76" s="627">
        <v>0</v>
      </c>
      <c r="AL76" s="627">
        <v>0</v>
      </c>
      <c r="AM76" s="388"/>
      <c r="AN76" s="627">
        <f>SUMIF('ISO w_System Splits'!$D$8:$D$615,$B76,'ISO w_System Splits'!H$8:H$615)-SUMIF('ISO w_System Splits'!$D$470:$D$520,$B76,'ISO w_System Splits'!H$470:H$520)</f>
        <v>0</v>
      </c>
      <c r="AO76" s="627">
        <f>SUMIF('ISO w_System Splits'!$D$8:$D$615,$B76,'ISO w_System Splits'!I$8:I$615)-SUMIF('ISO w_System Splits'!$D$470:$D$520,$B76,'ISO w_System Splits'!I$470:I$520)</f>
        <v>0</v>
      </c>
      <c r="AP76" s="627">
        <f>SUMIF('ISO w_System Splits'!$D$8:$D$615,$B76,'ISO w_System Splits'!J$8:J$615)-SUMIF('ISO w_System Splits'!$D$470:$D$520,$B76,'ISO w_System Splits'!J$470:J$520)</f>
        <v>0</v>
      </c>
      <c r="AQ76" s="388"/>
      <c r="AR76" s="627">
        <v>0</v>
      </c>
      <c r="AS76" s="627">
        <v>0</v>
      </c>
      <c r="AT76" s="627">
        <v>0</v>
      </c>
      <c r="AW76" s="95">
        <f t="shared" si="27"/>
        <v>0</v>
      </c>
      <c r="AX76" s="95">
        <f t="shared" si="28"/>
        <v>0</v>
      </c>
      <c r="AY76" s="95">
        <f t="shared" si="29"/>
        <v>0</v>
      </c>
      <c r="BA76" s="95">
        <f t="shared" si="30"/>
        <v>0</v>
      </c>
      <c r="BB76" s="95">
        <f t="shared" si="31"/>
        <v>0</v>
      </c>
      <c r="BC76" s="95">
        <f t="shared" si="32"/>
        <v>0</v>
      </c>
    </row>
    <row r="77" spans="1:55" ht="15" customHeight="1" x14ac:dyDescent="0.25">
      <c r="A77" s="95" t="s">
        <v>1442</v>
      </c>
      <c r="B77" s="357">
        <v>4705</v>
      </c>
      <c r="C77" s="626">
        <v>243214.84000000003</v>
      </c>
      <c r="D77" s="626">
        <v>3295.58</v>
      </c>
      <c r="E77" s="626">
        <v>0</v>
      </c>
      <c r="F77" s="626">
        <v>0</v>
      </c>
      <c r="G77" s="626">
        <v>0</v>
      </c>
      <c r="H77" s="626">
        <v>0</v>
      </c>
      <c r="I77" s="627">
        <v>246510.42</v>
      </c>
      <c r="J77" s="628"/>
      <c r="K77" s="627">
        <v>0</v>
      </c>
      <c r="L77" s="627">
        <v>0</v>
      </c>
      <c r="M77" s="627">
        <v>0</v>
      </c>
      <c r="N77" s="627">
        <f>IF('Plant Total by Account'!$J$1=1,AF77,IF('Plant Total by Account'!$J$1=2,AN77,"Input Toggle"))</f>
        <v>94330.825096154091</v>
      </c>
      <c r="O77" s="627">
        <f>IF('Plant Total by Account'!$J$1=1,AG77,IF('Plant Total by Account'!$J$1=2,AO77,"Input Toggle"))</f>
        <v>1278.1900173952522</v>
      </c>
      <c r="P77" s="627">
        <f>IF('Plant Total by Account'!$J$1=1,AH77,IF('Plant Total by Account'!$J$1=2,AP77,"Input Toggle"))</f>
        <v>0</v>
      </c>
      <c r="Q77" s="627">
        <f t="shared" si="24"/>
        <v>148884.01490384593</v>
      </c>
      <c r="R77" s="627">
        <f t="shared" si="25"/>
        <v>2017.3899826047477</v>
      </c>
      <c r="S77" s="627">
        <f t="shared" si="26"/>
        <v>0</v>
      </c>
      <c r="T77" s="388"/>
      <c r="U77" s="627">
        <v>0</v>
      </c>
      <c r="V77" s="627">
        <v>0</v>
      </c>
      <c r="W77" s="627">
        <v>0</v>
      </c>
      <c r="X77" s="627">
        <f>IF('Plant Total by Account'!$J$1=1,AJ77,IF('Plant Total by Account'!$J$1=2,AR77,"Input Toggle"))</f>
        <v>0</v>
      </c>
      <c r="Y77" s="627">
        <f>IF('Plant Total by Account'!$J$1=1,AK77,IF('Plant Total by Account'!$J$1=2,AS77,"Input Toggle"))</f>
        <v>0</v>
      </c>
      <c r="Z77" s="627">
        <f>IF('Plant Total by Account'!$J$1=1,AL77,IF('Plant Total by Account'!$J$1=2,AT77,"Input Toggle"))</f>
        <v>0</v>
      </c>
      <c r="AA77" s="627">
        <f t="shared" si="20"/>
        <v>0</v>
      </c>
      <c r="AB77" s="627">
        <f t="shared" si="21"/>
        <v>0</v>
      </c>
      <c r="AC77" s="627">
        <f t="shared" si="22"/>
        <v>0</v>
      </c>
      <c r="AD77" s="388">
        <f t="shared" si="23"/>
        <v>0</v>
      </c>
      <c r="AE77" s="388"/>
      <c r="AF77" s="627">
        <f>SUMIF('ISO w_System Splits'!$D$8:$D$469,$B77,'ISO w_System Splits'!H$8:H$469)</f>
        <v>94330.825096154091</v>
      </c>
      <c r="AG77" s="627">
        <f>SUMIF('ISO w_System Splits'!$D$8:$D$469,$B77,'ISO w_System Splits'!I$8:I$469)</f>
        <v>1278.1900173952522</v>
      </c>
      <c r="AH77" s="627">
        <f>SUMIF('ISO w_System Splits'!$D$8:$D$469,$B77,'ISO w_System Splits'!J$8:J$469)</f>
        <v>0</v>
      </c>
      <c r="AI77" s="388"/>
      <c r="AJ77" s="627">
        <v>0</v>
      </c>
      <c r="AK77" s="627">
        <v>0</v>
      </c>
      <c r="AL77" s="627">
        <v>0</v>
      </c>
      <c r="AM77" s="388"/>
      <c r="AN77" s="627">
        <f>SUMIF('ISO w_System Splits'!$D$8:$D$615,$B77,'ISO w_System Splits'!H$8:H$615)-SUMIF('ISO w_System Splits'!$D$470:$D$520,$B77,'ISO w_System Splits'!H$470:H$520)</f>
        <v>94330.825096154091</v>
      </c>
      <c r="AO77" s="627">
        <f>SUMIF('ISO w_System Splits'!$D$8:$D$615,$B77,'ISO w_System Splits'!I$8:I$615)-SUMIF('ISO w_System Splits'!$D$470:$D$520,$B77,'ISO w_System Splits'!I$470:I$520)</f>
        <v>1278.1900173952522</v>
      </c>
      <c r="AP77" s="627">
        <f>SUMIF('ISO w_System Splits'!$D$8:$D$615,$B77,'ISO w_System Splits'!J$8:J$615)-SUMIF('ISO w_System Splits'!$D$470:$D$520,$B77,'ISO w_System Splits'!J$470:J$520)</f>
        <v>0</v>
      </c>
      <c r="AQ77" s="388"/>
      <c r="AR77" s="627">
        <v>0</v>
      </c>
      <c r="AS77" s="627">
        <v>0</v>
      </c>
      <c r="AT77" s="627">
        <v>0</v>
      </c>
      <c r="AW77" s="95">
        <f t="shared" si="27"/>
        <v>0</v>
      </c>
      <c r="AX77" s="95">
        <f t="shared" si="28"/>
        <v>0</v>
      </c>
      <c r="AY77" s="95">
        <f t="shared" si="29"/>
        <v>0</v>
      </c>
      <c r="BA77" s="95">
        <f t="shared" si="30"/>
        <v>0</v>
      </c>
      <c r="BB77" s="95">
        <f t="shared" si="31"/>
        <v>0</v>
      </c>
      <c r="BC77" s="95">
        <f t="shared" si="32"/>
        <v>0</v>
      </c>
    </row>
    <row r="78" spans="1:55" ht="15" customHeight="1" x14ac:dyDescent="0.25">
      <c r="A78" s="95" t="s">
        <v>526</v>
      </c>
      <c r="B78" s="357">
        <v>4730</v>
      </c>
      <c r="C78" s="626">
        <v>10584.86</v>
      </c>
      <c r="D78" s="626">
        <v>0</v>
      </c>
      <c r="E78" s="626">
        <v>0</v>
      </c>
      <c r="F78" s="626">
        <v>0</v>
      </c>
      <c r="G78" s="626">
        <v>0</v>
      </c>
      <c r="H78" s="626">
        <v>0</v>
      </c>
      <c r="I78" s="627">
        <v>10584.86</v>
      </c>
      <c r="J78" s="628"/>
      <c r="K78" s="627">
        <v>0</v>
      </c>
      <c r="L78" s="627">
        <v>0</v>
      </c>
      <c r="M78" s="627">
        <v>0</v>
      </c>
      <c r="N78" s="627">
        <f>IF('Plant Total by Account'!$J$1=1,AF78,IF('Plant Total by Account'!$J$1=2,AN78,"Input Toggle"))</f>
        <v>0</v>
      </c>
      <c r="O78" s="627">
        <f>IF('Plant Total by Account'!$J$1=1,AG78,IF('Plant Total by Account'!$J$1=2,AO78,"Input Toggle"))</f>
        <v>0</v>
      </c>
      <c r="P78" s="627">
        <f>IF('Plant Total by Account'!$J$1=1,AH78,IF('Plant Total by Account'!$J$1=2,AP78,"Input Toggle"))</f>
        <v>0</v>
      </c>
      <c r="Q78" s="627">
        <f t="shared" si="24"/>
        <v>10584.86</v>
      </c>
      <c r="R78" s="627">
        <f t="shared" si="25"/>
        <v>0</v>
      </c>
      <c r="S78" s="627">
        <f t="shared" si="26"/>
        <v>0</v>
      </c>
      <c r="T78" s="388"/>
      <c r="U78" s="627">
        <v>0</v>
      </c>
      <c r="V78" s="627">
        <v>0</v>
      </c>
      <c r="W78" s="627">
        <v>0</v>
      </c>
      <c r="X78" s="627">
        <f>IF('Plant Total by Account'!$J$1=1,AJ78,IF('Plant Total by Account'!$J$1=2,AR78,"Input Toggle"))</f>
        <v>0</v>
      </c>
      <c r="Y78" s="627">
        <f>IF('Plant Total by Account'!$J$1=1,AK78,IF('Plant Total by Account'!$J$1=2,AS78,"Input Toggle"))</f>
        <v>0</v>
      </c>
      <c r="Z78" s="627">
        <f>IF('Plant Total by Account'!$J$1=1,AL78,IF('Plant Total by Account'!$J$1=2,AT78,"Input Toggle"))</f>
        <v>0</v>
      </c>
      <c r="AA78" s="627">
        <f t="shared" si="20"/>
        <v>0</v>
      </c>
      <c r="AB78" s="627">
        <f t="shared" si="21"/>
        <v>0</v>
      </c>
      <c r="AC78" s="627">
        <f t="shared" si="22"/>
        <v>0</v>
      </c>
      <c r="AD78" s="388">
        <f t="shared" si="23"/>
        <v>0</v>
      </c>
      <c r="AE78" s="388"/>
      <c r="AF78" s="627">
        <f>SUMIF('ISO w_System Splits'!$D$8:$D$469,$B78,'ISO w_System Splits'!H$8:H$469)</f>
        <v>0</v>
      </c>
      <c r="AG78" s="627">
        <f>SUMIF('ISO w_System Splits'!$D$8:$D$469,$B78,'ISO w_System Splits'!I$8:I$469)</f>
        <v>0</v>
      </c>
      <c r="AH78" s="627">
        <f>SUMIF('ISO w_System Splits'!$D$8:$D$469,$B78,'ISO w_System Splits'!J$8:J$469)</f>
        <v>0</v>
      </c>
      <c r="AI78" s="388"/>
      <c r="AJ78" s="627">
        <v>0</v>
      </c>
      <c r="AK78" s="627">
        <v>0</v>
      </c>
      <c r="AL78" s="627">
        <v>0</v>
      </c>
      <c r="AM78" s="388"/>
      <c r="AN78" s="627">
        <f>SUMIF('ISO w_System Splits'!$D$8:$D$615,$B78,'ISO w_System Splits'!H$8:H$615)-SUMIF('ISO w_System Splits'!$D$470:$D$520,$B78,'ISO w_System Splits'!H$470:H$520)</f>
        <v>0</v>
      </c>
      <c r="AO78" s="627">
        <f>SUMIF('ISO w_System Splits'!$D$8:$D$615,$B78,'ISO w_System Splits'!I$8:I$615)-SUMIF('ISO w_System Splits'!$D$470:$D$520,$B78,'ISO w_System Splits'!I$470:I$520)</f>
        <v>0</v>
      </c>
      <c r="AP78" s="627">
        <f>SUMIF('ISO w_System Splits'!$D$8:$D$615,$B78,'ISO w_System Splits'!J$8:J$615)-SUMIF('ISO w_System Splits'!$D$470:$D$520,$B78,'ISO w_System Splits'!J$470:J$520)</f>
        <v>0</v>
      </c>
      <c r="AQ78" s="388"/>
      <c r="AR78" s="627">
        <v>0</v>
      </c>
      <c r="AS78" s="627">
        <v>0</v>
      </c>
      <c r="AT78" s="627">
        <v>0</v>
      </c>
      <c r="AW78" s="95">
        <f t="shared" si="27"/>
        <v>0</v>
      </c>
      <c r="AX78" s="95">
        <f t="shared" si="28"/>
        <v>0</v>
      </c>
      <c r="AY78" s="95">
        <f t="shared" si="29"/>
        <v>0</v>
      </c>
      <c r="BA78" s="95">
        <f t="shared" si="30"/>
        <v>0</v>
      </c>
      <c r="BB78" s="95">
        <f t="shared" si="31"/>
        <v>0</v>
      </c>
      <c r="BC78" s="95">
        <f t="shared" si="32"/>
        <v>0</v>
      </c>
    </row>
    <row r="79" spans="1:55" ht="15" customHeight="1" x14ac:dyDescent="0.25">
      <c r="A79" s="95" t="s">
        <v>527</v>
      </c>
      <c r="B79" s="357">
        <v>4735</v>
      </c>
      <c r="C79" s="626">
        <v>137.69999999999999</v>
      </c>
      <c r="D79" s="626">
        <v>0</v>
      </c>
      <c r="E79" s="626">
        <v>0</v>
      </c>
      <c r="F79" s="626">
        <v>0</v>
      </c>
      <c r="G79" s="626">
        <v>0</v>
      </c>
      <c r="H79" s="626">
        <v>0</v>
      </c>
      <c r="I79" s="627">
        <v>137.69999999999999</v>
      </c>
      <c r="J79" s="628"/>
      <c r="K79" s="627">
        <v>0</v>
      </c>
      <c r="L79" s="627">
        <v>0</v>
      </c>
      <c r="M79" s="627">
        <v>0</v>
      </c>
      <c r="N79" s="627">
        <f>IF('Plant Total by Account'!$J$1=1,AF79,IF('Plant Total by Account'!$J$1=2,AN79,"Input Toggle"))</f>
        <v>0</v>
      </c>
      <c r="O79" s="627">
        <f>IF('Plant Total by Account'!$J$1=1,AG79,IF('Plant Total by Account'!$J$1=2,AO79,"Input Toggle"))</f>
        <v>0</v>
      </c>
      <c r="P79" s="627">
        <f>IF('Plant Total by Account'!$J$1=1,AH79,IF('Plant Total by Account'!$J$1=2,AP79,"Input Toggle"))</f>
        <v>0</v>
      </c>
      <c r="Q79" s="627">
        <f t="shared" si="24"/>
        <v>137.69999999999999</v>
      </c>
      <c r="R79" s="627">
        <f t="shared" si="25"/>
        <v>0</v>
      </c>
      <c r="S79" s="627">
        <f t="shared" si="26"/>
        <v>0</v>
      </c>
      <c r="T79" s="388"/>
      <c r="U79" s="627">
        <v>0</v>
      </c>
      <c r="V79" s="627">
        <v>0</v>
      </c>
      <c r="W79" s="627">
        <v>0</v>
      </c>
      <c r="X79" s="627">
        <f>IF('Plant Total by Account'!$J$1=1,AJ79,IF('Plant Total by Account'!$J$1=2,AR79,"Input Toggle"))</f>
        <v>0</v>
      </c>
      <c r="Y79" s="627">
        <f>IF('Plant Total by Account'!$J$1=1,AK79,IF('Plant Total by Account'!$J$1=2,AS79,"Input Toggle"))</f>
        <v>0</v>
      </c>
      <c r="Z79" s="627">
        <f>IF('Plant Total by Account'!$J$1=1,AL79,IF('Plant Total by Account'!$J$1=2,AT79,"Input Toggle"))</f>
        <v>0</v>
      </c>
      <c r="AA79" s="627">
        <f t="shared" si="20"/>
        <v>0</v>
      </c>
      <c r="AB79" s="627">
        <f t="shared" si="21"/>
        <v>0</v>
      </c>
      <c r="AC79" s="627">
        <f t="shared" si="22"/>
        <v>0</v>
      </c>
      <c r="AD79" s="388">
        <f t="shared" si="23"/>
        <v>0</v>
      </c>
      <c r="AE79" s="388"/>
      <c r="AF79" s="627">
        <f>SUMIF('ISO w_System Splits'!$D$8:$D$469,$B79,'ISO w_System Splits'!H$8:H$469)</f>
        <v>0</v>
      </c>
      <c r="AG79" s="627">
        <f>SUMIF('ISO w_System Splits'!$D$8:$D$469,$B79,'ISO w_System Splits'!I$8:I$469)</f>
        <v>0</v>
      </c>
      <c r="AH79" s="627">
        <f>SUMIF('ISO w_System Splits'!$D$8:$D$469,$B79,'ISO w_System Splits'!J$8:J$469)</f>
        <v>0</v>
      </c>
      <c r="AI79" s="388"/>
      <c r="AJ79" s="627">
        <v>0</v>
      </c>
      <c r="AK79" s="627">
        <v>0</v>
      </c>
      <c r="AL79" s="627">
        <v>0</v>
      </c>
      <c r="AM79" s="388"/>
      <c r="AN79" s="627">
        <f>SUMIF('ISO w_System Splits'!$D$8:$D$615,$B79,'ISO w_System Splits'!H$8:H$615)-SUMIF('ISO w_System Splits'!$D$470:$D$520,$B79,'ISO w_System Splits'!H$470:H$520)</f>
        <v>0</v>
      </c>
      <c r="AO79" s="627">
        <f>SUMIF('ISO w_System Splits'!$D$8:$D$615,$B79,'ISO w_System Splits'!I$8:I$615)-SUMIF('ISO w_System Splits'!$D$470:$D$520,$B79,'ISO w_System Splits'!I$470:I$520)</f>
        <v>0</v>
      </c>
      <c r="AP79" s="627">
        <f>SUMIF('ISO w_System Splits'!$D$8:$D$615,$B79,'ISO w_System Splits'!J$8:J$615)-SUMIF('ISO w_System Splits'!$D$470:$D$520,$B79,'ISO w_System Splits'!J$470:J$520)</f>
        <v>0</v>
      </c>
      <c r="AQ79" s="388"/>
      <c r="AR79" s="627">
        <v>0</v>
      </c>
      <c r="AS79" s="627">
        <v>0</v>
      </c>
      <c r="AT79" s="627">
        <v>0</v>
      </c>
      <c r="AW79" s="95">
        <f t="shared" si="27"/>
        <v>0</v>
      </c>
      <c r="AX79" s="95">
        <f t="shared" si="28"/>
        <v>0</v>
      </c>
      <c r="AY79" s="95">
        <f t="shared" si="29"/>
        <v>0</v>
      </c>
      <c r="BA79" s="95">
        <f t="shared" si="30"/>
        <v>0</v>
      </c>
      <c r="BB79" s="95">
        <f t="shared" si="31"/>
        <v>0</v>
      </c>
      <c r="BC79" s="95">
        <f t="shared" si="32"/>
        <v>0</v>
      </c>
    </row>
    <row r="80" spans="1:55" ht="15" customHeight="1" x14ac:dyDescent="0.25">
      <c r="A80" s="95" t="s">
        <v>1445</v>
      </c>
      <c r="B80" s="357">
        <v>4750</v>
      </c>
      <c r="C80" s="626">
        <v>14315889.140000004</v>
      </c>
      <c r="D80" s="626">
        <v>2901.91</v>
      </c>
      <c r="E80" s="626">
        <v>173059.35</v>
      </c>
      <c r="F80" s="626">
        <v>0</v>
      </c>
      <c r="G80" s="626">
        <v>0</v>
      </c>
      <c r="H80" s="626">
        <v>0</v>
      </c>
      <c r="I80" s="627">
        <v>14491850.400000004</v>
      </c>
      <c r="J80" s="628"/>
      <c r="K80" s="627">
        <v>0</v>
      </c>
      <c r="L80" s="627">
        <v>0</v>
      </c>
      <c r="M80" s="627">
        <v>0</v>
      </c>
      <c r="N80" s="627">
        <f>IF('Plant Total by Account'!$J$1=1,AF80,IF('Plant Total by Account'!$J$1=2,AN80,"Input Toggle"))</f>
        <v>3933969.0247368701</v>
      </c>
      <c r="O80" s="627">
        <f>IF('Plant Total by Account'!$J$1=1,AG80,IF('Plant Total by Account'!$J$1=2,AO80,"Input Toggle"))</f>
        <v>796.905918808563</v>
      </c>
      <c r="P80" s="627">
        <f>IF('Plant Total by Account'!$J$1=1,AH80,IF('Plant Total by Account'!$J$1=2,AP80,"Input Toggle"))</f>
        <v>118008.8127454514</v>
      </c>
      <c r="Q80" s="627">
        <f t="shared" si="24"/>
        <v>10381920.115263134</v>
      </c>
      <c r="R80" s="627">
        <f t="shared" si="25"/>
        <v>2105.0040811914369</v>
      </c>
      <c r="S80" s="627">
        <f t="shared" si="26"/>
        <v>55050.537254548603</v>
      </c>
      <c r="T80" s="388"/>
      <c r="U80" s="627">
        <v>0</v>
      </c>
      <c r="V80" s="627">
        <v>0</v>
      </c>
      <c r="W80" s="627">
        <v>0</v>
      </c>
      <c r="X80" s="627">
        <f>IF('Plant Total by Account'!$J$1=1,AJ80,IF('Plant Total by Account'!$J$1=2,AR80,"Input Toggle"))</f>
        <v>0</v>
      </c>
      <c r="Y80" s="627">
        <f>IF('Plant Total by Account'!$J$1=1,AK80,IF('Plant Total by Account'!$J$1=2,AS80,"Input Toggle"))</f>
        <v>0</v>
      </c>
      <c r="Z80" s="627">
        <f>IF('Plant Total by Account'!$J$1=1,AL80,IF('Plant Total by Account'!$J$1=2,AT80,"Input Toggle"))</f>
        <v>0</v>
      </c>
      <c r="AA80" s="627">
        <f t="shared" si="20"/>
        <v>0</v>
      </c>
      <c r="AB80" s="627">
        <f t="shared" si="21"/>
        <v>0</v>
      </c>
      <c r="AC80" s="627">
        <f t="shared" si="22"/>
        <v>0</v>
      </c>
      <c r="AD80" s="388">
        <f t="shared" si="23"/>
        <v>0</v>
      </c>
      <c r="AE80" s="388"/>
      <c r="AF80" s="627">
        <f>SUMIF('ISO w_System Splits'!$D$8:$D$469,$B80,'ISO w_System Splits'!H$8:H$469)</f>
        <v>3933969.0247368715</v>
      </c>
      <c r="AG80" s="627">
        <f>SUMIF('ISO w_System Splits'!$D$8:$D$469,$B80,'ISO w_System Splits'!I$8:I$469)</f>
        <v>796.905918808563</v>
      </c>
      <c r="AH80" s="627">
        <f>SUMIF('ISO w_System Splits'!$D$8:$D$469,$B80,'ISO w_System Splits'!J$8:J$469)</f>
        <v>118008.81274545139</v>
      </c>
      <c r="AI80" s="388"/>
      <c r="AJ80" s="627">
        <v>0</v>
      </c>
      <c r="AK80" s="627">
        <v>0</v>
      </c>
      <c r="AL80" s="627">
        <v>0</v>
      </c>
      <c r="AM80" s="388"/>
      <c r="AN80" s="627">
        <f>SUMIF('ISO w_System Splits'!$D$8:$D$615,$B80,'ISO w_System Splits'!H$8:H$615)-SUMIF('ISO w_System Splits'!$D$470:$D$520,$B80,'ISO w_System Splits'!H$470:H$520)</f>
        <v>3933969.0247368701</v>
      </c>
      <c r="AO80" s="627">
        <f>SUMIF('ISO w_System Splits'!$D$8:$D$615,$B80,'ISO w_System Splits'!I$8:I$615)-SUMIF('ISO w_System Splits'!$D$470:$D$520,$B80,'ISO w_System Splits'!I$470:I$520)</f>
        <v>796.905918808563</v>
      </c>
      <c r="AP80" s="627">
        <f>SUMIF('ISO w_System Splits'!$D$8:$D$615,$B80,'ISO w_System Splits'!J$8:J$615)-SUMIF('ISO w_System Splits'!$D$470:$D$520,$B80,'ISO w_System Splits'!J$470:J$520)</f>
        <v>118008.8127454514</v>
      </c>
      <c r="AQ80" s="388"/>
      <c r="AR80" s="627">
        <v>0</v>
      </c>
      <c r="AS80" s="627">
        <v>0</v>
      </c>
      <c r="AT80" s="627">
        <v>0</v>
      </c>
      <c r="AV80" s="357">
        <v>1</v>
      </c>
      <c r="AW80" s="95">
        <f t="shared" si="27"/>
        <v>0</v>
      </c>
      <c r="AX80" s="95">
        <f t="shared" si="28"/>
        <v>0</v>
      </c>
      <c r="AY80" s="95">
        <f t="shared" si="29"/>
        <v>0</v>
      </c>
      <c r="BA80" s="95">
        <f t="shared" si="30"/>
        <v>0</v>
      </c>
      <c r="BB80" s="95">
        <f t="shared" si="31"/>
        <v>0</v>
      </c>
      <c r="BC80" s="95">
        <f t="shared" si="32"/>
        <v>0</v>
      </c>
    </row>
    <row r="81" spans="1:55" ht="15" customHeight="1" x14ac:dyDescent="0.25">
      <c r="A81" s="95" t="s">
        <v>1337</v>
      </c>
      <c r="B81" s="357">
        <v>4756</v>
      </c>
      <c r="C81" s="626">
        <v>1079576.73</v>
      </c>
      <c r="D81" s="626">
        <v>0</v>
      </c>
      <c r="E81" s="626">
        <v>0</v>
      </c>
      <c r="F81" s="626">
        <v>0</v>
      </c>
      <c r="G81" s="626">
        <v>0</v>
      </c>
      <c r="H81" s="626">
        <v>0</v>
      </c>
      <c r="I81" s="627">
        <v>1079576.73</v>
      </c>
      <c r="J81" s="628"/>
      <c r="K81" s="627">
        <v>0</v>
      </c>
      <c r="L81" s="627">
        <v>0</v>
      </c>
      <c r="M81" s="627">
        <v>0</v>
      </c>
      <c r="N81" s="627">
        <f>IF('Plant Total by Account'!$J$1=1,AF81,IF('Plant Total by Account'!$J$1=2,AN81,"Input Toggle"))</f>
        <v>1079559.0700921258</v>
      </c>
      <c r="O81" s="627">
        <f>IF('Plant Total by Account'!$J$1=1,AG81,IF('Plant Total by Account'!$J$1=2,AO81,"Input Toggle"))</f>
        <v>0</v>
      </c>
      <c r="P81" s="627">
        <f>IF('Plant Total by Account'!$J$1=1,AH81,IF('Plant Total by Account'!$J$1=2,AP81,"Input Toggle"))</f>
        <v>0</v>
      </c>
      <c r="Q81" s="627">
        <f t="shared" si="24"/>
        <v>17.659907874185592</v>
      </c>
      <c r="R81" s="627">
        <f t="shared" si="25"/>
        <v>0</v>
      </c>
      <c r="S81" s="627">
        <f t="shared" si="26"/>
        <v>0</v>
      </c>
      <c r="T81" s="388"/>
      <c r="U81" s="627">
        <v>0</v>
      </c>
      <c r="V81" s="627">
        <v>0</v>
      </c>
      <c r="W81" s="627">
        <v>0</v>
      </c>
      <c r="X81" s="627">
        <f>IF('Plant Total by Account'!$J$1=1,AJ81,IF('Plant Total by Account'!$J$1=2,AR81,"Input Toggle"))</f>
        <v>0</v>
      </c>
      <c r="Y81" s="627">
        <f>IF('Plant Total by Account'!$J$1=1,AK81,IF('Plant Total by Account'!$J$1=2,AS81,"Input Toggle"))</f>
        <v>0</v>
      </c>
      <c r="Z81" s="627">
        <f>IF('Plant Total by Account'!$J$1=1,AL81,IF('Plant Total by Account'!$J$1=2,AT81,"Input Toggle"))</f>
        <v>0</v>
      </c>
      <c r="AA81" s="627">
        <f t="shared" si="20"/>
        <v>0</v>
      </c>
      <c r="AB81" s="627">
        <f t="shared" si="21"/>
        <v>0</v>
      </c>
      <c r="AC81" s="627">
        <f t="shared" si="22"/>
        <v>0</v>
      </c>
      <c r="AD81" s="388">
        <f t="shared" si="23"/>
        <v>0</v>
      </c>
      <c r="AE81" s="388"/>
      <c r="AF81" s="627">
        <f>SUMIF('ISO w_System Splits'!$D$8:$D$469,$B81,'ISO w_System Splits'!H$8:H$469)</f>
        <v>1079559.0700921258</v>
      </c>
      <c r="AG81" s="627">
        <f>SUMIF('ISO w_System Splits'!$D$8:$D$469,$B81,'ISO w_System Splits'!I$8:I$469)</f>
        <v>0</v>
      </c>
      <c r="AH81" s="627">
        <f>SUMIF('ISO w_System Splits'!$D$8:$D$469,$B81,'ISO w_System Splits'!J$8:J$469)</f>
        <v>0</v>
      </c>
      <c r="AI81" s="388"/>
      <c r="AJ81" s="627">
        <v>0</v>
      </c>
      <c r="AK81" s="627">
        <v>0</v>
      </c>
      <c r="AL81" s="627">
        <v>0</v>
      </c>
      <c r="AM81" s="388"/>
      <c r="AN81" s="627">
        <f>SUMIF('ISO w_System Splits'!$D$8:$D$615,$B81,'ISO w_System Splits'!H$8:H$615)-SUMIF('ISO w_System Splits'!$D$470:$D$520,$B81,'ISO w_System Splits'!H$470:H$520)</f>
        <v>1079559.0700921258</v>
      </c>
      <c r="AO81" s="627">
        <f>SUMIF('ISO w_System Splits'!$D$8:$D$615,$B81,'ISO w_System Splits'!I$8:I$615)-SUMIF('ISO w_System Splits'!$D$470:$D$520,$B81,'ISO w_System Splits'!I$470:I$520)</f>
        <v>0</v>
      </c>
      <c r="AP81" s="627">
        <f>SUMIF('ISO w_System Splits'!$D$8:$D$615,$B81,'ISO w_System Splits'!J$8:J$615)-SUMIF('ISO w_System Splits'!$D$470:$D$520,$B81,'ISO w_System Splits'!J$470:J$520)</f>
        <v>0</v>
      </c>
      <c r="AQ81" s="388"/>
      <c r="AR81" s="627">
        <v>0</v>
      </c>
      <c r="AS81" s="627">
        <v>0</v>
      </c>
      <c r="AT81" s="627">
        <v>0</v>
      </c>
      <c r="AW81" s="95">
        <f t="shared" si="27"/>
        <v>0</v>
      </c>
      <c r="AX81" s="95">
        <f t="shared" si="28"/>
        <v>0</v>
      </c>
      <c r="AY81" s="95">
        <f t="shared" si="29"/>
        <v>0</v>
      </c>
      <c r="BA81" s="95">
        <f t="shared" si="30"/>
        <v>0</v>
      </c>
      <c r="BB81" s="95">
        <f t="shared" si="31"/>
        <v>0</v>
      </c>
      <c r="BC81" s="95">
        <f t="shared" si="32"/>
        <v>0</v>
      </c>
    </row>
    <row r="82" spans="1:55" ht="15" customHeight="1" x14ac:dyDescent="0.25">
      <c r="A82" s="95" t="s">
        <v>1338</v>
      </c>
      <c r="B82" s="357">
        <v>4759</v>
      </c>
      <c r="C82" s="626">
        <v>33310</v>
      </c>
      <c r="D82" s="626">
        <v>0</v>
      </c>
      <c r="E82" s="626">
        <v>0</v>
      </c>
      <c r="F82" s="626">
        <v>0</v>
      </c>
      <c r="G82" s="626">
        <v>0</v>
      </c>
      <c r="H82" s="626">
        <v>0</v>
      </c>
      <c r="I82" s="627">
        <v>33310</v>
      </c>
      <c r="J82" s="628"/>
      <c r="K82" s="627">
        <v>0</v>
      </c>
      <c r="L82" s="627">
        <v>0</v>
      </c>
      <c r="M82" s="627">
        <v>0</v>
      </c>
      <c r="N82" s="627">
        <f>IF('Plant Total by Account'!$J$1=1,AF82,IF('Plant Total by Account'!$J$1=2,AN82,"Input Toggle"))</f>
        <v>33310</v>
      </c>
      <c r="O82" s="627">
        <f>IF('Plant Total by Account'!$J$1=1,AG82,IF('Plant Total by Account'!$J$1=2,AO82,"Input Toggle"))</f>
        <v>0</v>
      </c>
      <c r="P82" s="627">
        <f>IF('Plant Total by Account'!$J$1=1,AH82,IF('Plant Total by Account'!$J$1=2,AP82,"Input Toggle"))</f>
        <v>0</v>
      </c>
      <c r="Q82" s="627">
        <f t="shared" si="24"/>
        <v>0</v>
      </c>
      <c r="R82" s="627">
        <f t="shared" si="25"/>
        <v>0</v>
      </c>
      <c r="S82" s="627">
        <f t="shared" si="26"/>
        <v>0</v>
      </c>
      <c r="T82" s="388"/>
      <c r="U82" s="627">
        <v>0</v>
      </c>
      <c r="V82" s="627">
        <v>0</v>
      </c>
      <c r="W82" s="627">
        <v>0</v>
      </c>
      <c r="X82" s="627">
        <f>IF('Plant Total by Account'!$J$1=1,AJ82,IF('Plant Total by Account'!$J$1=2,AR82,"Input Toggle"))</f>
        <v>0</v>
      </c>
      <c r="Y82" s="627">
        <f>IF('Plant Total by Account'!$J$1=1,AK82,IF('Plant Total by Account'!$J$1=2,AS82,"Input Toggle"))</f>
        <v>0</v>
      </c>
      <c r="Z82" s="627">
        <f>IF('Plant Total by Account'!$J$1=1,AL82,IF('Plant Total by Account'!$J$1=2,AT82,"Input Toggle"))</f>
        <v>0</v>
      </c>
      <c r="AA82" s="627">
        <f t="shared" si="20"/>
        <v>0</v>
      </c>
      <c r="AB82" s="627">
        <f t="shared" si="21"/>
        <v>0</v>
      </c>
      <c r="AC82" s="627">
        <f t="shared" si="22"/>
        <v>0</v>
      </c>
      <c r="AD82" s="388">
        <f t="shared" si="23"/>
        <v>0</v>
      </c>
      <c r="AE82" s="388"/>
      <c r="AF82" s="627">
        <f>SUMIF('ISO w_System Splits'!$D$8:$D$469,$B82,'ISO w_System Splits'!H$8:H$469)</f>
        <v>33310</v>
      </c>
      <c r="AG82" s="627">
        <f>SUMIF('ISO w_System Splits'!$D$8:$D$469,$B82,'ISO w_System Splits'!I$8:I$469)</f>
        <v>0</v>
      </c>
      <c r="AH82" s="627">
        <f>SUMIF('ISO w_System Splits'!$D$8:$D$469,$B82,'ISO w_System Splits'!J$8:J$469)</f>
        <v>0</v>
      </c>
      <c r="AI82" s="388"/>
      <c r="AJ82" s="627">
        <v>0</v>
      </c>
      <c r="AK82" s="627">
        <v>0</v>
      </c>
      <c r="AL82" s="627">
        <v>0</v>
      </c>
      <c r="AM82" s="388"/>
      <c r="AN82" s="627">
        <f>SUMIF('ISO w_System Splits'!$D$8:$D$615,$B82,'ISO w_System Splits'!H$8:H$615)-SUMIF('ISO w_System Splits'!$D$470:$D$520,$B82,'ISO w_System Splits'!H$470:H$520)</f>
        <v>33310</v>
      </c>
      <c r="AO82" s="627">
        <f>SUMIF('ISO w_System Splits'!$D$8:$D$615,$B82,'ISO w_System Splits'!I$8:I$615)-SUMIF('ISO w_System Splits'!$D$470:$D$520,$B82,'ISO w_System Splits'!I$470:I$520)</f>
        <v>0</v>
      </c>
      <c r="AP82" s="627">
        <f>SUMIF('ISO w_System Splits'!$D$8:$D$615,$B82,'ISO w_System Splits'!J$8:J$615)-SUMIF('ISO w_System Splits'!$D$470:$D$520,$B82,'ISO w_System Splits'!J$470:J$520)</f>
        <v>0</v>
      </c>
      <c r="AQ82" s="388"/>
      <c r="AR82" s="627">
        <v>0</v>
      </c>
      <c r="AS82" s="627">
        <v>0</v>
      </c>
      <c r="AT82" s="627">
        <v>0</v>
      </c>
      <c r="AW82" s="95">
        <f t="shared" si="27"/>
        <v>0</v>
      </c>
      <c r="AX82" s="95">
        <f t="shared" si="28"/>
        <v>0</v>
      </c>
      <c r="AY82" s="95">
        <f t="shared" si="29"/>
        <v>0</v>
      </c>
      <c r="BA82" s="95">
        <f t="shared" si="30"/>
        <v>0</v>
      </c>
      <c r="BB82" s="95">
        <f t="shared" si="31"/>
        <v>0</v>
      </c>
      <c r="BC82" s="95">
        <f t="shared" si="32"/>
        <v>0</v>
      </c>
    </row>
    <row r="83" spans="1:55" ht="15" customHeight="1" x14ac:dyDescent="0.25">
      <c r="A83" s="95" t="s">
        <v>1339</v>
      </c>
      <c r="B83" s="357">
        <v>4781</v>
      </c>
      <c r="C83" s="626">
        <v>1277.33</v>
      </c>
      <c r="D83" s="626">
        <v>0</v>
      </c>
      <c r="E83" s="626">
        <v>0</v>
      </c>
      <c r="F83" s="626">
        <v>0</v>
      </c>
      <c r="G83" s="626">
        <v>0</v>
      </c>
      <c r="H83" s="626">
        <v>0</v>
      </c>
      <c r="I83" s="627">
        <v>1277.33</v>
      </c>
      <c r="J83" s="628"/>
      <c r="K83" s="627">
        <v>0</v>
      </c>
      <c r="L83" s="627">
        <v>0</v>
      </c>
      <c r="M83" s="627">
        <v>0</v>
      </c>
      <c r="N83" s="627">
        <f>IF('Plant Total by Account'!$J$1=1,AF83,IF('Plant Total by Account'!$J$1=2,AN83,"Input Toggle"))</f>
        <v>1277.33</v>
      </c>
      <c r="O83" s="627">
        <f>IF('Plant Total by Account'!$J$1=1,AG83,IF('Plant Total by Account'!$J$1=2,AO83,"Input Toggle"))</f>
        <v>0</v>
      </c>
      <c r="P83" s="627">
        <f>IF('Plant Total by Account'!$J$1=1,AH83,IF('Plant Total by Account'!$J$1=2,AP83,"Input Toggle"))</f>
        <v>0</v>
      </c>
      <c r="Q83" s="627">
        <f t="shared" si="24"/>
        <v>0</v>
      </c>
      <c r="R83" s="627">
        <f t="shared" si="25"/>
        <v>0</v>
      </c>
      <c r="S83" s="627">
        <f t="shared" si="26"/>
        <v>0</v>
      </c>
      <c r="T83" s="388"/>
      <c r="U83" s="627">
        <v>0</v>
      </c>
      <c r="V83" s="627">
        <v>0</v>
      </c>
      <c r="W83" s="627">
        <v>0</v>
      </c>
      <c r="X83" s="627">
        <f>IF('Plant Total by Account'!$J$1=1,AJ83,IF('Plant Total by Account'!$J$1=2,AR83,"Input Toggle"))</f>
        <v>0</v>
      </c>
      <c r="Y83" s="627">
        <f>IF('Plant Total by Account'!$J$1=1,AK83,IF('Plant Total by Account'!$J$1=2,AS83,"Input Toggle"))</f>
        <v>0</v>
      </c>
      <c r="Z83" s="627">
        <f>IF('Plant Total by Account'!$J$1=1,AL83,IF('Plant Total by Account'!$J$1=2,AT83,"Input Toggle"))</f>
        <v>0</v>
      </c>
      <c r="AA83" s="627">
        <f t="shared" si="20"/>
        <v>0</v>
      </c>
      <c r="AB83" s="627">
        <f t="shared" si="21"/>
        <v>0</v>
      </c>
      <c r="AC83" s="627">
        <f t="shared" si="22"/>
        <v>0</v>
      </c>
      <c r="AD83" s="388">
        <f t="shared" si="23"/>
        <v>0</v>
      </c>
      <c r="AE83" s="388"/>
      <c r="AF83" s="627">
        <f>SUMIF('ISO w_System Splits'!$D$8:$D$469,$B83,'ISO w_System Splits'!H$8:H$469)</f>
        <v>1277.33</v>
      </c>
      <c r="AG83" s="627">
        <f>SUMIF('ISO w_System Splits'!$D$8:$D$469,$B83,'ISO w_System Splits'!I$8:I$469)</f>
        <v>0</v>
      </c>
      <c r="AH83" s="627">
        <f>SUMIF('ISO w_System Splits'!$D$8:$D$469,$B83,'ISO w_System Splits'!J$8:J$469)</f>
        <v>0</v>
      </c>
      <c r="AI83" s="388"/>
      <c r="AJ83" s="627">
        <v>0</v>
      </c>
      <c r="AK83" s="627">
        <v>0</v>
      </c>
      <c r="AL83" s="627">
        <v>0</v>
      </c>
      <c r="AM83" s="388"/>
      <c r="AN83" s="627">
        <f>SUMIF('ISO w_System Splits'!$D$8:$D$615,$B83,'ISO w_System Splits'!H$8:H$615)-SUMIF('ISO w_System Splits'!$D$470:$D$520,$B83,'ISO w_System Splits'!H$470:H$520)</f>
        <v>1277.33</v>
      </c>
      <c r="AO83" s="627">
        <f>SUMIF('ISO w_System Splits'!$D$8:$D$615,$B83,'ISO w_System Splits'!I$8:I$615)-SUMIF('ISO w_System Splits'!$D$470:$D$520,$B83,'ISO w_System Splits'!I$470:I$520)</f>
        <v>0</v>
      </c>
      <c r="AP83" s="627">
        <f>SUMIF('ISO w_System Splits'!$D$8:$D$615,$B83,'ISO w_System Splits'!J$8:J$615)-SUMIF('ISO w_System Splits'!$D$470:$D$520,$B83,'ISO w_System Splits'!J$470:J$520)</f>
        <v>0</v>
      </c>
      <c r="AQ83" s="388"/>
      <c r="AR83" s="627">
        <v>0</v>
      </c>
      <c r="AS83" s="627">
        <v>0</v>
      </c>
      <c r="AT83" s="627">
        <v>0</v>
      </c>
      <c r="AW83" s="95">
        <f t="shared" si="27"/>
        <v>0</v>
      </c>
      <c r="AX83" s="95">
        <f t="shared" si="28"/>
        <v>0</v>
      </c>
      <c r="AY83" s="95">
        <f t="shared" si="29"/>
        <v>0</v>
      </c>
      <c r="BA83" s="95">
        <f t="shared" si="30"/>
        <v>0</v>
      </c>
      <c r="BB83" s="95">
        <f t="shared" si="31"/>
        <v>0</v>
      </c>
      <c r="BC83" s="95">
        <f t="shared" si="32"/>
        <v>0</v>
      </c>
    </row>
    <row r="84" spans="1:55" ht="15" customHeight="1" x14ac:dyDescent="0.25">
      <c r="A84" s="95" t="s">
        <v>1340</v>
      </c>
      <c r="B84" s="357">
        <v>4782</v>
      </c>
      <c r="C84" s="626">
        <v>165196.31000000003</v>
      </c>
      <c r="D84" s="626">
        <v>0</v>
      </c>
      <c r="E84" s="626">
        <v>0</v>
      </c>
      <c r="F84" s="626">
        <v>0</v>
      </c>
      <c r="G84" s="626">
        <v>0</v>
      </c>
      <c r="H84" s="626">
        <v>0</v>
      </c>
      <c r="I84" s="627">
        <v>165196.31000000003</v>
      </c>
      <c r="J84" s="628"/>
      <c r="K84" s="627">
        <v>0</v>
      </c>
      <c r="L84" s="627">
        <v>0</v>
      </c>
      <c r="M84" s="627">
        <v>0</v>
      </c>
      <c r="N84" s="627">
        <f>IF('Plant Total by Account'!$J$1=1,AF84,IF('Plant Total by Account'!$J$1=2,AN84,"Input Toggle"))</f>
        <v>165196.31</v>
      </c>
      <c r="O84" s="627">
        <f>IF('Plant Total by Account'!$J$1=1,AG84,IF('Plant Total by Account'!$J$1=2,AO84,"Input Toggle"))</f>
        <v>0</v>
      </c>
      <c r="P84" s="627">
        <f>IF('Plant Total by Account'!$J$1=1,AH84,IF('Plant Total by Account'!$J$1=2,AP84,"Input Toggle"))</f>
        <v>0</v>
      </c>
      <c r="Q84" s="627">
        <f t="shared" si="24"/>
        <v>0</v>
      </c>
      <c r="R84" s="627">
        <f t="shared" si="25"/>
        <v>0</v>
      </c>
      <c r="S84" s="627">
        <f t="shared" si="26"/>
        <v>0</v>
      </c>
      <c r="T84" s="388"/>
      <c r="U84" s="627">
        <v>0</v>
      </c>
      <c r="V84" s="627">
        <v>0</v>
      </c>
      <c r="W84" s="627">
        <v>0</v>
      </c>
      <c r="X84" s="627">
        <f>IF('Plant Total by Account'!$J$1=1,AJ84,IF('Plant Total by Account'!$J$1=2,AR84,"Input Toggle"))</f>
        <v>0</v>
      </c>
      <c r="Y84" s="627">
        <f>IF('Plant Total by Account'!$J$1=1,AK84,IF('Plant Total by Account'!$J$1=2,AS84,"Input Toggle"))</f>
        <v>0</v>
      </c>
      <c r="Z84" s="627">
        <f>IF('Plant Total by Account'!$J$1=1,AL84,IF('Plant Total by Account'!$J$1=2,AT84,"Input Toggle"))</f>
        <v>0</v>
      </c>
      <c r="AA84" s="627">
        <f t="shared" si="20"/>
        <v>0</v>
      </c>
      <c r="AB84" s="627">
        <f t="shared" si="21"/>
        <v>0</v>
      </c>
      <c r="AC84" s="627">
        <f t="shared" si="22"/>
        <v>0</v>
      </c>
      <c r="AD84" s="388">
        <f t="shared" si="23"/>
        <v>0</v>
      </c>
      <c r="AE84" s="388"/>
      <c r="AF84" s="627">
        <f>SUMIF('ISO w_System Splits'!$D$8:$D$469,$B84,'ISO w_System Splits'!H$8:H$469)</f>
        <v>165196.31</v>
      </c>
      <c r="AG84" s="627">
        <f>SUMIF('ISO w_System Splits'!$D$8:$D$469,$B84,'ISO w_System Splits'!I$8:I$469)</f>
        <v>0</v>
      </c>
      <c r="AH84" s="627">
        <f>SUMIF('ISO w_System Splits'!$D$8:$D$469,$B84,'ISO w_System Splits'!J$8:J$469)</f>
        <v>0</v>
      </c>
      <c r="AI84" s="388"/>
      <c r="AJ84" s="627">
        <v>0</v>
      </c>
      <c r="AK84" s="627">
        <v>0</v>
      </c>
      <c r="AL84" s="627">
        <v>0</v>
      </c>
      <c r="AM84" s="388"/>
      <c r="AN84" s="627">
        <f>SUMIF('ISO w_System Splits'!$D$8:$D$615,$B84,'ISO w_System Splits'!H$8:H$615)-SUMIF('ISO w_System Splits'!$D$470:$D$520,$B84,'ISO w_System Splits'!H$470:H$520)</f>
        <v>165196.31</v>
      </c>
      <c r="AO84" s="627">
        <f>SUMIF('ISO w_System Splits'!$D$8:$D$615,$B84,'ISO w_System Splits'!I$8:I$615)-SUMIF('ISO w_System Splits'!$D$470:$D$520,$B84,'ISO w_System Splits'!I$470:I$520)</f>
        <v>0</v>
      </c>
      <c r="AP84" s="627">
        <f>SUMIF('ISO w_System Splits'!$D$8:$D$615,$B84,'ISO w_System Splits'!J$8:J$615)-SUMIF('ISO w_System Splits'!$D$470:$D$520,$B84,'ISO w_System Splits'!J$470:J$520)</f>
        <v>0</v>
      </c>
      <c r="AQ84" s="388"/>
      <c r="AR84" s="627">
        <v>0</v>
      </c>
      <c r="AS84" s="627">
        <v>0</v>
      </c>
      <c r="AT84" s="627">
        <v>0</v>
      </c>
      <c r="AW84" s="95">
        <f t="shared" si="27"/>
        <v>0</v>
      </c>
      <c r="AX84" s="95">
        <f t="shared" si="28"/>
        <v>0</v>
      </c>
      <c r="AY84" s="95">
        <f t="shared" si="29"/>
        <v>0</v>
      </c>
      <c r="BA84" s="95">
        <f t="shared" si="30"/>
        <v>0</v>
      </c>
      <c r="BB84" s="95">
        <f t="shared" si="31"/>
        <v>0</v>
      </c>
      <c r="BC84" s="95">
        <f t="shared" si="32"/>
        <v>0</v>
      </c>
    </row>
    <row r="85" spans="1:55" x14ac:dyDescent="0.25">
      <c r="J85" s="18"/>
    </row>
    <row r="86" spans="1:55" x14ac:dyDescent="0.25">
      <c r="J86" s="18"/>
    </row>
    <row r="87" spans="1:55" x14ac:dyDescent="0.25">
      <c r="J87" s="18"/>
    </row>
    <row r="88" spans="1:55" x14ac:dyDescent="0.25">
      <c r="J88" s="18"/>
    </row>
  </sheetData>
  <autoFilter ref="A4:AV84"/>
  <mergeCells count="15">
    <mergeCell ref="C2:I2"/>
    <mergeCell ref="K2:M2"/>
    <mergeCell ref="N2:P2"/>
    <mergeCell ref="Q2:S2"/>
    <mergeCell ref="AW3:AY3"/>
    <mergeCell ref="BA3:BC3"/>
    <mergeCell ref="U2:W2"/>
    <mergeCell ref="X2:Z2"/>
    <mergeCell ref="AA2:AC2"/>
    <mergeCell ref="AN3:AP3"/>
    <mergeCell ref="AR3:AT3"/>
    <mergeCell ref="AN2:AT2"/>
    <mergeCell ref="AF2:AL2"/>
    <mergeCell ref="AF3:AH3"/>
    <mergeCell ref="AJ3:AL3"/>
  </mergeCells>
  <phoneticPr fontId="19" type="noConversion"/>
  <conditionalFormatting sqref="J72">
    <cfRule type="cellIs" dxfId="4" priority="1" stopIfTrue="1" operator="equal">
      <formula>$B68</formula>
    </cfRule>
  </conditionalFormatting>
  <conditionalFormatting sqref="J75">
    <cfRule type="cellIs" dxfId="3" priority="2" stopIfTrue="1" operator="equal">
      <formula>$B69</formula>
    </cfRule>
  </conditionalFormatting>
  <conditionalFormatting sqref="J78">
    <cfRule type="cellIs" dxfId="2" priority="3" stopIfTrue="1" operator="equal">
      <formula>$B70</formula>
    </cfRule>
  </conditionalFormatting>
  <conditionalFormatting sqref="J80:J81">
    <cfRule type="cellIs" dxfId="1" priority="4" stopIfTrue="1" operator="equal">
      <formula>$B71</formula>
    </cfRule>
  </conditionalFormatting>
  <conditionalFormatting sqref="J83:J84">
    <cfRule type="cellIs" dxfId="0" priority="5" stopIfTrue="1" operator="equal">
      <formula>$B73</formula>
    </cfRule>
  </conditionalFormatting>
  <printOptions horizontalCentered="1"/>
  <pageMargins left="0.25" right="0.25" top="0.75" bottom="0.75" header="0.3" footer="0.3"/>
  <pageSetup scale="55" orientation="portrait" r:id="rId1"/>
  <headerFooter alignWithMargins="0">
    <oddHeader>&amp;RWP- Plant Study 2011
&amp;P of &amp;N</oddHeader>
    <oddFooter>&amp;C&amp;A</oddFooter>
  </headerFooter>
  <colBreaks count="7" manualBreakCount="7">
    <brk id="9" max="1048575" man="1"/>
    <brk id="16" max="1048575" man="1"/>
    <brk id="20" max="1048575" man="1"/>
    <brk id="26" max="1048575" man="1"/>
    <brk id="31" max="1048575" man="1"/>
    <brk id="39" max="1048575" man="1"/>
    <brk id="46" max="8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BP49"/>
  <sheetViews>
    <sheetView zoomScale="70" zoomScaleNormal="70" zoomScaleSheetLayoutView="70" zoomScalePageLayoutView="60" workbookViewId="0"/>
  </sheetViews>
  <sheetFormatPr defaultColWidth="12" defaultRowHeight="12.75" outlineLevelCol="1" x14ac:dyDescent="0.2"/>
  <cols>
    <col min="1" max="1" width="21" style="91" customWidth="1"/>
    <col min="2" max="2" width="9.5703125" style="232" bestFit="1" customWidth="1"/>
    <col min="3" max="3" width="4.85546875" style="91" hidden="1" customWidth="1" outlineLevel="1"/>
    <col min="4" max="4" width="9.28515625" style="92" hidden="1" customWidth="1" outlineLevel="1"/>
    <col min="5" max="5" width="4.85546875" style="91" hidden="1" customWidth="1" outlineLevel="1"/>
    <col min="6" max="6" width="11" style="92" hidden="1" customWidth="1" outlineLevel="1"/>
    <col min="7" max="7" width="12.7109375" style="92" hidden="1" customWidth="1" outlineLevel="1"/>
    <col min="8" max="8" width="10" style="92" hidden="1" customWidth="1" outlineLevel="1"/>
    <col min="9" max="9" width="12.42578125" style="92" hidden="1" customWidth="1" outlineLevel="1"/>
    <col min="10" max="10" width="12.7109375" style="92" hidden="1" customWidth="1" outlineLevel="1"/>
    <col min="11" max="12" width="13.5703125" style="92" hidden="1" customWidth="1" outlineLevel="1"/>
    <col min="13" max="13" width="12.7109375" style="92" hidden="1" customWidth="1" outlineLevel="1"/>
    <col min="14" max="14" width="13.5703125" style="92" hidden="1" customWidth="1" outlineLevel="1"/>
    <col min="15" max="15" width="3.140625" style="92" hidden="1" customWidth="1" outlineLevel="1"/>
    <col min="16" max="16" width="11" style="92" hidden="1" customWidth="1" outlineLevel="1"/>
    <col min="17" max="17" width="12.7109375" style="92" hidden="1" customWidth="1" outlineLevel="1"/>
    <col min="18" max="18" width="10" style="92" hidden="1" customWidth="1" outlineLevel="1"/>
    <col min="19" max="19" width="11" style="92" hidden="1" customWidth="1" outlineLevel="1"/>
    <col min="20" max="20" width="12.7109375" style="92" hidden="1" customWidth="1" outlineLevel="1"/>
    <col min="21" max="22" width="12.42578125" style="92" hidden="1" customWidth="1" outlineLevel="1"/>
    <col min="23" max="23" width="12.7109375" style="92" hidden="1" customWidth="1" outlineLevel="1"/>
    <col min="24" max="24" width="12.42578125" style="92" hidden="1" customWidth="1" outlineLevel="1"/>
    <col min="25" max="25" width="1.42578125" style="91" hidden="1" customWidth="1" outlineLevel="1"/>
    <col min="26" max="26" width="14" style="91" customWidth="1" collapsed="1"/>
    <col min="27" max="27" width="2.7109375" style="91" customWidth="1"/>
    <col min="28" max="32" width="14" style="91" customWidth="1"/>
    <col min="33" max="33" width="18.85546875" style="91" bestFit="1" customWidth="1"/>
    <col min="34" max="36" width="14" style="91" customWidth="1"/>
    <col min="37" max="37" width="3.140625" style="91" customWidth="1"/>
    <col min="38" max="40" width="12" style="91" customWidth="1"/>
    <col min="41" max="41" width="12.140625" style="91" bestFit="1" customWidth="1"/>
    <col min="42" max="42" width="12.7109375" style="91" bestFit="1" customWidth="1"/>
    <col min="43" max="44" width="13.85546875" style="91" bestFit="1" customWidth="1"/>
    <col min="45" max="45" width="15" style="91" bestFit="1" customWidth="1"/>
    <col min="46" max="46" width="16" style="91" bestFit="1" customWidth="1"/>
    <col min="47" max="47" width="2.28515625" style="91" customWidth="1"/>
    <col min="48" max="48" width="13.140625" style="91" bestFit="1" customWidth="1"/>
    <col min="49" max="49" width="0.85546875" style="91" customWidth="1"/>
    <col min="50" max="58" width="12" style="91"/>
    <col min="59" max="59" width="1.28515625" style="91" customWidth="1"/>
    <col min="60" max="16384" width="12" style="91"/>
  </cols>
  <sheetData>
    <row r="1" spans="1:68" ht="13.5" customHeight="1" thickBot="1" x14ac:dyDescent="0.25"/>
    <row r="2" spans="1:68" ht="21" thickBot="1" x14ac:dyDescent="0.35">
      <c r="A2" s="633" t="s">
        <v>990</v>
      </c>
      <c r="B2" s="233" t="s">
        <v>1482</v>
      </c>
      <c r="D2" s="723" t="s">
        <v>112</v>
      </c>
      <c r="E2" s="724"/>
      <c r="F2" s="724"/>
      <c r="G2" s="724"/>
      <c r="H2" s="724"/>
      <c r="I2" s="724"/>
      <c r="J2" s="724"/>
      <c r="K2" s="724"/>
      <c r="L2" s="724"/>
      <c r="M2" s="724"/>
      <c r="N2" s="724"/>
      <c r="O2" s="724"/>
      <c r="P2" s="724"/>
      <c r="Q2" s="724"/>
      <c r="R2" s="724"/>
      <c r="S2" s="724"/>
      <c r="T2" s="724"/>
      <c r="U2" s="724"/>
      <c r="V2" s="724"/>
      <c r="W2" s="724"/>
      <c r="X2" s="725"/>
      <c r="Z2" s="630" t="s">
        <v>113</v>
      </c>
      <c r="AA2" s="631"/>
      <c r="AB2" s="631"/>
      <c r="AC2" s="631"/>
      <c r="AD2" s="631"/>
      <c r="AE2" s="631"/>
      <c r="AF2" s="631"/>
      <c r="AG2" s="631"/>
      <c r="AH2" s="631"/>
      <c r="AI2" s="631"/>
      <c r="AJ2" s="631"/>
      <c r="AK2" s="631"/>
      <c r="AL2" s="631"/>
      <c r="AM2" s="631"/>
      <c r="AN2" s="631"/>
      <c r="AO2" s="631"/>
      <c r="AP2" s="631"/>
      <c r="AQ2" s="631"/>
      <c r="AR2" s="631"/>
      <c r="AS2" s="631"/>
      <c r="AT2" s="632"/>
    </row>
    <row r="3" spans="1:68" ht="15.75" thickBot="1" x14ac:dyDescent="0.3">
      <c r="B3" s="234"/>
      <c r="F3" s="102"/>
      <c r="G3" s="102"/>
      <c r="H3" s="102"/>
      <c r="I3" s="102"/>
      <c r="K3" s="102"/>
      <c r="L3" s="102"/>
      <c r="M3" s="102"/>
      <c r="N3" s="102"/>
      <c r="P3" s="94"/>
      <c r="Q3" s="94"/>
      <c r="R3" s="94"/>
      <c r="S3" s="94"/>
      <c r="V3" s="94"/>
      <c r="W3" s="94"/>
      <c r="X3" s="94"/>
    </row>
    <row r="4" spans="1:68" ht="13.5" customHeight="1" thickBot="1" x14ac:dyDescent="0.25">
      <c r="B4" s="234"/>
      <c r="D4" s="104" t="s">
        <v>114</v>
      </c>
      <c r="F4" s="720" t="s">
        <v>799</v>
      </c>
      <c r="G4" s="721"/>
      <c r="H4" s="722"/>
      <c r="I4" s="720" t="s">
        <v>800</v>
      </c>
      <c r="J4" s="721"/>
      <c r="K4" s="722"/>
      <c r="L4" s="720" t="s">
        <v>119</v>
      </c>
      <c r="M4" s="721"/>
      <c r="N4" s="722"/>
      <c r="P4" s="720" t="s">
        <v>799</v>
      </c>
      <c r="Q4" s="721"/>
      <c r="R4" s="722"/>
      <c r="S4" s="720" t="s">
        <v>800</v>
      </c>
      <c r="T4" s="721"/>
      <c r="U4" s="722"/>
      <c r="V4" s="720" t="s">
        <v>119</v>
      </c>
      <c r="W4" s="721"/>
      <c r="X4" s="722"/>
      <c r="Z4" s="104" t="s">
        <v>114</v>
      </c>
      <c r="AB4" s="720" t="s">
        <v>799</v>
      </c>
      <c r="AC4" s="721"/>
      <c r="AD4" s="722"/>
      <c r="AE4" s="720" t="s">
        <v>800</v>
      </c>
      <c r="AF4" s="721"/>
      <c r="AG4" s="722"/>
      <c r="AH4" s="720" t="s">
        <v>119</v>
      </c>
      <c r="AI4" s="721"/>
      <c r="AJ4" s="722"/>
      <c r="AK4" s="92"/>
      <c r="AL4" s="720" t="s">
        <v>799</v>
      </c>
      <c r="AM4" s="721"/>
      <c r="AN4" s="722"/>
      <c r="AO4" s="720" t="s">
        <v>800</v>
      </c>
      <c r="AP4" s="721"/>
      <c r="AQ4" s="722"/>
      <c r="AR4" s="720" t="s">
        <v>119</v>
      </c>
      <c r="AS4" s="721"/>
      <c r="AT4" s="722"/>
      <c r="AX4" s="720" t="s">
        <v>799</v>
      </c>
      <c r="AY4" s="721"/>
      <c r="AZ4" s="722"/>
      <c r="BA4" s="720" t="s">
        <v>800</v>
      </c>
      <c r="BB4" s="721"/>
      <c r="BC4" s="722"/>
      <c r="BD4" s="720" t="s">
        <v>119</v>
      </c>
      <c r="BE4" s="721"/>
      <c r="BF4" s="722"/>
      <c r="BG4" s="92"/>
      <c r="BH4" s="720" t="s">
        <v>799</v>
      </c>
      <c r="BI4" s="721"/>
      <c r="BJ4" s="722"/>
      <c r="BK4" s="720" t="s">
        <v>800</v>
      </c>
      <c r="BL4" s="721"/>
      <c r="BM4" s="722"/>
      <c r="BN4" s="720" t="s">
        <v>119</v>
      </c>
      <c r="BO4" s="721"/>
      <c r="BP4" s="722"/>
    </row>
    <row r="5" spans="1:68" x14ac:dyDescent="0.2">
      <c r="B5" s="234"/>
      <c r="F5" s="92" t="s">
        <v>999</v>
      </c>
      <c r="G5" s="92" t="s">
        <v>996</v>
      </c>
      <c r="H5" s="92" t="s">
        <v>997</v>
      </c>
      <c r="I5" s="92" t="s">
        <v>999</v>
      </c>
      <c r="J5" s="92" t="s">
        <v>996</v>
      </c>
      <c r="K5" s="103" t="s">
        <v>997</v>
      </c>
      <c r="L5" s="103" t="s">
        <v>999</v>
      </c>
      <c r="M5" s="103" t="s">
        <v>996</v>
      </c>
      <c r="N5" s="103" t="s">
        <v>997</v>
      </c>
      <c r="P5" s="92" t="s">
        <v>1446</v>
      </c>
      <c r="Q5" s="92" t="s">
        <v>1458</v>
      </c>
      <c r="R5" s="92" t="s">
        <v>1459</v>
      </c>
      <c r="S5" s="92" t="s">
        <v>1446</v>
      </c>
      <c r="T5" s="92" t="s">
        <v>1458</v>
      </c>
      <c r="U5" s="92" t="s">
        <v>1459</v>
      </c>
      <c r="V5" s="92" t="s">
        <v>1446</v>
      </c>
      <c r="W5" s="92" t="s">
        <v>1458</v>
      </c>
      <c r="X5" s="92" t="s">
        <v>1459</v>
      </c>
      <c r="AB5" s="92" t="s">
        <v>999</v>
      </c>
      <c r="AC5" s="92" t="s">
        <v>996</v>
      </c>
      <c r="AD5" s="92" t="s">
        <v>997</v>
      </c>
      <c r="AE5" s="92" t="s">
        <v>999</v>
      </c>
      <c r="AF5" s="92" t="s">
        <v>996</v>
      </c>
      <c r="AG5" s="103" t="s">
        <v>997</v>
      </c>
      <c r="AH5" s="103" t="s">
        <v>999</v>
      </c>
      <c r="AI5" s="103" t="s">
        <v>996</v>
      </c>
      <c r="AJ5" s="103" t="s">
        <v>997</v>
      </c>
      <c r="AK5" s="92"/>
      <c r="AL5" s="92" t="s">
        <v>1446</v>
      </c>
      <c r="AM5" s="92" t="s">
        <v>1458</v>
      </c>
      <c r="AN5" s="92" t="s">
        <v>1459</v>
      </c>
      <c r="AO5" s="92" t="s">
        <v>1446</v>
      </c>
      <c r="AP5" s="92" t="s">
        <v>1458</v>
      </c>
      <c r="AQ5" s="92" t="s">
        <v>1459</v>
      </c>
      <c r="AR5" s="92" t="s">
        <v>1446</v>
      </c>
      <c r="AS5" s="92" t="s">
        <v>1458</v>
      </c>
      <c r="AT5" s="92" t="s">
        <v>1459</v>
      </c>
      <c r="AX5" s="92" t="s">
        <v>999</v>
      </c>
      <c r="AY5" s="92" t="s">
        <v>996</v>
      </c>
      <c r="AZ5" s="92" t="s">
        <v>997</v>
      </c>
      <c r="BA5" s="92" t="s">
        <v>999</v>
      </c>
      <c r="BB5" s="92" t="s">
        <v>996</v>
      </c>
      <c r="BC5" s="103" t="s">
        <v>997</v>
      </c>
      <c r="BD5" s="103" t="s">
        <v>999</v>
      </c>
      <c r="BE5" s="103" t="s">
        <v>996</v>
      </c>
      <c r="BF5" s="103" t="s">
        <v>997</v>
      </c>
      <c r="BG5" s="92"/>
      <c r="BH5" s="92" t="s">
        <v>1446</v>
      </c>
      <c r="BI5" s="92" t="s">
        <v>1458</v>
      </c>
      <c r="BJ5" s="92" t="s">
        <v>1459</v>
      </c>
      <c r="BK5" s="92" t="s">
        <v>1446</v>
      </c>
      <c r="BL5" s="92" t="s">
        <v>1458</v>
      </c>
      <c r="BM5" s="92" t="s">
        <v>1459</v>
      </c>
      <c r="BN5" s="92" t="s">
        <v>1446</v>
      </c>
      <c r="BO5" s="92" t="s">
        <v>1458</v>
      </c>
      <c r="BP5" s="92" t="s">
        <v>1459</v>
      </c>
    </row>
    <row r="6" spans="1:68" x14ac:dyDescent="0.2">
      <c r="B6" s="234"/>
      <c r="K6" s="103"/>
      <c r="L6" s="103"/>
      <c r="M6" s="103"/>
      <c r="N6" s="103"/>
      <c r="AB6" s="92"/>
      <c r="AC6" s="92"/>
      <c r="AD6" s="92"/>
      <c r="AE6" s="92"/>
      <c r="AF6" s="92"/>
      <c r="AG6" s="92"/>
      <c r="AH6" s="92"/>
      <c r="AI6" s="92"/>
      <c r="AJ6" s="92"/>
      <c r="AK6" s="92"/>
      <c r="AL6" s="92"/>
      <c r="AM6" s="92"/>
      <c r="AN6" s="92"/>
      <c r="AO6" s="92"/>
      <c r="AP6" s="92"/>
      <c r="AQ6" s="92"/>
      <c r="AR6" s="92"/>
      <c r="AS6" s="92"/>
      <c r="AT6" s="92"/>
    </row>
    <row r="7" spans="1:68" ht="15" x14ac:dyDescent="0.25">
      <c r="A7" s="93" t="s">
        <v>3347</v>
      </c>
      <c r="B7" s="234">
        <v>5365</v>
      </c>
      <c r="C7" s="92">
        <v>1</v>
      </c>
      <c r="D7" s="93" t="s">
        <v>1428</v>
      </c>
      <c r="F7" s="105">
        <v>0</v>
      </c>
      <c r="G7" s="105">
        <v>0</v>
      </c>
      <c r="H7" s="105">
        <v>0</v>
      </c>
      <c r="I7" s="105">
        <v>0</v>
      </c>
      <c r="J7" s="105">
        <v>0</v>
      </c>
      <c r="K7" s="105">
        <v>0</v>
      </c>
      <c r="L7" s="105">
        <f>SUMIF('TS by Location'!$B$36:$B$470,$B7,'TS by Location'!$D$36:$D$473)</f>
        <v>24167.43</v>
      </c>
      <c r="M7" s="105">
        <f>SUMIF('TS by Location'!$B$36:$B$470,$B7,'TS by Location'!$E$36:$E$473)</f>
        <v>0</v>
      </c>
      <c r="N7" s="105">
        <f>SUMIF('TS by Location'!$B$36:$B$470,$B7,'TS by Location'!$F$36:$F$473)</f>
        <v>0</v>
      </c>
      <c r="O7" s="310"/>
      <c r="P7" s="106">
        <v>0</v>
      </c>
      <c r="Q7" s="106">
        <v>0</v>
      </c>
      <c r="R7" s="106">
        <v>0</v>
      </c>
      <c r="S7" s="106">
        <v>0</v>
      </c>
      <c r="T7" s="106">
        <v>0</v>
      </c>
      <c r="U7" s="106">
        <v>0</v>
      </c>
      <c r="V7" s="106">
        <f>SUMIF('DS by Location'!$B$10:$B$859,$B7,'DS by Location'!$D$10:$D$859)</f>
        <v>466445.89</v>
      </c>
      <c r="W7" s="106">
        <f>SUMIF('DS by Location'!$B$10:$B$859,$B7,'DS by Location'!$E$10:$E$859)</f>
        <v>2122529.77</v>
      </c>
      <c r="X7" s="106">
        <f>SUMIF('DS by Location'!$B$10:$B$859,$B7,'DS by Location'!$F$10:$F$859)</f>
        <v>8512832.879999999</v>
      </c>
      <c r="Z7" s="93" t="s">
        <v>1483</v>
      </c>
      <c r="AB7" s="283">
        <v>0</v>
      </c>
      <c r="AC7" s="283">
        <v>0</v>
      </c>
      <c r="AD7" s="283">
        <v>0</v>
      </c>
      <c r="AE7" s="311">
        <v>3768.4967583776702</v>
      </c>
      <c r="AF7" s="105">
        <v>0</v>
      </c>
      <c r="AG7" s="105">
        <v>0</v>
      </c>
      <c r="AH7" s="311">
        <v>20398.93324162233</v>
      </c>
      <c r="AI7" s="105">
        <v>0</v>
      </c>
      <c r="AJ7" s="105">
        <v>0</v>
      </c>
      <c r="AK7" s="106"/>
      <c r="AL7" s="106">
        <v>0</v>
      </c>
      <c r="AM7" s="106">
        <v>0</v>
      </c>
      <c r="AN7" s="106">
        <v>0</v>
      </c>
      <c r="AO7" s="106">
        <v>72734.24705993096</v>
      </c>
      <c r="AP7" s="106">
        <v>372807.21491069789</v>
      </c>
      <c r="AQ7" s="106">
        <v>1285595.4232968381</v>
      </c>
      <c r="AR7" s="106">
        <v>393711.64294006902</v>
      </c>
      <c r="AS7" s="106">
        <v>1749722.5550893019</v>
      </c>
      <c r="AT7" s="106">
        <v>7227237.4567031618</v>
      </c>
      <c r="AV7" s="107">
        <f>SUM(F7:X7)-SUM(AB7:AT7)</f>
        <v>0</v>
      </c>
      <c r="AX7" s="634">
        <f t="shared" ref="AX7:AX28" si="0">F:F-AB:AB</f>
        <v>0</v>
      </c>
      <c r="AY7" s="634">
        <f t="shared" ref="AY7:AY28" si="1">G:G-AC:AC</f>
        <v>0</v>
      </c>
      <c r="AZ7" s="634">
        <f t="shared" ref="AZ7:AZ28" si="2">H:H-AD:AD</f>
        <v>0</v>
      </c>
      <c r="BA7" s="634">
        <f t="shared" ref="BA7:BA28" si="3">I:I-AE:AE</f>
        <v>-3768.4967583776702</v>
      </c>
      <c r="BB7" s="634">
        <f t="shared" ref="BB7:BB28" si="4">J:J-AF:AF</f>
        <v>0</v>
      </c>
      <c r="BC7" s="634">
        <f t="shared" ref="BC7:BC28" si="5">K:K-AG:AG</f>
        <v>0</v>
      </c>
      <c r="BD7" s="634">
        <f t="shared" ref="BD7:BD28" si="6">L:L-AH:AH</f>
        <v>3768.4967583776706</v>
      </c>
      <c r="BE7" s="634">
        <f t="shared" ref="BE7:BE28" si="7">M:M-AI:AI</f>
        <v>0</v>
      </c>
      <c r="BF7" s="634">
        <f t="shared" ref="BF7:BF28" si="8">N:N-AJ:AJ</f>
        <v>0</v>
      </c>
      <c r="BG7" s="634"/>
      <c r="BH7" s="634">
        <f t="shared" ref="BH7:BH28" si="9">P:P-AL:AL</f>
        <v>0</v>
      </c>
      <c r="BI7" s="634">
        <f t="shared" ref="BI7:BI28" si="10">Q:Q-AM:AM</f>
        <v>0</v>
      </c>
      <c r="BJ7" s="634">
        <f t="shared" ref="BJ7:BJ28" si="11">R:R-AN:AN</f>
        <v>0</v>
      </c>
      <c r="BK7" s="634">
        <f t="shared" ref="BK7:BK28" si="12">S:S-AO:AO</f>
        <v>-72734.24705993096</v>
      </c>
      <c r="BL7" s="634">
        <f t="shared" ref="BL7:BL28" si="13">T:T-AP:AP</f>
        <v>-372807.21491069789</v>
      </c>
      <c r="BM7" s="634">
        <f t="shared" ref="BM7:BM28" si="14">U:U-AQ:AQ</f>
        <v>-1285595.4232968381</v>
      </c>
      <c r="BN7" s="634">
        <f t="shared" ref="BN7:BN28" si="15">V:V-AR:AR</f>
        <v>72734.247059930989</v>
      </c>
      <c r="BO7" s="634">
        <f t="shared" ref="BO7:BO28" si="16">W:W-AS:AS</f>
        <v>372807.21491069812</v>
      </c>
      <c r="BP7" s="634">
        <f t="shared" ref="BP7:BP28" si="17">X:X-AT:AT</f>
        <v>1285595.4232968371</v>
      </c>
    </row>
    <row r="8" spans="1:68" ht="15" x14ac:dyDescent="0.25">
      <c r="A8" s="91" t="s">
        <v>1298</v>
      </c>
      <c r="B8" s="234">
        <v>5539</v>
      </c>
      <c r="C8" s="92">
        <v>1</v>
      </c>
      <c r="D8" s="93" t="s">
        <v>1428</v>
      </c>
      <c r="F8" s="105">
        <v>0</v>
      </c>
      <c r="G8" s="105">
        <v>0</v>
      </c>
      <c r="H8" s="105">
        <v>0</v>
      </c>
      <c r="I8" s="105">
        <v>0</v>
      </c>
      <c r="J8" s="105">
        <v>0</v>
      </c>
      <c r="K8" s="105">
        <v>0</v>
      </c>
      <c r="L8" s="105">
        <f>SUMIF('TS by Location'!$B$36:$B$470,$B8,'TS by Location'!$D$36:$D$473)</f>
        <v>0</v>
      </c>
      <c r="M8" s="105">
        <f>SUMIF('TS by Location'!$B$36:$B$470,$B8,'TS by Location'!$E$36:$E$473)</f>
        <v>0</v>
      </c>
      <c r="N8" s="105">
        <f>SUMIF('TS by Location'!$B$36:$B$470,$B8,'TS by Location'!$F$36:$F$473)</f>
        <v>0</v>
      </c>
      <c r="O8" s="310"/>
      <c r="P8" s="106">
        <v>0</v>
      </c>
      <c r="Q8" s="106">
        <v>0</v>
      </c>
      <c r="R8" s="106">
        <v>0</v>
      </c>
      <c r="S8" s="106">
        <v>0</v>
      </c>
      <c r="T8" s="106">
        <v>0</v>
      </c>
      <c r="U8" s="106">
        <v>0</v>
      </c>
      <c r="V8" s="106">
        <f>SUMIF('DS by Location'!$B$10:$B$859,$B8,'DS by Location'!$D$10:$D$859)</f>
        <v>157.24</v>
      </c>
      <c r="W8" s="106">
        <f>SUMIF('DS by Location'!$B$10:$B$859,$B8,'DS by Location'!$E$10:$E$859)</f>
        <v>740624.81</v>
      </c>
      <c r="X8" s="106">
        <f>SUMIF('DS by Location'!$B$10:$B$859,$B8,'DS by Location'!$F$10:$F$859)</f>
        <v>9961714.4300000053</v>
      </c>
      <c r="Z8" s="93" t="s">
        <v>1483</v>
      </c>
      <c r="AB8" s="105">
        <v>0</v>
      </c>
      <c r="AC8" s="105">
        <v>0</v>
      </c>
      <c r="AD8" s="105">
        <v>0</v>
      </c>
      <c r="AE8" s="105">
        <v>0</v>
      </c>
      <c r="AF8" s="105">
        <v>0</v>
      </c>
      <c r="AG8" s="105">
        <v>0</v>
      </c>
      <c r="AH8" s="105">
        <v>0</v>
      </c>
      <c r="AI8" s="105">
        <v>0</v>
      </c>
      <c r="AJ8" s="105">
        <v>0</v>
      </c>
      <c r="AK8" s="106"/>
      <c r="AL8" s="106">
        <v>0</v>
      </c>
      <c r="AM8" s="106">
        <v>0</v>
      </c>
      <c r="AN8" s="106">
        <v>0</v>
      </c>
      <c r="AO8" s="106">
        <v>1.0846391520791885</v>
      </c>
      <c r="AP8" s="106">
        <v>5108.8187861053793</v>
      </c>
      <c r="AQ8" s="106">
        <v>68715.756121916958</v>
      </c>
      <c r="AR8" s="106">
        <v>156.15536084792083</v>
      </c>
      <c r="AS8" s="106">
        <v>735515.99121389457</v>
      </c>
      <c r="AT8" s="106">
        <v>9892998.6738780886</v>
      </c>
      <c r="AV8" s="107">
        <f>SUM(F8:X8)-SUM(AB8:AT8)</f>
        <v>0</v>
      </c>
      <c r="AX8" s="634">
        <f t="shared" si="0"/>
        <v>0</v>
      </c>
      <c r="AY8" s="634">
        <f t="shared" si="1"/>
        <v>0</v>
      </c>
      <c r="AZ8" s="634">
        <f t="shared" si="2"/>
        <v>0</v>
      </c>
      <c r="BA8" s="634">
        <f t="shared" si="3"/>
        <v>0</v>
      </c>
      <c r="BB8" s="634">
        <f t="shared" si="4"/>
        <v>0</v>
      </c>
      <c r="BC8" s="634">
        <f t="shared" si="5"/>
        <v>0</v>
      </c>
      <c r="BD8" s="634">
        <f t="shared" si="6"/>
        <v>0</v>
      </c>
      <c r="BE8" s="634">
        <f t="shared" si="7"/>
        <v>0</v>
      </c>
      <c r="BF8" s="634">
        <f t="shared" si="8"/>
        <v>0</v>
      </c>
      <c r="BG8" s="634"/>
      <c r="BH8" s="634">
        <f t="shared" si="9"/>
        <v>0</v>
      </c>
      <c r="BI8" s="634">
        <f t="shared" si="10"/>
        <v>0</v>
      </c>
      <c r="BJ8" s="634">
        <f t="shared" si="11"/>
        <v>0</v>
      </c>
      <c r="BK8" s="634">
        <f t="shared" si="12"/>
        <v>-1.0846391520791885</v>
      </c>
      <c r="BL8" s="634">
        <f t="shared" si="13"/>
        <v>-5108.8187861053793</v>
      </c>
      <c r="BM8" s="634">
        <f t="shared" si="14"/>
        <v>-68715.756121916958</v>
      </c>
      <c r="BN8" s="634">
        <f t="shared" si="15"/>
        <v>1.0846391520791769</v>
      </c>
      <c r="BO8" s="634">
        <f t="shared" si="16"/>
        <v>5108.8187861054903</v>
      </c>
      <c r="BP8" s="634">
        <f t="shared" si="17"/>
        <v>68715.756121916696</v>
      </c>
    </row>
    <row r="9" spans="1:68" ht="15" x14ac:dyDescent="0.25">
      <c r="A9" s="91" t="s">
        <v>1299</v>
      </c>
      <c r="B9" s="234">
        <v>5599</v>
      </c>
      <c r="C9" s="92">
        <v>1</v>
      </c>
      <c r="D9" s="93" t="s">
        <v>1428</v>
      </c>
      <c r="F9" s="105">
        <v>0</v>
      </c>
      <c r="G9" s="105">
        <v>0</v>
      </c>
      <c r="H9" s="105">
        <v>0</v>
      </c>
      <c r="I9" s="105">
        <v>0</v>
      </c>
      <c r="J9" s="105">
        <v>0</v>
      </c>
      <c r="K9" s="105">
        <v>0</v>
      </c>
      <c r="L9" s="105">
        <f>SUMIF('TS by Location'!$B$36:$B$470,$B9,'TS by Location'!$D$36:$D$473)</f>
        <v>0</v>
      </c>
      <c r="M9" s="105">
        <f>SUMIF('TS by Location'!$B$36:$B$470,$B9,'TS by Location'!$E$36:$E$473)</f>
        <v>0</v>
      </c>
      <c r="N9" s="105">
        <f>SUMIF('TS by Location'!$B$36:$B$470,$B9,'TS by Location'!$F$36:$F$473)</f>
        <v>488671.30999999994</v>
      </c>
      <c r="O9" s="310"/>
      <c r="P9" s="106">
        <v>0</v>
      </c>
      <c r="Q9" s="106">
        <v>0</v>
      </c>
      <c r="R9" s="106">
        <v>0</v>
      </c>
      <c r="S9" s="106">
        <v>0</v>
      </c>
      <c r="T9" s="106">
        <v>0</v>
      </c>
      <c r="U9" s="106">
        <v>0</v>
      </c>
      <c r="V9" s="106">
        <f>SUMIF('DS by Location'!$B$10:$B$859,$B9,'DS by Location'!$D$10:$D$859)</f>
        <v>0</v>
      </c>
      <c r="W9" s="106">
        <f>SUMIF('DS by Location'!$B$10:$B$859,$B9,'DS by Location'!$E$10:$E$859)</f>
        <v>235231.04</v>
      </c>
      <c r="X9" s="106">
        <f>SUMIF('DS by Location'!$B$10:$B$859,$B9,'DS by Location'!$F$10:$F$859)</f>
        <v>2232856.44</v>
      </c>
      <c r="Z9" s="93" t="s">
        <v>1483</v>
      </c>
      <c r="AB9" s="105">
        <v>0</v>
      </c>
      <c r="AC9" s="105">
        <v>0</v>
      </c>
      <c r="AD9" s="105">
        <v>0</v>
      </c>
      <c r="AE9" s="105">
        <v>0</v>
      </c>
      <c r="AF9" s="105">
        <v>0</v>
      </c>
      <c r="AG9" s="105">
        <v>346134.01</v>
      </c>
      <c r="AH9" s="105">
        <v>0</v>
      </c>
      <c r="AI9" s="105">
        <v>0</v>
      </c>
      <c r="AJ9" s="105">
        <v>142537.30000000002</v>
      </c>
      <c r="AK9" s="106"/>
      <c r="AL9" s="106">
        <v>0</v>
      </c>
      <c r="AM9" s="106">
        <v>0</v>
      </c>
      <c r="AN9" s="106">
        <v>0</v>
      </c>
      <c r="AO9" s="106">
        <v>0</v>
      </c>
      <c r="AP9" s="106">
        <v>31900.902310198711</v>
      </c>
      <c r="AQ9" s="106">
        <v>22946.494372403009</v>
      </c>
      <c r="AR9" s="106">
        <v>0</v>
      </c>
      <c r="AS9" s="106">
        <v>203330.13768980125</v>
      </c>
      <c r="AT9" s="106">
        <v>2209909.9456275972</v>
      </c>
      <c r="AV9" s="107">
        <f>SUM(F9:X9)-SUM(AE9:AT9)</f>
        <v>0</v>
      </c>
      <c r="AX9" s="634">
        <f t="shared" si="0"/>
        <v>0</v>
      </c>
      <c r="AY9" s="634">
        <f t="shared" si="1"/>
        <v>0</v>
      </c>
      <c r="AZ9" s="634">
        <f t="shared" si="2"/>
        <v>0</v>
      </c>
      <c r="BA9" s="634">
        <f t="shared" si="3"/>
        <v>0</v>
      </c>
      <c r="BB9" s="634">
        <f t="shared" si="4"/>
        <v>0</v>
      </c>
      <c r="BC9" s="634">
        <f t="shared" si="5"/>
        <v>-346134.01</v>
      </c>
      <c r="BD9" s="634">
        <f t="shared" si="6"/>
        <v>0</v>
      </c>
      <c r="BE9" s="634">
        <f t="shared" si="7"/>
        <v>0</v>
      </c>
      <c r="BF9" s="634">
        <f t="shared" si="8"/>
        <v>346134.00999999989</v>
      </c>
      <c r="BG9" s="634"/>
      <c r="BH9" s="634">
        <f t="shared" si="9"/>
        <v>0</v>
      </c>
      <c r="BI9" s="634">
        <f t="shared" si="10"/>
        <v>0</v>
      </c>
      <c r="BJ9" s="634">
        <f t="shared" si="11"/>
        <v>0</v>
      </c>
      <c r="BK9" s="634">
        <f t="shared" si="12"/>
        <v>0</v>
      </c>
      <c r="BL9" s="634">
        <f t="shared" si="13"/>
        <v>-31900.902310198711</v>
      </c>
      <c r="BM9" s="634">
        <f t="shared" si="14"/>
        <v>-22946.494372403009</v>
      </c>
      <c r="BN9" s="634">
        <f t="shared" si="15"/>
        <v>0</v>
      </c>
      <c r="BO9" s="634">
        <f t="shared" si="16"/>
        <v>31900.902310198755</v>
      </c>
      <c r="BP9" s="634">
        <f t="shared" si="17"/>
        <v>22946.494372402783</v>
      </c>
    </row>
    <row r="10" spans="1:68" ht="15" x14ac:dyDescent="0.25">
      <c r="A10" s="91" t="s">
        <v>1300</v>
      </c>
      <c r="B10" s="234">
        <v>5564</v>
      </c>
      <c r="C10" s="92">
        <v>1</v>
      </c>
      <c r="D10" s="93" t="s">
        <v>1428</v>
      </c>
      <c r="F10" s="105">
        <v>0</v>
      </c>
      <c r="G10" s="105">
        <v>0</v>
      </c>
      <c r="H10" s="105">
        <v>0</v>
      </c>
      <c r="I10" s="105">
        <v>0</v>
      </c>
      <c r="J10" s="105">
        <v>0</v>
      </c>
      <c r="K10" s="105">
        <v>0</v>
      </c>
      <c r="L10" s="105">
        <f>SUMIF('TS by Location'!$B$36:$B$470,$B10,'TS by Location'!$D$36:$D$473)</f>
        <v>0</v>
      </c>
      <c r="M10" s="105">
        <f>SUMIF('TS by Location'!$B$36:$B$470,$B10,'TS by Location'!$E$36:$E$473)</f>
        <v>0</v>
      </c>
      <c r="N10" s="105">
        <f>SUMIF('TS by Location'!$B$36:$B$470,$B10,'TS by Location'!$F$36:$F$473)</f>
        <v>713949.48</v>
      </c>
      <c r="O10" s="310"/>
      <c r="P10" s="106">
        <v>0</v>
      </c>
      <c r="Q10" s="106">
        <v>0</v>
      </c>
      <c r="R10" s="106">
        <v>0</v>
      </c>
      <c r="S10" s="106">
        <v>0</v>
      </c>
      <c r="T10" s="106">
        <v>0</v>
      </c>
      <c r="U10" s="106">
        <v>0</v>
      </c>
      <c r="V10" s="106">
        <f>SUMIF('DS by Location'!$B$10:$B$859,$B10,'DS by Location'!$D$10:$D$859)</f>
        <v>62303.26</v>
      </c>
      <c r="W10" s="106">
        <f>SUMIF('DS by Location'!$B$10:$B$859,$B10,'DS by Location'!$E$10:$E$859)</f>
        <v>433884.24000000011</v>
      </c>
      <c r="X10" s="106">
        <f>SUMIF('DS by Location'!$B$10:$B$859,$B10,'DS by Location'!$F$10:$F$859)</f>
        <v>7508731.7900000019</v>
      </c>
      <c r="Z10" s="93" t="s">
        <v>1483</v>
      </c>
      <c r="AB10" s="105">
        <v>0</v>
      </c>
      <c r="AC10" s="105">
        <v>0</v>
      </c>
      <c r="AD10" s="105">
        <v>0</v>
      </c>
      <c r="AE10" s="105">
        <v>0</v>
      </c>
      <c r="AF10" s="105">
        <v>0</v>
      </c>
      <c r="AG10" s="105">
        <v>688370.26042784587</v>
      </c>
      <c r="AH10" s="105">
        <v>0</v>
      </c>
      <c r="AI10" s="105">
        <v>0</v>
      </c>
      <c r="AJ10" s="105">
        <v>25579.21957215423</v>
      </c>
      <c r="AK10" s="106"/>
      <c r="AL10" s="106">
        <v>0</v>
      </c>
      <c r="AM10" s="106">
        <v>0</v>
      </c>
      <c r="AN10" s="106">
        <v>0</v>
      </c>
      <c r="AO10" s="106">
        <v>7222.5745301328134</v>
      </c>
      <c r="AP10" s="106">
        <v>11805.735983857847</v>
      </c>
      <c r="AQ10" s="106">
        <v>303345.96328915574</v>
      </c>
      <c r="AR10" s="106">
        <v>55080.685469867189</v>
      </c>
      <c r="AS10" s="106">
        <v>422078.50401614216</v>
      </c>
      <c r="AT10" s="106">
        <v>7205385.8267108453</v>
      </c>
      <c r="AV10" s="107">
        <f t="shared" ref="AV10:AV28" si="18">SUM(F10:X10)-SUM(AB10:AT10)</f>
        <v>0</v>
      </c>
      <c r="AX10" s="634">
        <f t="shared" si="0"/>
        <v>0</v>
      </c>
      <c r="AY10" s="634">
        <f t="shared" si="1"/>
        <v>0</v>
      </c>
      <c r="AZ10" s="634">
        <f t="shared" si="2"/>
        <v>0</v>
      </c>
      <c r="BA10" s="634">
        <f t="shared" si="3"/>
        <v>0</v>
      </c>
      <c r="BB10" s="634">
        <f t="shared" si="4"/>
        <v>0</v>
      </c>
      <c r="BC10" s="634">
        <f t="shared" si="5"/>
        <v>-688370.26042784587</v>
      </c>
      <c r="BD10" s="634">
        <f t="shared" si="6"/>
        <v>0</v>
      </c>
      <c r="BE10" s="634">
        <f t="shared" si="7"/>
        <v>0</v>
      </c>
      <c r="BF10" s="634">
        <f t="shared" si="8"/>
        <v>688370.26042784576</v>
      </c>
      <c r="BG10" s="634"/>
      <c r="BH10" s="634">
        <f t="shared" si="9"/>
        <v>0</v>
      </c>
      <c r="BI10" s="634">
        <f t="shared" si="10"/>
        <v>0</v>
      </c>
      <c r="BJ10" s="634">
        <f t="shared" si="11"/>
        <v>0</v>
      </c>
      <c r="BK10" s="634">
        <f t="shared" si="12"/>
        <v>-7222.5745301328134</v>
      </c>
      <c r="BL10" s="634">
        <f t="shared" si="13"/>
        <v>-11805.735983857847</v>
      </c>
      <c r="BM10" s="634">
        <f t="shared" si="14"/>
        <v>-303345.96328915574</v>
      </c>
      <c r="BN10" s="634">
        <f t="shared" si="15"/>
        <v>7222.5745301328134</v>
      </c>
      <c r="BO10" s="634">
        <f t="shared" si="16"/>
        <v>11805.735983857943</v>
      </c>
      <c r="BP10" s="634">
        <f t="shared" si="17"/>
        <v>303345.96328915656</v>
      </c>
    </row>
    <row r="11" spans="1:68" ht="15" x14ac:dyDescent="0.25">
      <c r="A11" s="91" t="s">
        <v>1301</v>
      </c>
      <c r="B11" s="234">
        <v>5518</v>
      </c>
      <c r="C11" s="92">
        <v>1</v>
      </c>
      <c r="D11" s="93" t="s">
        <v>1428</v>
      </c>
      <c r="F11" s="105">
        <v>0</v>
      </c>
      <c r="G11" s="105">
        <v>0</v>
      </c>
      <c r="H11" s="105">
        <v>0</v>
      </c>
      <c r="I11" s="105">
        <v>0</v>
      </c>
      <c r="J11" s="105">
        <v>0</v>
      </c>
      <c r="K11" s="105">
        <v>0</v>
      </c>
      <c r="L11" s="105">
        <f>SUMIF('TS by Location'!$B$36:$B$470,$B11,'TS by Location'!$D$36:$D$473)</f>
        <v>0</v>
      </c>
      <c r="M11" s="105">
        <f>SUMIF('TS by Location'!$B$36:$B$470,$B11,'TS by Location'!$E$36:$E$473)</f>
        <v>0</v>
      </c>
      <c r="N11" s="105">
        <f>SUMIF('TS by Location'!$B$36:$B$470,$B11,'TS by Location'!$F$36:$F$473)</f>
        <v>1176404.3500000001</v>
      </c>
      <c r="O11" s="310"/>
      <c r="P11" s="106">
        <v>0</v>
      </c>
      <c r="Q11" s="106">
        <v>0</v>
      </c>
      <c r="R11" s="106">
        <v>0</v>
      </c>
      <c r="S11" s="106">
        <v>0</v>
      </c>
      <c r="T11" s="106">
        <v>0</v>
      </c>
      <c r="U11" s="106">
        <v>0</v>
      </c>
      <c r="V11" s="106">
        <f>SUMIF('DS by Location'!$B$10:$B$859,$B11,'DS by Location'!$D$10:$D$859)</f>
        <v>442.59000000000003</v>
      </c>
      <c r="W11" s="106">
        <f>SUMIF('DS by Location'!$B$10:$B$859,$B11,'DS by Location'!$E$10:$E$859)</f>
        <v>367752.41</v>
      </c>
      <c r="X11" s="106">
        <f>SUMIF('DS by Location'!$B$10:$B$859,$B11,'DS by Location'!$F$10:$F$859)</f>
        <v>8625515.0299999993</v>
      </c>
      <c r="Z11" s="93" t="s">
        <v>1483</v>
      </c>
      <c r="AB11" s="105">
        <v>0</v>
      </c>
      <c r="AC11" s="105">
        <v>0</v>
      </c>
      <c r="AD11" s="105">
        <v>0</v>
      </c>
      <c r="AE11" s="105">
        <v>0</v>
      </c>
      <c r="AF11" s="105">
        <v>0</v>
      </c>
      <c r="AG11" s="105">
        <v>379880.82524216734</v>
      </c>
      <c r="AH11" s="105">
        <v>0</v>
      </c>
      <c r="AI11" s="105">
        <v>0</v>
      </c>
      <c r="AJ11" s="105">
        <v>796523.52475783275</v>
      </c>
      <c r="AK11" s="106"/>
      <c r="AL11" s="106">
        <v>0</v>
      </c>
      <c r="AM11" s="106">
        <v>0</v>
      </c>
      <c r="AN11" s="106">
        <v>0</v>
      </c>
      <c r="AO11" s="106">
        <v>66.592384212837445</v>
      </c>
      <c r="AP11" s="106">
        <v>48835.822704476617</v>
      </c>
      <c r="AQ11" s="106">
        <v>1101418.8977234671</v>
      </c>
      <c r="AR11" s="106">
        <v>375.99761578716249</v>
      </c>
      <c r="AS11" s="106">
        <v>318916.58729552338</v>
      </c>
      <c r="AT11" s="106">
        <v>7524096.1322765332</v>
      </c>
      <c r="AV11" s="107">
        <f t="shared" si="18"/>
        <v>0</v>
      </c>
      <c r="AX11" s="634">
        <f t="shared" si="0"/>
        <v>0</v>
      </c>
      <c r="AY11" s="634">
        <f t="shared" si="1"/>
        <v>0</v>
      </c>
      <c r="AZ11" s="634">
        <f t="shared" si="2"/>
        <v>0</v>
      </c>
      <c r="BA11" s="634">
        <f t="shared" si="3"/>
        <v>0</v>
      </c>
      <c r="BB11" s="634">
        <f t="shared" si="4"/>
        <v>0</v>
      </c>
      <c r="BC11" s="634">
        <f t="shared" si="5"/>
        <v>-379880.82524216734</v>
      </c>
      <c r="BD11" s="634">
        <f t="shared" si="6"/>
        <v>0</v>
      </c>
      <c r="BE11" s="634">
        <f t="shared" si="7"/>
        <v>0</v>
      </c>
      <c r="BF11" s="634">
        <f t="shared" si="8"/>
        <v>379880.82524216734</v>
      </c>
      <c r="BG11" s="634"/>
      <c r="BH11" s="634">
        <f t="shared" si="9"/>
        <v>0</v>
      </c>
      <c r="BI11" s="634">
        <f t="shared" si="10"/>
        <v>0</v>
      </c>
      <c r="BJ11" s="634">
        <f t="shared" si="11"/>
        <v>0</v>
      </c>
      <c r="BK11" s="634">
        <f t="shared" si="12"/>
        <v>-66.592384212837445</v>
      </c>
      <c r="BL11" s="634">
        <f t="shared" si="13"/>
        <v>-48835.822704476617</v>
      </c>
      <c r="BM11" s="634">
        <f t="shared" si="14"/>
        <v>-1101418.8977234671</v>
      </c>
      <c r="BN11" s="634">
        <f t="shared" si="15"/>
        <v>66.592384212837544</v>
      </c>
      <c r="BO11" s="634">
        <f t="shared" si="16"/>
        <v>48835.822704476595</v>
      </c>
      <c r="BP11" s="634">
        <f t="shared" si="17"/>
        <v>1101418.8977234662</v>
      </c>
    </row>
    <row r="12" spans="1:68" ht="15" x14ac:dyDescent="0.25">
      <c r="A12" s="91" t="s">
        <v>1302</v>
      </c>
      <c r="B12" s="234">
        <v>5522</v>
      </c>
      <c r="C12" s="92">
        <v>1</v>
      </c>
      <c r="D12" s="93" t="s">
        <v>1428</v>
      </c>
      <c r="F12" s="105">
        <v>0</v>
      </c>
      <c r="G12" s="105">
        <v>0</v>
      </c>
      <c r="H12" s="105">
        <v>0</v>
      </c>
      <c r="I12" s="105">
        <v>0</v>
      </c>
      <c r="J12" s="105">
        <v>0</v>
      </c>
      <c r="K12" s="105">
        <v>0</v>
      </c>
      <c r="L12" s="105">
        <f>SUMIF('TS by Location'!$B$36:$B$470,$B12,'TS by Location'!$D$36:$D$473)</f>
        <v>0</v>
      </c>
      <c r="M12" s="105">
        <f>SUMIF('TS by Location'!$B$36:$B$470,$B12,'TS by Location'!$E$36:$E$473)</f>
        <v>0</v>
      </c>
      <c r="N12" s="105">
        <f>SUMIF('TS by Location'!$B$36:$B$470,$B12,'TS by Location'!$F$36:$F$473)</f>
        <v>1018975.8400000002</v>
      </c>
      <c r="O12" s="310"/>
      <c r="P12" s="106">
        <v>0</v>
      </c>
      <c r="Q12" s="106">
        <v>0</v>
      </c>
      <c r="R12" s="106">
        <v>0</v>
      </c>
      <c r="S12" s="106">
        <v>0</v>
      </c>
      <c r="T12" s="106">
        <v>0</v>
      </c>
      <c r="U12" s="106">
        <v>0</v>
      </c>
      <c r="V12" s="106">
        <f>SUMIF('DS by Location'!$B$10:$B$859,$B12,'DS by Location'!$D$10:$D$859)</f>
        <v>11913.320000000002</v>
      </c>
      <c r="W12" s="106">
        <f>SUMIF('DS by Location'!$B$10:$B$859,$B12,'DS by Location'!$E$10:$E$859)</f>
        <v>432520.58</v>
      </c>
      <c r="X12" s="106">
        <f>SUMIF('DS by Location'!$B$10:$B$859,$B12,'DS by Location'!$F$10:$F$859)</f>
        <v>7623460.3700000048</v>
      </c>
      <c r="Z12" s="93" t="s">
        <v>1483</v>
      </c>
      <c r="AB12" s="105">
        <v>0</v>
      </c>
      <c r="AC12" s="105">
        <v>0</v>
      </c>
      <c r="AD12" s="105">
        <v>0</v>
      </c>
      <c r="AE12" s="105">
        <v>0</v>
      </c>
      <c r="AF12" s="105">
        <v>0</v>
      </c>
      <c r="AG12" s="105">
        <v>798317.91000000015</v>
      </c>
      <c r="AH12" s="105">
        <v>0</v>
      </c>
      <c r="AI12" s="105">
        <v>0</v>
      </c>
      <c r="AJ12" s="105">
        <v>220657.93</v>
      </c>
      <c r="AK12" s="106"/>
      <c r="AL12" s="106">
        <v>0</v>
      </c>
      <c r="AM12" s="106">
        <v>0</v>
      </c>
      <c r="AN12" s="106">
        <v>0</v>
      </c>
      <c r="AO12" s="106">
        <v>1100.4555304159082</v>
      </c>
      <c r="AP12" s="106">
        <v>39952.730580534757</v>
      </c>
      <c r="AQ12" s="106">
        <v>0</v>
      </c>
      <c r="AR12" s="106">
        <v>10812.864469584092</v>
      </c>
      <c r="AS12" s="106">
        <v>392567.84941946529</v>
      </c>
      <c r="AT12" s="106">
        <v>7623460.370000001</v>
      </c>
      <c r="AV12" s="107">
        <f t="shared" si="18"/>
        <v>0</v>
      </c>
      <c r="AX12" s="634">
        <f t="shared" si="0"/>
        <v>0</v>
      </c>
      <c r="AY12" s="634">
        <f t="shared" si="1"/>
        <v>0</v>
      </c>
      <c r="AZ12" s="634">
        <f t="shared" si="2"/>
        <v>0</v>
      </c>
      <c r="BA12" s="634">
        <f t="shared" si="3"/>
        <v>0</v>
      </c>
      <c r="BB12" s="634">
        <f t="shared" si="4"/>
        <v>0</v>
      </c>
      <c r="BC12" s="634">
        <f t="shared" si="5"/>
        <v>-798317.91000000015</v>
      </c>
      <c r="BD12" s="634">
        <f t="shared" si="6"/>
        <v>0</v>
      </c>
      <c r="BE12" s="634">
        <f t="shared" si="7"/>
        <v>0</v>
      </c>
      <c r="BF12" s="634">
        <f t="shared" si="8"/>
        <v>798317.91000000015</v>
      </c>
      <c r="BG12" s="634"/>
      <c r="BH12" s="634">
        <f t="shared" si="9"/>
        <v>0</v>
      </c>
      <c r="BI12" s="634">
        <f t="shared" si="10"/>
        <v>0</v>
      </c>
      <c r="BJ12" s="634">
        <f t="shared" si="11"/>
        <v>0</v>
      </c>
      <c r="BK12" s="634">
        <f t="shared" si="12"/>
        <v>-1100.4555304159082</v>
      </c>
      <c r="BL12" s="634">
        <f t="shared" si="13"/>
        <v>-39952.730580534757</v>
      </c>
      <c r="BM12" s="634">
        <f t="shared" si="14"/>
        <v>0</v>
      </c>
      <c r="BN12" s="634">
        <f t="shared" si="15"/>
        <v>1100.4555304159094</v>
      </c>
      <c r="BO12" s="634">
        <f t="shared" si="16"/>
        <v>39952.730580534728</v>
      </c>
      <c r="BP12" s="634">
        <f t="shared" si="17"/>
        <v>0</v>
      </c>
    </row>
    <row r="13" spans="1:68" ht="15" x14ac:dyDescent="0.25">
      <c r="A13" s="91" t="s">
        <v>1303</v>
      </c>
      <c r="B13" s="234">
        <v>5548</v>
      </c>
      <c r="C13" s="92">
        <v>1</v>
      </c>
      <c r="D13" s="93" t="s">
        <v>1428</v>
      </c>
      <c r="F13" s="105">
        <v>0</v>
      </c>
      <c r="G13" s="105">
        <v>0</v>
      </c>
      <c r="H13" s="105">
        <v>0</v>
      </c>
      <c r="I13" s="105">
        <v>0</v>
      </c>
      <c r="J13" s="105">
        <v>0</v>
      </c>
      <c r="K13" s="105">
        <v>0</v>
      </c>
      <c r="L13" s="105">
        <f>SUMIF('TS by Location'!$B$36:$B$470,$B13,'TS by Location'!$D$36:$D$473)</f>
        <v>0</v>
      </c>
      <c r="M13" s="105">
        <f>SUMIF('TS by Location'!$B$36:$B$470,$B13,'TS by Location'!$E$36:$E$473)</f>
        <v>0</v>
      </c>
      <c r="N13" s="105">
        <f>SUMIF('TS by Location'!$B$36:$B$470,$B13,'TS by Location'!$F$36:$F$473)</f>
        <v>618665.22</v>
      </c>
      <c r="O13" s="310"/>
      <c r="P13" s="106">
        <v>0</v>
      </c>
      <c r="Q13" s="106">
        <v>0</v>
      </c>
      <c r="R13" s="106">
        <v>0</v>
      </c>
      <c r="S13" s="106">
        <v>0</v>
      </c>
      <c r="T13" s="106">
        <v>0</v>
      </c>
      <c r="U13" s="106">
        <v>0</v>
      </c>
      <c r="V13" s="106">
        <f>SUMIF('DS by Location'!$B$10:$B$859,$B13,'DS by Location'!$D$10:$D$859)</f>
        <v>5187.7700000000004</v>
      </c>
      <c r="W13" s="106">
        <f>SUMIF('DS by Location'!$B$10:$B$859,$B13,'DS by Location'!$E$10:$E$859)</f>
        <v>1523549.6300000001</v>
      </c>
      <c r="X13" s="106">
        <f>SUMIF('DS by Location'!$B$10:$B$859,$B13,'DS by Location'!$F$10:$F$859)</f>
        <v>9254860.1899999995</v>
      </c>
      <c r="Z13" s="93" t="s">
        <v>1483</v>
      </c>
      <c r="AB13" s="105">
        <v>0</v>
      </c>
      <c r="AC13" s="105">
        <v>0</v>
      </c>
      <c r="AD13" s="105">
        <v>0</v>
      </c>
      <c r="AE13" s="105">
        <v>0</v>
      </c>
      <c r="AF13" s="105">
        <v>0</v>
      </c>
      <c r="AG13" s="105">
        <v>395907.39046852052</v>
      </c>
      <c r="AH13" s="105">
        <v>0</v>
      </c>
      <c r="AI13" s="105">
        <v>0</v>
      </c>
      <c r="AJ13" s="105">
        <v>222757.82953147951</v>
      </c>
      <c r="AK13" s="106"/>
      <c r="AL13" s="106">
        <v>0</v>
      </c>
      <c r="AM13" s="106">
        <v>0</v>
      </c>
      <c r="AN13" s="106">
        <v>0</v>
      </c>
      <c r="AO13" s="106">
        <v>332.44417730393059</v>
      </c>
      <c r="AP13" s="106">
        <v>45626.588267559644</v>
      </c>
      <c r="AQ13" s="106">
        <v>288816.67970559344</v>
      </c>
      <c r="AR13" s="106">
        <v>4855.3258226960697</v>
      </c>
      <c r="AS13" s="106">
        <v>1477923.0417324402</v>
      </c>
      <c r="AT13" s="106">
        <v>8966043.5102944057</v>
      </c>
      <c r="AV13" s="107">
        <f t="shared" si="18"/>
        <v>0</v>
      </c>
      <c r="AX13" s="634">
        <f t="shared" si="0"/>
        <v>0</v>
      </c>
      <c r="AY13" s="634">
        <f t="shared" si="1"/>
        <v>0</v>
      </c>
      <c r="AZ13" s="634">
        <f t="shared" si="2"/>
        <v>0</v>
      </c>
      <c r="BA13" s="634">
        <f t="shared" si="3"/>
        <v>0</v>
      </c>
      <c r="BB13" s="634">
        <f t="shared" si="4"/>
        <v>0</v>
      </c>
      <c r="BC13" s="634">
        <f t="shared" si="5"/>
        <v>-395907.39046852052</v>
      </c>
      <c r="BD13" s="634">
        <f t="shared" si="6"/>
        <v>0</v>
      </c>
      <c r="BE13" s="634">
        <f t="shared" si="7"/>
        <v>0</v>
      </c>
      <c r="BF13" s="634">
        <f t="shared" si="8"/>
        <v>395907.39046852046</v>
      </c>
      <c r="BG13" s="634"/>
      <c r="BH13" s="634">
        <f t="shared" si="9"/>
        <v>0</v>
      </c>
      <c r="BI13" s="634">
        <f t="shared" si="10"/>
        <v>0</v>
      </c>
      <c r="BJ13" s="634">
        <f t="shared" si="11"/>
        <v>0</v>
      </c>
      <c r="BK13" s="634">
        <f t="shared" si="12"/>
        <v>-332.44417730393059</v>
      </c>
      <c r="BL13" s="634">
        <f t="shared" si="13"/>
        <v>-45626.588267559644</v>
      </c>
      <c r="BM13" s="634">
        <f t="shared" si="14"/>
        <v>-288816.67970559344</v>
      </c>
      <c r="BN13" s="634">
        <f t="shared" si="15"/>
        <v>332.4441773039307</v>
      </c>
      <c r="BO13" s="634">
        <f t="shared" si="16"/>
        <v>45626.588267559884</v>
      </c>
      <c r="BP13" s="634">
        <f t="shared" si="17"/>
        <v>288816.67970559373</v>
      </c>
    </row>
    <row r="14" spans="1:68" ht="15" x14ac:dyDescent="0.25">
      <c r="A14" s="91" t="s">
        <v>1304</v>
      </c>
      <c r="B14" s="234">
        <v>5545</v>
      </c>
      <c r="C14" s="92">
        <v>1</v>
      </c>
      <c r="D14" s="93" t="s">
        <v>1428</v>
      </c>
      <c r="F14" s="105">
        <v>0</v>
      </c>
      <c r="G14" s="105">
        <v>0</v>
      </c>
      <c r="H14" s="105">
        <v>0</v>
      </c>
      <c r="I14" s="105">
        <v>0</v>
      </c>
      <c r="J14" s="105">
        <v>0</v>
      </c>
      <c r="K14" s="105">
        <v>0</v>
      </c>
      <c r="L14" s="105">
        <f>SUMIF('TS by Location'!$B$36:$B$470,$B14,'TS by Location'!$D$36:$D$473)</f>
        <v>0</v>
      </c>
      <c r="M14" s="105">
        <f>SUMIF('TS by Location'!$B$36:$B$470,$B14,'TS by Location'!$E$36:$E$473)</f>
        <v>0</v>
      </c>
      <c r="N14" s="105">
        <f>SUMIF('TS by Location'!$B$36:$B$470,$B14,'TS by Location'!$F$36:$F$473)</f>
        <v>140208.6</v>
      </c>
      <c r="O14" s="310"/>
      <c r="P14" s="106">
        <v>0</v>
      </c>
      <c r="Q14" s="106">
        <v>0</v>
      </c>
      <c r="R14" s="106">
        <v>0</v>
      </c>
      <c r="S14" s="106">
        <v>0</v>
      </c>
      <c r="T14" s="106">
        <v>0</v>
      </c>
      <c r="U14" s="106">
        <v>0</v>
      </c>
      <c r="V14" s="106">
        <f>SUMIF('DS by Location'!$B$10:$B$859,$B14,'DS by Location'!$D$10:$D$859)</f>
        <v>3756.67</v>
      </c>
      <c r="W14" s="106">
        <f>SUMIF('DS by Location'!$B$10:$B$859,$B14,'DS by Location'!$E$10:$E$859)</f>
        <v>55479.61</v>
      </c>
      <c r="X14" s="106">
        <f>SUMIF('DS by Location'!$B$10:$B$859,$B14,'DS by Location'!$F$10:$F$859)</f>
        <v>619929.90000000014</v>
      </c>
      <c r="Z14" s="93" t="s">
        <v>1483</v>
      </c>
      <c r="AB14" s="105">
        <v>0</v>
      </c>
      <c r="AC14" s="105">
        <v>0</v>
      </c>
      <c r="AD14" s="105">
        <v>0</v>
      </c>
      <c r="AE14" s="105">
        <v>0</v>
      </c>
      <c r="AF14" s="105">
        <v>0</v>
      </c>
      <c r="AG14" s="105">
        <v>140208.59999999998</v>
      </c>
      <c r="AH14" s="105">
        <v>0</v>
      </c>
      <c r="AI14" s="105">
        <v>0</v>
      </c>
      <c r="AJ14" s="105">
        <v>0</v>
      </c>
      <c r="AK14" s="106"/>
      <c r="AL14" s="106">
        <v>0</v>
      </c>
      <c r="AM14" s="106">
        <v>0</v>
      </c>
      <c r="AN14" s="106">
        <v>0</v>
      </c>
      <c r="AO14" s="106">
        <v>972.46944920836734</v>
      </c>
      <c r="AP14" s="106">
        <v>14361.715503090511</v>
      </c>
      <c r="AQ14" s="106">
        <v>56564.464553733633</v>
      </c>
      <c r="AR14" s="106">
        <v>2784.2005507916324</v>
      </c>
      <c r="AS14" s="106">
        <v>41117.894496909488</v>
      </c>
      <c r="AT14" s="106">
        <v>563365.43544626643</v>
      </c>
      <c r="AV14" s="107">
        <f t="shared" si="18"/>
        <v>0</v>
      </c>
      <c r="AX14" s="634">
        <f t="shared" si="0"/>
        <v>0</v>
      </c>
      <c r="AY14" s="634">
        <f t="shared" si="1"/>
        <v>0</v>
      </c>
      <c r="AZ14" s="634">
        <f t="shared" si="2"/>
        <v>0</v>
      </c>
      <c r="BA14" s="634">
        <f t="shared" si="3"/>
        <v>0</v>
      </c>
      <c r="BB14" s="634">
        <f t="shared" si="4"/>
        <v>0</v>
      </c>
      <c r="BC14" s="634">
        <f t="shared" si="5"/>
        <v>-140208.59999999998</v>
      </c>
      <c r="BD14" s="634">
        <f t="shared" si="6"/>
        <v>0</v>
      </c>
      <c r="BE14" s="634">
        <f t="shared" si="7"/>
        <v>0</v>
      </c>
      <c r="BF14" s="634">
        <f t="shared" si="8"/>
        <v>140208.6</v>
      </c>
      <c r="BG14" s="634"/>
      <c r="BH14" s="634">
        <f t="shared" si="9"/>
        <v>0</v>
      </c>
      <c r="BI14" s="634">
        <f t="shared" si="10"/>
        <v>0</v>
      </c>
      <c r="BJ14" s="634">
        <f t="shared" si="11"/>
        <v>0</v>
      </c>
      <c r="BK14" s="634">
        <f t="shared" si="12"/>
        <v>-972.46944920836734</v>
      </c>
      <c r="BL14" s="634">
        <f t="shared" si="13"/>
        <v>-14361.715503090511</v>
      </c>
      <c r="BM14" s="634">
        <f t="shared" si="14"/>
        <v>-56564.464553733633</v>
      </c>
      <c r="BN14" s="634">
        <f t="shared" si="15"/>
        <v>972.46944920836768</v>
      </c>
      <c r="BO14" s="634">
        <f t="shared" si="16"/>
        <v>14361.715503090512</v>
      </c>
      <c r="BP14" s="634">
        <f t="shared" si="17"/>
        <v>56564.464553733706</v>
      </c>
    </row>
    <row r="15" spans="1:68" ht="15" x14ac:dyDescent="0.25">
      <c r="A15" s="91" t="s">
        <v>1305</v>
      </c>
      <c r="B15" s="234">
        <v>5530</v>
      </c>
      <c r="C15" s="92">
        <v>1</v>
      </c>
      <c r="D15" s="93" t="s">
        <v>1428</v>
      </c>
      <c r="F15" s="105">
        <v>0</v>
      </c>
      <c r="G15" s="105">
        <v>0</v>
      </c>
      <c r="H15" s="105">
        <v>0</v>
      </c>
      <c r="I15" s="105">
        <v>0</v>
      </c>
      <c r="J15" s="105">
        <v>0</v>
      </c>
      <c r="K15" s="105">
        <v>0</v>
      </c>
      <c r="L15" s="105">
        <f>SUMIF('TS by Location'!$B$36:$B$470,$B15,'TS by Location'!$D$36:$D$473)</f>
        <v>0</v>
      </c>
      <c r="M15" s="105">
        <f>SUMIF('TS by Location'!$B$36:$B$470,$B15,'TS by Location'!$E$36:$E$473)</f>
        <v>0</v>
      </c>
      <c r="N15" s="105">
        <f>SUMIF('TS by Location'!$B$36:$B$470,$B15,'TS by Location'!$F$36:$F$473)</f>
        <v>276827.8</v>
      </c>
      <c r="O15" s="310"/>
      <c r="P15" s="106">
        <v>0</v>
      </c>
      <c r="Q15" s="106">
        <v>0</v>
      </c>
      <c r="R15" s="106">
        <v>0</v>
      </c>
      <c r="S15" s="106">
        <v>0</v>
      </c>
      <c r="T15" s="106">
        <v>0</v>
      </c>
      <c r="U15" s="106">
        <v>0</v>
      </c>
      <c r="V15" s="106">
        <f>SUMIF('DS by Location'!$B$10:$B$859,$B15,'DS by Location'!$D$10:$D$859)</f>
        <v>959.21</v>
      </c>
      <c r="W15" s="106">
        <f>SUMIF('DS by Location'!$B$10:$B$859,$B15,'DS by Location'!$E$10:$E$859)</f>
        <v>18768.36</v>
      </c>
      <c r="X15" s="106">
        <f>SUMIF('DS by Location'!$B$10:$B$859,$B15,'DS by Location'!$F$10:$F$859)</f>
        <v>751032.67000000016</v>
      </c>
      <c r="Z15" s="93" t="s">
        <v>1483</v>
      </c>
      <c r="AB15" s="105">
        <v>0</v>
      </c>
      <c r="AC15" s="105">
        <v>0</v>
      </c>
      <c r="AD15" s="105">
        <v>0</v>
      </c>
      <c r="AE15" s="105">
        <v>0</v>
      </c>
      <c r="AF15" s="105">
        <v>0</v>
      </c>
      <c r="AG15" s="105">
        <v>276510.14732640772</v>
      </c>
      <c r="AH15" s="105">
        <v>0</v>
      </c>
      <c r="AI15" s="105">
        <v>0</v>
      </c>
      <c r="AJ15" s="105">
        <v>317.65267359228733</v>
      </c>
      <c r="AK15" s="106"/>
      <c r="AL15" s="106">
        <v>0</v>
      </c>
      <c r="AM15" s="106">
        <v>0</v>
      </c>
      <c r="AN15" s="106">
        <v>0</v>
      </c>
      <c r="AO15" s="106">
        <v>321.03456574466503</v>
      </c>
      <c r="AP15" s="106">
        <v>6281.5153119124507</v>
      </c>
      <c r="AQ15" s="106">
        <v>67500.798798588119</v>
      </c>
      <c r="AR15" s="106">
        <v>638.17543425533506</v>
      </c>
      <c r="AS15" s="106">
        <v>12486.844688087553</v>
      </c>
      <c r="AT15" s="106">
        <v>683531.87120141194</v>
      </c>
      <c r="AV15" s="107">
        <f t="shared" si="18"/>
        <v>0</v>
      </c>
      <c r="AX15" s="634">
        <f t="shared" si="0"/>
        <v>0</v>
      </c>
      <c r="AY15" s="634">
        <f t="shared" si="1"/>
        <v>0</v>
      </c>
      <c r="AZ15" s="634">
        <f t="shared" si="2"/>
        <v>0</v>
      </c>
      <c r="BA15" s="634">
        <f t="shared" si="3"/>
        <v>0</v>
      </c>
      <c r="BB15" s="634">
        <f t="shared" si="4"/>
        <v>0</v>
      </c>
      <c r="BC15" s="634">
        <f t="shared" si="5"/>
        <v>-276510.14732640772</v>
      </c>
      <c r="BD15" s="634">
        <f t="shared" si="6"/>
        <v>0</v>
      </c>
      <c r="BE15" s="634">
        <f t="shared" si="7"/>
        <v>0</v>
      </c>
      <c r="BF15" s="634">
        <f t="shared" si="8"/>
        <v>276510.14732640772</v>
      </c>
      <c r="BG15" s="634"/>
      <c r="BH15" s="634">
        <f t="shared" si="9"/>
        <v>0</v>
      </c>
      <c r="BI15" s="634">
        <f t="shared" si="10"/>
        <v>0</v>
      </c>
      <c r="BJ15" s="634">
        <f t="shared" si="11"/>
        <v>0</v>
      </c>
      <c r="BK15" s="634">
        <f t="shared" si="12"/>
        <v>-321.03456574466503</v>
      </c>
      <c r="BL15" s="634">
        <f t="shared" si="13"/>
        <v>-6281.5153119124507</v>
      </c>
      <c r="BM15" s="634">
        <f t="shared" si="14"/>
        <v>-67500.798798588119</v>
      </c>
      <c r="BN15" s="634">
        <f t="shared" si="15"/>
        <v>321.03456574466497</v>
      </c>
      <c r="BO15" s="634">
        <f t="shared" si="16"/>
        <v>6281.5153119124479</v>
      </c>
      <c r="BP15" s="634">
        <f t="shared" si="17"/>
        <v>67500.798798588221</v>
      </c>
    </row>
    <row r="16" spans="1:68" ht="15" x14ac:dyDescent="0.25">
      <c r="A16" s="91" t="s">
        <v>1306</v>
      </c>
      <c r="B16" s="234">
        <v>5514</v>
      </c>
      <c r="C16" s="92">
        <v>1</v>
      </c>
      <c r="D16" s="93" t="s">
        <v>1428</v>
      </c>
      <c r="F16" s="105">
        <v>0</v>
      </c>
      <c r="G16" s="105">
        <v>0</v>
      </c>
      <c r="H16" s="105">
        <v>0</v>
      </c>
      <c r="I16" s="105">
        <v>0</v>
      </c>
      <c r="J16" s="105">
        <v>0</v>
      </c>
      <c r="K16" s="105">
        <v>0</v>
      </c>
      <c r="L16" s="105">
        <f>SUMIF('TS by Location'!$B$36:$B$470,$B16,'TS by Location'!$D$36:$D$473)</f>
        <v>0</v>
      </c>
      <c r="M16" s="105">
        <f>SUMIF('TS by Location'!$B$36:$B$470,$B16,'TS by Location'!$E$36:$E$473)</f>
        <v>0</v>
      </c>
      <c r="N16" s="105">
        <f>SUMIF('TS by Location'!$B$36:$B$470,$B16,'TS by Location'!$F$36:$F$473)</f>
        <v>1071715.4799999993</v>
      </c>
      <c r="O16" s="310"/>
      <c r="P16" s="106">
        <v>0</v>
      </c>
      <c r="Q16" s="106">
        <v>0</v>
      </c>
      <c r="R16" s="106">
        <v>0</v>
      </c>
      <c r="S16" s="106">
        <v>0</v>
      </c>
      <c r="T16" s="106">
        <v>0</v>
      </c>
      <c r="U16" s="106">
        <v>0</v>
      </c>
      <c r="V16" s="106">
        <f>SUMIF('DS by Location'!$B$10:$B$859,$B16,'DS by Location'!$D$10:$D$859)</f>
        <v>0</v>
      </c>
      <c r="W16" s="106">
        <f>SUMIF('DS by Location'!$B$10:$B$859,$B16,'DS by Location'!$E$10:$E$859)</f>
        <v>333421.91000000009</v>
      </c>
      <c r="X16" s="106">
        <f>SUMIF('DS by Location'!$B$10:$B$859,$B16,'DS by Location'!$F$10:$F$859)</f>
        <v>5975488.6199999964</v>
      </c>
      <c r="Z16" s="93" t="s">
        <v>1483</v>
      </c>
      <c r="AB16" s="105">
        <v>0</v>
      </c>
      <c r="AC16" s="105">
        <v>0</v>
      </c>
      <c r="AD16" s="105">
        <v>0</v>
      </c>
      <c r="AE16" s="105">
        <v>0</v>
      </c>
      <c r="AF16" s="105">
        <v>0</v>
      </c>
      <c r="AG16" s="105">
        <v>1039386.3903554471</v>
      </c>
      <c r="AH16" s="105">
        <v>0</v>
      </c>
      <c r="AI16" s="105">
        <v>0</v>
      </c>
      <c r="AJ16" s="105">
        <v>32329.089644553038</v>
      </c>
      <c r="AK16" s="106"/>
      <c r="AL16" s="106">
        <v>0</v>
      </c>
      <c r="AM16" s="106">
        <v>0</v>
      </c>
      <c r="AN16" s="106">
        <v>0</v>
      </c>
      <c r="AO16" s="106">
        <v>0</v>
      </c>
      <c r="AP16" s="106">
        <v>76007.415271322941</v>
      </c>
      <c r="AQ16" s="106">
        <v>582351.73237533774</v>
      </c>
      <c r="AR16" s="106">
        <v>0</v>
      </c>
      <c r="AS16" s="106">
        <v>257414.49472867706</v>
      </c>
      <c r="AT16" s="106">
        <v>5393136.8876246624</v>
      </c>
      <c r="AV16" s="107">
        <f t="shared" si="18"/>
        <v>0</v>
      </c>
      <c r="AX16" s="634">
        <f t="shared" si="0"/>
        <v>0</v>
      </c>
      <c r="AY16" s="634">
        <f t="shared" si="1"/>
        <v>0</v>
      </c>
      <c r="AZ16" s="634">
        <f t="shared" si="2"/>
        <v>0</v>
      </c>
      <c r="BA16" s="634">
        <f t="shared" si="3"/>
        <v>0</v>
      </c>
      <c r="BB16" s="634">
        <f t="shared" si="4"/>
        <v>0</v>
      </c>
      <c r="BC16" s="634">
        <f t="shared" si="5"/>
        <v>-1039386.3903554471</v>
      </c>
      <c r="BD16" s="634">
        <f t="shared" si="6"/>
        <v>0</v>
      </c>
      <c r="BE16" s="634">
        <f t="shared" si="7"/>
        <v>0</v>
      </c>
      <c r="BF16" s="634">
        <f t="shared" si="8"/>
        <v>1039386.3903554463</v>
      </c>
      <c r="BG16" s="634"/>
      <c r="BH16" s="634">
        <f t="shared" si="9"/>
        <v>0</v>
      </c>
      <c r="BI16" s="634">
        <f t="shared" si="10"/>
        <v>0</v>
      </c>
      <c r="BJ16" s="634">
        <f t="shared" si="11"/>
        <v>0</v>
      </c>
      <c r="BK16" s="634">
        <f t="shared" si="12"/>
        <v>0</v>
      </c>
      <c r="BL16" s="634">
        <f t="shared" si="13"/>
        <v>-76007.415271322941</v>
      </c>
      <c r="BM16" s="634">
        <f t="shared" si="14"/>
        <v>-582351.73237533774</v>
      </c>
      <c r="BN16" s="634">
        <f t="shared" si="15"/>
        <v>0</v>
      </c>
      <c r="BO16" s="634">
        <f t="shared" si="16"/>
        <v>76007.415271323029</v>
      </c>
      <c r="BP16" s="634">
        <f t="shared" si="17"/>
        <v>582351.73237533402</v>
      </c>
    </row>
    <row r="17" spans="1:68" ht="15" x14ac:dyDescent="0.25">
      <c r="A17" s="91" t="s">
        <v>1307</v>
      </c>
      <c r="B17" s="234">
        <v>5508</v>
      </c>
      <c r="C17" s="92">
        <v>1</v>
      </c>
      <c r="D17" s="93" t="s">
        <v>1428</v>
      </c>
      <c r="F17" s="105">
        <v>0</v>
      </c>
      <c r="G17" s="105">
        <v>0</v>
      </c>
      <c r="H17" s="105">
        <v>0</v>
      </c>
      <c r="I17" s="105">
        <v>0</v>
      </c>
      <c r="J17" s="105">
        <v>0</v>
      </c>
      <c r="K17" s="105">
        <v>0</v>
      </c>
      <c r="L17" s="105">
        <f>SUMIF('TS by Location'!$B$36:$B$470,$B17,'TS by Location'!$D$36:$D$473)</f>
        <v>0</v>
      </c>
      <c r="M17" s="105">
        <f>SUMIF('TS by Location'!$B$36:$B$470,$B17,'TS by Location'!$E$36:$E$473)</f>
        <v>0</v>
      </c>
      <c r="N17" s="105">
        <f>SUMIF('TS by Location'!$B$36:$B$470,$B17,'TS by Location'!$F$36:$F$473)</f>
        <v>416587.12000000011</v>
      </c>
      <c r="O17" s="310"/>
      <c r="P17" s="106">
        <v>0</v>
      </c>
      <c r="Q17" s="106">
        <v>0</v>
      </c>
      <c r="R17" s="106">
        <v>0</v>
      </c>
      <c r="S17" s="106">
        <v>0</v>
      </c>
      <c r="T17" s="106">
        <v>0</v>
      </c>
      <c r="U17" s="106">
        <v>0</v>
      </c>
      <c r="V17" s="106">
        <f>SUMIF('DS by Location'!$B$10:$B$859,$B17,'DS by Location'!$D$10:$D$859)</f>
        <v>1492.8000000000002</v>
      </c>
      <c r="W17" s="106">
        <f>SUMIF('DS by Location'!$B$10:$B$859,$B17,'DS by Location'!$E$10:$E$859)</f>
        <v>382653.57999999996</v>
      </c>
      <c r="X17" s="106">
        <f>SUMIF('DS by Location'!$B$10:$B$859,$B17,'DS by Location'!$F$10:$F$859)</f>
        <v>5903778.2499999963</v>
      </c>
      <c r="Z17" s="93" t="s">
        <v>1483</v>
      </c>
      <c r="AB17" s="105">
        <v>0</v>
      </c>
      <c r="AC17" s="105">
        <v>0</v>
      </c>
      <c r="AD17" s="105">
        <v>0</v>
      </c>
      <c r="AE17" s="105">
        <v>0</v>
      </c>
      <c r="AF17" s="105">
        <v>0</v>
      </c>
      <c r="AG17" s="105">
        <v>392255.99567102059</v>
      </c>
      <c r="AH17" s="105">
        <v>0</v>
      </c>
      <c r="AI17" s="105">
        <v>0</v>
      </c>
      <c r="AJ17" s="105">
        <v>24331.124328979393</v>
      </c>
      <c r="AK17" s="106"/>
      <c r="AL17" s="106">
        <v>0</v>
      </c>
      <c r="AM17" s="106">
        <v>0</v>
      </c>
      <c r="AN17" s="106">
        <v>0</v>
      </c>
      <c r="AO17" s="106">
        <v>103.77044409593921</v>
      </c>
      <c r="AP17" s="106">
        <v>26599.766835142687</v>
      </c>
      <c r="AQ17" s="106">
        <v>47097.649354096502</v>
      </c>
      <c r="AR17" s="106">
        <v>1389.029555904061</v>
      </c>
      <c r="AS17" s="106">
        <v>356053.81316485733</v>
      </c>
      <c r="AT17" s="106">
        <v>5856680.6006458988</v>
      </c>
      <c r="AV17" s="107">
        <f t="shared" si="18"/>
        <v>0</v>
      </c>
      <c r="AX17" s="634">
        <f t="shared" si="0"/>
        <v>0</v>
      </c>
      <c r="AY17" s="634">
        <f t="shared" si="1"/>
        <v>0</v>
      </c>
      <c r="AZ17" s="634">
        <f t="shared" si="2"/>
        <v>0</v>
      </c>
      <c r="BA17" s="634">
        <f t="shared" si="3"/>
        <v>0</v>
      </c>
      <c r="BB17" s="634">
        <f t="shared" si="4"/>
        <v>0</v>
      </c>
      <c r="BC17" s="634">
        <f t="shared" si="5"/>
        <v>-392255.99567102059</v>
      </c>
      <c r="BD17" s="634">
        <f t="shared" si="6"/>
        <v>0</v>
      </c>
      <c r="BE17" s="634">
        <f t="shared" si="7"/>
        <v>0</v>
      </c>
      <c r="BF17" s="634">
        <f t="shared" si="8"/>
        <v>392255.9956710207</v>
      </c>
      <c r="BG17" s="634"/>
      <c r="BH17" s="634">
        <f t="shared" si="9"/>
        <v>0</v>
      </c>
      <c r="BI17" s="634">
        <f t="shared" si="10"/>
        <v>0</v>
      </c>
      <c r="BJ17" s="634">
        <f t="shared" si="11"/>
        <v>0</v>
      </c>
      <c r="BK17" s="634">
        <f t="shared" si="12"/>
        <v>-103.77044409593921</v>
      </c>
      <c r="BL17" s="634">
        <f t="shared" si="13"/>
        <v>-26599.766835142687</v>
      </c>
      <c r="BM17" s="634">
        <f t="shared" si="14"/>
        <v>-47097.649354096502</v>
      </c>
      <c r="BN17" s="634">
        <f t="shared" si="15"/>
        <v>103.77044409593918</v>
      </c>
      <c r="BO17" s="634">
        <f t="shared" si="16"/>
        <v>26599.766835142625</v>
      </c>
      <c r="BP17" s="634">
        <f t="shared" si="17"/>
        <v>47097.649354097433</v>
      </c>
    </row>
    <row r="18" spans="1:68" ht="15" x14ac:dyDescent="0.25">
      <c r="A18" s="91" t="s">
        <v>1308</v>
      </c>
      <c r="B18" s="234">
        <v>5511</v>
      </c>
      <c r="C18" s="92">
        <v>1</v>
      </c>
      <c r="D18" s="93" t="s">
        <v>1428</v>
      </c>
      <c r="F18" s="105">
        <v>0</v>
      </c>
      <c r="G18" s="105">
        <v>0</v>
      </c>
      <c r="H18" s="105">
        <v>0</v>
      </c>
      <c r="I18" s="105">
        <v>0</v>
      </c>
      <c r="J18" s="105">
        <v>0</v>
      </c>
      <c r="K18" s="105">
        <v>0</v>
      </c>
      <c r="L18" s="105">
        <f>SUMIF('TS by Location'!$B$36:$B$470,$B18,'TS by Location'!$D$36:$D$473)</f>
        <v>0</v>
      </c>
      <c r="M18" s="105">
        <f>SUMIF('TS by Location'!$B$36:$B$470,$B18,'TS by Location'!$E$36:$E$473)</f>
        <v>0</v>
      </c>
      <c r="N18" s="105">
        <f>SUMIF('TS by Location'!$B$36:$B$470,$B18,'TS by Location'!$F$36:$F$473)</f>
        <v>485767.81</v>
      </c>
      <c r="O18" s="310"/>
      <c r="P18" s="106">
        <v>0</v>
      </c>
      <c r="Q18" s="106">
        <v>0</v>
      </c>
      <c r="R18" s="106">
        <v>0</v>
      </c>
      <c r="S18" s="106">
        <v>0</v>
      </c>
      <c r="T18" s="106">
        <v>0</v>
      </c>
      <c r="U18" s="106">
        <v>0</v>
      </c>
      <c r="V18" s="106">
        <f>SUMIF('DS by Location'!$B$10:$B$859,$B18,'DS by Location'!$D$10:$D$859)</f>
        <v>187.19</v>
      </c>
      <c r="W18" s="106">
        <f>SUMIF('DS by Location'!$B$10:$B$859,$B18,'DS by Location'!$E$10:$E$859)</f>
        <v>148976.93000000002</v>
      </c>
      <c r="X18" s="106">
        <f>SUMIF('DS by Location'!$B$10:$B$859,$B18,'DS by Location'!$F$10:$F$859)</f>
        <v>1787024.05</v>
      </c>
      <c r="Z18" s="93" t="s">
        <v>1483</v>
      </c>
      <c r="AB18" s="105">
        <v>0</v>
      </c>
      <c r="AC18" s="105">
        <v>0</v>
      </c>
      <c r="AD18" s="105">
        <v>0</v>
      </c>
      <c r="AE18" s="105">
        <v>0</v>
      </c>
      <c r="AF18" s="105">
        <v>0</v>
      </c>
      <c r="AG18" s="105">
        <v>472673.53</v>
      </c>
      <c r="AH18" s="105">
        <v>0</v>
      </c>
      <c r="AI18" s="105">
        <v>0</v>
      </c>
      <c r="AJ18" s="105">
        <v>13094.28</v>
      </c>
      <c r="AK18" s="106"/>
      <c r="AL18" s="106">
        <v>0</v>
      </c>
      <c r="AM18" s="106">
        <v>0</v>
      </c>
      <c r="AN18" s="106">
        <v>0</v>
      </c>
      <c r="AO18" s="106">
        <v>73.430679942070284</v>
      </c>
      <c r="AP18" s="106">
        <v>58440.500377061857</v>
      </c>
      <c r="AQ18" s="106">
        <v>418894.671541763</v>
      </c>
      <c r="AR18" s="106">
        <v>113.75932005792971</v>
      </c>
      <c r="AS18" s="106">
        <v>90536.429622938129</v>
      </c>
      <c r="AT18" s="106">
        <v>1368129.378458237</v>
      </c>
      <c r="AV18" s="107">
        <f t="shared" si="18"/>
        <v>0</v>
      </c>
      <c r="AX18" s="634">
        <f t="shared" si="0"/>
        <v>0</v>
      </c>
      <c r="AY18" s="634">
        <f t="shared" si="1"/>
        <v>0</v>
      </c>
      <c r="AZ18" s="634">
        <f t="shared" si="2"/>
        <v>0</v>
      </c>
      <c r="BA18" s="634">
        <f t="shared" si="3"/>
        <v>0</v>
      </c>
      <c r="BB18" s="634">
        <f t="shared" si="4"/>
        <v>0</v>
      </c>
      <c r="BC18" s="634">
        <f t="shared" si="5"/>
        <v>-472673.53</v>
      </c>
      <c r="BD18" s="634">
        <f t="shared" si="6"/>
        <v>0</v>
      </c>
      <c r="BE18" s="634">
        <f t="shared" si="7"/>
        <v>0</v>
      </c>
      <c r="BF18" s="634">
        <f t="shared" si="8"/>
        <v>472673.52999999997</v>
      </c>
      <c r="BG18" s="634"/>
      <c r="BH18" s="634">
        <f t="shared" si="9"/>
        <v>0</v>
      </c>
      <c r="BI18" s="634">
        <f t="shared" si="10"/>
        <v>0</v>
      </c>
      <c r="BJ18" s="634">
        <f t="shared" si="11"/>
        <v>0</v>
      </c>
      <c r="BK18" s="634">
        <f t="shared" si="12"/>
        <v>-73.430679942070284</v>
      </c>
      <c r="BL18" s="634">
        <f t="shared" si="13"/>
        <v>-58440.500377061857</v>
      </c>
      <c r="BM18" s="634">
        <f t="shared" si="14"/>
        <v>-418894.671541763</v>
      </c>
      <c r="BN18" s="634">
        <f t="shared" si="15"/>
        <v>73.430679942070284</v>
      </c>
      <c r="BO18" s="634">
        <f t="shared" si="16"/>
        <v>58440.500377061893</v>
      </c>
      <c r="BP18" s="634">
        <f t="shared" si="17"/>
        <v>418894.671541763</v>
      </c>
    </row>
    <row r="19" spans="1:68" ht="15" x14ac:dyDescent="0.25">
      <c r="A19" s="91" t="s">
        <v>1309</v>
      </c>
      <c r="B19" s="234">
        <v>5547</v>
      </c>
      <c r="C19" s="92">
        <v>1</v>
      </c>
      <c r="D19" s="93" t="s">
        <v>1428</v>
      </c>
      <c r="F19" s="105">
        <v>0</v>
      </c>
      <c r="G19" s="105">
        <v>0</v>
      </c>
      <c r="H19" s="105">
        <v>0</v>
      </c>
      <c r="I19" s="105">
        <v>0</v>
      </c>
      <c r="J19" s="105">
        <v>0</v>
      </c>
      <c r="K19" s="105">
        <v>0</v>
      </c>
      <c r="L19" s="105">
        <f>SUMIF('TS by Location'!$B$36:$B$470,$B19,'TS by Location'!$D$36:$D$473)</f>
        <v>0</v>
      </c>
      <c r="M19" s="105">
        <f>SUMIF('TS by Location'!$B$36:$B$470,$B19,'TS by Location'!$E$36:$E$473)</f>
        <v>0</v>
      </c>
      <c r="N19" s="105">
        <f>SUMIF('TS by Location'!$B$36:$B$470,$B19,'TS by Location'!$F$36:$F$473)</f>
        <v>0</v>
      </c>
      <c r="O19" s="310"/>
      <c r="P19" s="106">
        <v>0</v>
      </c>
      <c r="Q19" s="106">
        <v>0</v>
      </c>
      <c r="R19" s="106">
        <v>0</v>
      </c>
      <c r="S19" s="106">
        <v>0</v>
      </c>
      <c r="T19" s="106">
        <v>0</v>
      </c>
      <c r="U19" s="106">
        <v>0</v>
      </c>
      <c r="V19" s="106">
        <f>SUMIF('DS by Location'!$B$10:$B$859,$B19,'DS by Location'!$D$10:$D$859)</f>
        <v>384.16</v>
      </c>
      <c r="W19" s="106">
        <f>SUMIF('DS by Location'!$B$10:$B$859,$B19,'DS by Location'!$E$10:$E$859)</f>
        <v>33392.47</v>
      </c>
      <c r="X19" s="106">
        <f>SUMIF('DS by Location'!$B$10:$B$859,$B19,'DS by Location'!$F$10:$F$859)</f>
        <v>579541.88</v>
      </c>
      <c r="Z19" s="93" t="s">
        <v>1483</v>
      </c>
      <c r="AB19" s="105">
        <v>0</v>
      </c>
      <c r="AC19" s="105">
        <v>0</v>
      </c>
      <c r="AD19" s="105">
        <v>0</v>
      </c>
      <c r="AE19" s="105">
        <v>0</v>
      </c>
      <c r="AF19" s="105">
        <v>0</v>
      </c>
      <c r="AG19" s="105">
        <v>0</v>
      </c>
      <c r="AH19" s="105">
        <v>0</v>
      </c>
      <c r="AI19" s="105">
        <v>0</v>
      </c>
      <c r="AJ19" s="105">
        <v>0</v>
      </c>
      <c r="AK19" s="106"/>
      <c r="AL19" s="106">
        <v>0</v>
      </c>
      <c r="AM19" s="106">
        <v>0</v>
      </c>
      <c r="AN19" s="106">
        <v>0</v>
      </c>
      <c r="AO19" s="106">
        <v>9.841270983683188</v>
      </c>
      <c r="AP19" s="106">
        <v>855.43613620499627</v>
      </c>
      <c r="AQ19" s="106">
        <v>14846.492834946905</v>
      </c>
      <c r="AR19" s="106">
        <v>374.31872901631687</v>
      </c>
      <c r="AS19" s="106">
        <v>32537.033863795008</v>
      </c>
      <c r="AT19" s="106">
        <v>564695.38716505305</v>
      </c>
      <c r="AV19" s="107">
        <f t="shared" si="18"/>
        <v>0</v>
      </c>
      <c r="AX19" s="634">
        <f t="shared" si="0"/>
        <v>0</v>
      </c>
      <c r="AY19" s="634">
        <f t="shared" si="1"/>
        <v>0</v>
      </c>
      <c r="AZ19" s="634">
        <f t="shared" si="2"/>
        <v>0</v>
      </c>
      <c r="BA19" s="634">
        <f t="shared" si="3"/>
        <v>0</v>
      </c>
      <c r="BB19" s="634">
        <f t="shared" si="4"/>
        <v>0</v>
      </c>
      <c r="BC19" s="634">
        <f t="shared" si="5"/>
        <v>0</v>
      </c>
      <c r="BD19" s="634">
        <f t="shared" si="6"/>
        <v>0</v>
      </c>
      <c r="BE19" s="634">
        <f t="shared" si="7"/>
        <v>0</v>
      </c>
      <c r="BF19" s="634">
        <f t="shared" si="8"/>
        <v>0</v>
      </c>
      <c r="BG19" s="634"/>
      <c r="BH19" s="634">
        <f t="shared" si="9"/>
        <v>0</v>
      </c>
      <c r="BI19" s="634">
        <f t="shared" si="10"/>
        <v>0</v>
      </c>
      <c r="BJ19" s="634">
        <f t="shared" si="11"/>
        <v>0</v>
      </c>
      <c r="BK19" s="634">
        <f t="shared" si="12"/>
        <v>-9.841270983683188</v>
      </c>
      <c r="BL19" s="634">
        <f t="shared" si="13"/>
        <v>-855.43613620499627</v>
      </c>
      <c r="BM19" s="634">
        <f t="shared" si="14"/>
        <v>-14846.492834946905</v>
      </c>
      <c r="BN19" s="634">
        <f t="shared" si="15"/>
        <v>9.8412709836831596</v>
      </c>
      <c r="BO19" s="634">
        <f t="shared" si="16"/>
        <v>855.43613620499309</v>
      </c>
      <c r="BP19" s="634">
        <f t="shared" si="17"/>
        <v>14846.492834946956</v>
      </c>
    </row>
    <row r="20" spans="1:68" ht="15" x14ac:dyDescent="0.25">
      <c r="A20" s="91" t="s">
        <v>1310</v>
      </c>
      <c r="B20" s="234">
        <v>5541</v>
      </c>
      <c r="C20" s="92">
        <v>1</v>
      </c>
      <c r="D20" s="93" t="s">
        <v>1428</v>
      </c>
      <c r="F20" s="105">
        <v>0</v>
      </c>
      <c r="G20" s="105">
        <v>0</v>
      </c>
      <c r="H20" s="105">
        <v>0</v>
      </c>
      <c r="I20" s="105">
        <v>0</v>
      </c>
      <c r="J20" s="105">
        <v>0</v>
      </c>
      <c r="K20" s="105">
        <v>0</v>
      </c>
      <c r="L20" s="105">
        <f>SUMIF('TS by Location'!$B$36:$B$470,$B20,'TS by Location'!$D$36:$D$473)</f>
        <v>0</v>
      </c>
      <c r="M20" s="105">
        <f>SUMIF('TS by Location'!$B$36:$B$470,$B20,'TS by Location'!$E$36:$E$473)</f>
        <v>0</v>
      </c>
      <c r="N20" s="105">
        <f>SUMIF('TS by Location'!$B$36:$B$470,$B20,'TS by Location'!$F$36:$F$473)</f>
        <v>560191.65000000014</v>
      </c>
      <c r="O20" s="310"/>
      <c r="P20" s="106">
        <v>0</v>
      </c>
      <c r="Q20" s="106">
        <v>0</v>
      </c>
      <c r="R20" s="106">
        <v>0</v>
      </c>
      <c r="S20" s="106">
        <v>0</v>
      </c>
      <c r="T20" s="106">
        <v>0</v>
      </c>
      <c r="U20" s="106">
        <v>0</v>
      </c>
      <c r="V20" s="106">
        <f>SUMIF('DS by Location'!$B$10:$B$859,$B20,'DS by Location'!$D$10:$D$859)</f>
        <v>1087.8700000000001</v>
      </c>
      <c r="W20" s="106">
        <f>SUMIF('DS by Location'!$B$10:$B$859,$B20,'DS by Location'!$E$10:$E$859)</f>
        <v>77814.950000000012</v>
      </c>
      <c r="X20" s="106">
        <f>SUMIF('DS by Location'!$B$10:$B$859,$B20,'DS by Location'!$F$10:$F$859)</f>
        <v>2300493.5500000017</v>
      </c>
      <c r="Z20" s="93" t="s">
        <v>1483</v>
      </c>
      <c r="AB20" s="105">
        <v>0</v>
      </c>
      <c r="AC20" s="105">
        <v>0</v>
      </c>
      <c r="AD20" s="105">
        <v>0</v>
      </c>
      <c r="AE20" s="105">
        <v>0</v>
      </c>
      <c r="AF20" s="105">
        <v>0</v>
      </c>
      <c r="AG20" s="105">
        <v>560191.65</v>
      </c>
      <c r="AH20" s="105">
        <v>0</v>
      </c>
      <c r="AI20" s="105">
        <v>0</v>
      </c>
      <c r="AJ20" s="105">
        <v>0</v>
      </c>
      <c r="AK20" s="106"/>
      <c r="AL20" s="106">
        <v>0</v>
      </c>
      <c r="AM20" s="106">
        <v>0</v>
      </c>
      <c r="AN20" s="106">
        <v>0</v>
      </c>
      <c r="AO20" s="106">
        <v>349.60129399717107</v>
      </c>
      <c r="AP20" s="106">
        <v>25006.854874502624</v>
      </c>
      <c r="AQ20" s="106">
        <v>359127.06238158618</v>
      </c>
      <c r="AR20" s="106">
        <v>738.26870600282894</v>
      </c>
      <c r="AS20" s="106">
        <v>52808.095125497377</v>
      </c>
      <c r="AT20" s="106">
        <v>1941366.487618414</v>
      </c>
      <c r="AV20" s="107">
        <f t="shared" si="18"/>
        <v>0</v>
      </c>
      <c r="AX20" s="634">
        <f t="shared" si="0"/>
        <v>0</v>
      </c>
      <c r="AY20" s="634">
        <f t="shared" si="1"/>
        <v>0</v>
      </c>
      <c r="AZ20" s="634">
        <f t="shared" si="2"/>
        <v>0</v>
      </c>
      <c r="BA20" s="634">
        <f t="shared" si="3"/>
        <v>0</v>
      </c>
      <c r="BB20" s="634">
        <f t="shared" si="4"/>
        <v>0</v>
      </c>
      <c r="BC20" s="634">
        <f t="shared" si="5"/>
        <v>-560191.65</v>
      </c>
      <c r="BD20" s="634">
        <f t="shared" si="6"/>
        <v>0</v>
      </c>
      <c r="BE20" s="634">
        <f t="shared" si="7"/>
        <v>0</v>
      </c>
      <c r="BF20" s="634">
        <f t="shared" si="8"/>
        <v>560191.65000000014</v>
      </c>
      <c r="BG20" s="634"/>
      <c r="BH20" s="634">
        <f t="shared" si="9"/>
        <v>0</v>
      </c>
      <c r="BI20" s="634">
        <f t="shared" si="10"/>
        <v>0</v>
      </c>
      <c r="BJ20" s="634">
        <f t="shared" si="11"/>
        <v>0</v>
      </c>
      <c r="BK20" s="634">
        <f t="shared" si="12"/>
        <v>-349.60129399717107</v>
      </c>
      <c r="BL20" s="634">
        <f t="shared" si="13"/>
        <v>-25006.854874502624</v>
      </c>
      <c r="BM20" s="634">
        <f t="shared" si="14"/>
        <v>-359127.06238158618</v>
      </c>
      <c r="BN20" s="634">
        <f t="shared" si="15"/>
        <v>349.60129399717118</v>
      </c>
      <c r="BO20" s="634">
        <f t="shared" si="16"/>
        <v>25006.854874502635</v>
      </c>
      <c r="BP20" s="634">
        <f t="shared" si="17"/>
        <v>359127.06238158769</v>
      </c>
    </row>
    <row r="21" spans="1:68" ht="15" x14ac:dyDescent="0.25">
      <c r="A21" s="91" t="s">
        <v>1311</v>
      </c>
      <c r="B21" s="234">
        <v>5553</v>
      </c>
      <c r="C21" s="92">
        <v>1</v>
      </c>
      <c r="D21" s="93" t="s">
        <v>1428</v>
      </c>
      <c r="F21" s="105">
        <v>0</v>
      </c>
      <c r="G21" s="105">
        <v>0</v>
      </c>
      <c r="H21" s="105">
        <v>0</v>
      </c>
      <c r="I21" s="105">
        <v>0</v>
      </c>
      <c r="J21" s="105">
        <v>0</v>
      </c>
      <c r="K21" s="105">
        <v>0</v>
      </c>
      <c r="L21" s="105">
        <f>SUMIF('TS by Location'!$B$36:$B$470,$B21,'TS by Location'!$D$36:$D$473)</f>
        <v>0</v>
      </c>
      <c r="M21" s="105">
        <f>SUMIF('TS by Location'!$B$36:$B$470,$B21,'TS by Location'!$E$36:$E$473)</f>
        <v>4528.7300000000005</v>
      </c>
      <c r="N21" s="105">
        <f>SUMIF('TS by Location'!$B$36:$B$470,$B21,'TS by Location'!$F$36:$F$473)</f>
        <v>231734.50000000003</v>
      </c>
      <c r="O21" s="310"/>
      <c r="P21" s="106">
        <v>0</v>
      </c>
      <c r="Q21" s="106">
        <v>0</v>
      </c>
      <c r="R21" s="106">
        <v>0</v>
      </c>
      <c r="S21" s="106">
        <v>0</v>
      </c>
      <c r="T21" s="106">
        <v>0</v>
      </c>
      <c r="U21" s="106">
        <v>0</v>
      </c>
      <c r="V21" s="106">
        <f>SUMIF('DS by Location'!$B$10:$B$859,$B21,'DS by Location'!$D$10:$D$859)</f>
        <v>0</v>
      </c>
      <c r="W21" s="106">
        <f>SUMIF('DS by Location'!$B$10:$B$859,$B21,'DS by Location'!$E$10:$E$859)</f>
        <v>50566.97</v>
      </c>
      <c r="X21" s="106">
        <f>SUMIF('DS by Location'!$B$10:$B$859,$B21,'DS by Location'!$F$10:$F$859)</f>
        <v>1419065.96</v>
      </c>
      <c r="Z21" s="93" t="s">
        <v>1483</v>
      </c>
      <c r="AB21" s="105">
        <v>0</v>
      </c>
      <c r="AC21" s="105">
        <v>0</v>
      </c>
      <c r="AD21" s="105">
        <v>0</v>
      </c>
      <c r="AE21" s="105">
        <v>0</v>
      </c>
      <c r="AF21" s="105">
        <v>2432.6344688971785</v>
      </c>
      <c r="AG21" s="105">
        <v>231734.5</v>
      </c>
      <c r="AH21" s="105">
        <v>0</v>
      </c>
      <c r="AI21" s="105">
        <v>2096.095531102821</v>
      </c>
      <c r="AJ21" s="105">
        <v>0</v>
      </c>
      <c r="AK21" s="106"/>
      <c r="AL21" s="106">
        <v>0</v>
      </c>
      <c r="AM21" s="106">
        <v>0</v>
      </c>
      <c r="AN21" s="106">
        <v>0</v>
      </c>
      <c r="AO21" s="106">
        <v>0</v>
      </c>
      <c r="AP21" s="106">
        <v>27134.333024002735</v>
      </c>
      <c r="AQ21" s="106">
        <v>655030.88157081918</v>
      </c>
      <c r="AR21" s="106">
        <v>0</v>
      </c>
      <c r="AS21" s="106">
        <v>23432.636975997273</v>
      </c>
      <c r="AT21" s="106">
        <v>764035.07842918055</v>
      </c>
      <c r="AV21" s="107">
        <f t="shared" si="18"/>
        <v>0</v>
      </c>
      <c r="AX21" s="634">
        <f t="shared" si="0"/>
        <v>0</v>
      </c>
      <c r="AY21" s="634">
        <f t="shared" si="1"/>
        <v>0</v>
      </c>
      <c r="AZ21" s="634">
        <f t="shared" si="2"/>
        <v>0</v>
      </c>
      <c r="BA21" s="634">
        <f t="shared" si="3"/>
        <v>0</v>
      </c>
      <c r="BB21" s="634">
        <f t="shared" si="4"/>
        <v>-2432.6344688971785</v>
      </c>
      <c r="BC21" s="634">
        <f t="shared" si="5"/>
        <v>-231734.5</v>
      </c>
      <c r="BD21" s="634">
        <f t="shared" si="6"/>
        <v>0</v>
      </c>
      <c r="BE21" s="634">
        <f t="shared" si="7"/>
        <v>2432.6344688971794</v>
      </c>
      <c r="BF21" s="634">
        <f t="shared" si="8"/>
        <v>231734.50000000003</v>
      </c>
      <c r="BG21" s="634"/>
      <c r="BH21" s="634">
        <f t="shared" si="9"/>
        <v>0</v>
      </c>
      <c r="BI21" s="634">
        <f t="shared" si="10"/>
        <v>0</v>
      </c>
      <c r="BJ21" s="634">
        <f t="shared" si="11"/>
        <v>0</v>
      </c>
      <c r="BK21" s="634">
        <f t="shared" si="12"/>
        <v>0</v>
      </c>
      <c r="BL21" s="634">
        <f t="shared" si="13"/>
        <v>-27134.333024002735</v>
      </c>
      <c r="BM21" s="634">
        <f t="shared" si="14"/>
        <v>-655030.88157081918</v>
      </c>
      <c r="BN21" s="634">
        <f t="shared" si="15"/>
        <v>0</v>
      </c>
      <c r="BO21" s="634">
        <f t="shared" si="16"/>
        <v>27134.333024002728</v>
      </c>
      <c r="BP21" s="634">
        <f t="shared" si="17"/>
        <v>655030.88157081942</v>
      </c>
    </row>
    <row r="22" spans="1:68" ht="15" x14ac:dyDescent="0.25">
      <c r="A22" s="91" t="s">
        <v>1312</v>
      </c>
      <c r="B22" s="234">
        <v>5357</v>
      </c>
      <c r="C22" s="92">
        <v>1</v>
      </c>
      <c r="D22" s="93" t="s">
        <v>1428</v>
      </c>
      <c r="F22" s="105">
        <v>0</v>
      </c>
      <c r="G22" s="105">
        <v>0</v>
      </c>
      <c r="H22" s="105">
        <v>0</v>
      </c>
      <c r="I22" s="105">
        <v>0</v>
      </c>
      <c r="J22" s="105">
        <v>0</v>
      </c>
      <c r="K22" s="105">
        <v>0</v>
      </c>
      <c r="L22" s="105">
        <f>SUMIF('TS by Location'!$B$36:$B$470,$B22,'TS by Location'!$D$36:$D$473)</f>
        <v>0</v>
      </c>
      <c r="M22" s="105">
        <f>SUMIF('TS by Location'!$B$36:$B$470,$B22,'TS by Location'!$E$36:$E$473)</f>
        <v>0</v>
      </c>
      <c r="N22" s="105">
        <f>SUMIF('TS by Location'!$B$36:$B$470,$B22,'TS by Location'!$F$36:$F$473)</f>
        <v>50024.65</v>
      </c>
      <c r="O22" s="310"/>
      <c r="P22" s="106">
        <v>0</v>
      </c>
      <c r="Q22" s="106">
        <v>0</v>
      </c>
      <c r="R22" s="106">
        <v>0</v>
      </c>
      <c r="S22" s="106">
        <v>0</v>
      </c>
      <c r="T22" s="106">
        <v>0</v>
      </c>
      <c r="U22" s="106">
        <v>0</v>
      </c>
      <c r="V22" s="106">
        <f>SUMIF('DS by Location'!$B$10:$B$859,$B22,'DS by Location'!$D$10:$D$859)</f>
        <v>678.89</v>
      </c>
      <c r="W22" s="106">
        <f>SUMIF('DS by Location'!$B$10:$B$859,$B22,'DS by Location'!$E$10:$E$859)</f>
        <v>12925.800000000001</v>
      </c>
      <c r="X22" s="106">
        <f>SUMIF('DS by Location'!$B$10:$B$859,$B22,'DS by Location'!$F$10:$F$859)</f>
        <v>1172975.2800000005</v>
      </c>
      <c r="Z22" s="93" t="s">
        <v>1483</v>
      </c>
      <c r="AB22" s="105">
        <v>0</v>
      </c>
      <c r="AC22" s="105">
        <v>0</v>
      </c>
      <c r="AD22" s="105">
        <v>0</v>
      </c>
      <c r="AE22" s="105">
        <v>0</v>
      </c>
      <c r="AF22" s="105">
        <v>0</v>
      </c>
      <c r="AG22" s="105">
        <v>50024.649999999994</v>
      </c>
      <c r="AH22" s="105">
        <v>0</v>
      </c>
      <c r="AI22" s="105">
        <v>0</v>
      </c>
      <c r="AJ22" s="105">
        <v>0</v>
      </c>
      <c r="AK22" s="106"/>
      <c r="AL22" s="106">
        <v>0</v>
      </c>
      <c r="AM22" s="106">
        <v>0</v>
      </c>
      <c r="AN22" s="106">
        <v>0</v>
      </c>
      <c r="AO22" s="106">
        <v>57.316968832837176</v>
      </c>
      <c r="AP22" s="106">
        <v>1091.2926626397309</v>
      </c>
      <c r="AQ22" s="106">
        <v>53230.146609718868</v>
      </c>
      <c r="AR22" s="106">
        <v>621.57303116716287</v>
      </c>
      <c r="AS22" s="106">
        <v>11834.507337360268</v>
      </c>
      <c r="AT22" s="106">
        <v>1119745.1333902811</v>
      </c>
      <c r="AV22" s="107">
        <f t="shared" si="18"/>
        <v>0</v>
      </c>
      <c r="AX22" s="634">
        <f t="shared" si="0"/>
        <v>0</v>
      </c>
      <c r="AY22" s="634">
        <f t="shared" si="1"/>
        <v>0</v>
      </c>
      <c r="AZ22" s="634">
        <f t="shared" si="2"/>
        <v>0</v>
      </c>
      <c r="BA22" s="634">
        <f t="shared" si="3"/>
        <v>0</v>
      </c>
      <c r="BB22" s="634">
        <f t="shared" si="4"/>
        <v>0</v>
      </c>
      <c r="BC22" s="634">
        <f t="shared" si="5"/>
        <v>-50024.649999999994</v>
      </c>
      <c r="BD22" s="634">
        <f t="shared" si="6"/>
        <v>0</v>
      </c>
      <c r="BE22" s="634">
        <f t="shared" si="7"/>
        <v>0</v>
      </c>
      <c r="BF22" s="634">
        <f t="shared" si="8"/>
        <v>50024.65</v>
      </c>
      <c r="BG22" s="634"/>
      <c r="BH22" s="634">
        <f t="shared" si="9"/>
        <v>0</v>
      </c>
      <c r="BI22" s="634">
        <f t="shared" si="10"/>
        <v>0</v>
      </c>
      <c r="BJ22" s="634">
        <f t="shared" si="11"/>
        <v>0</v>
      </c>
      <c r="BK22" s="634">
        <f t="shared" si="12"/>
        <v>-57.316968832837176</v>
      </c>
      <c r="BL22" s="634">
        <f t="shared" si="13"/>
        <v>-1091.2926626397309</v>
      </c>
      <c r="BM22" s="634">
        <f t="shared" si="14"/>
        <v>-53230.146609718868</v>
      </c>
      <c r="BN22" s="634">
        <f t="shared" si="15"/>
        <v>57.316968832837119</v>
      </c>
      <c r="BO22" s="634">
        <f t="shared" si="16"/>
        <v>1091.292662639733</v>
      </c>
      <c r="BP22" s="634">
        <f t="shared" si="17"/>
        <v>53230.146609719377</v>
      </c>
    </row>
    <row r="23" spans="1:68" ht="15" x14ac:dyDescent="0.25">
      <c r="A23" s="221" t="s">
        <v>3338</v>
      </c>
      <c r="B23" s="234">
        <v>5566</v>
      </c>
      <c r="C23" s="92">
        <v>1</v>
      </c>
      <c r="D23" s="93" t="s">
        <v>1428</v>
      </c>
      <c r="F23" s="105">
        <v>0</v>
      </c>
      <c r="G23" s="105">
        <v>0</v>
      </c>
      <c r="H23" s="105">
        <v>0</v>
      </c>
      <c r="I23" s="105">
        <v>0</v>
      </c>
      <c r="J23" s="105">
        <v>0</v>
      </c>
      <c r="K23" s="105">
        <v>0</v>
      </c>
      <c r="L23" s="105">
        <f>SUMIF('TS by Location'!$B$36:$B$470,$B23,'TS by Location'!$D$36:$D$473)</f>
        <v>0</v>
      </c>
      <c r="M23" s="105">
        <f>SUMIF('TS by Location'!$B$36:$B$470,$B23,'TS by Location'!$E$36:$E$473)</f>
        <v>0</v>
      </c>
      <c r="N23" s="105">
        <f>SUMIF('TS by Location'!$B$36:$B$470,$B23,'TS by Location'!$F$36:$F$473)</f>
        <v>189904.62</v>
      </c>
      <c r="O23" s="310"/>
      <c r="P23" s="106">
        <v>0</v>
      </c>
      <c r="Q23" s="106">
        <v>0</v>
      </c>
      <c r="R23" s="106">
        <v>0</v>
      </c>
      <c r="S23" s="106">
        <v>0</v>
      </c>
      <c r="T23" s="106">
        <v>0</v>
      </c>
      <c r="U23" s="106">
        <v>0</v>
      </c>
      <c r="V23" s="106">
        <f>SUMIF('DS by Location'!$B$10:$B$859,$B23,'DS by Location'!$D$10:$D$859)</f>
        <v>15905.07</v>
      </c>
      <c r="W23" s="106">
        <f>SUMIF('DS by Location'!$B$10:$B$859,$B23,'DS by Location'!$E$10:$E$859)</f>
        <v>290769.74</v>
      </c>
      <c r="X23" s="106">
        <f>SUMIF('DS by Location'!$B$10:$B$859,$B23,'DS by Location'!$F$10:$F$859)</f>
        <v>6263764.4399999995</v>
      </c>
      <c r="Z23" s="93" t="s">
        <v>1483</v>
      </c>
      <c r="AB23" s="105">
        <v>0</v>
      </c>
      <c r="AC23" s="105">
        <v>0</v>
      </c>
      <c r="AD23" s="105">
        <v>0</v>
      </c>
      <c r="AE23" s="105">
        <v>0</v>
      </c>
      <c r="AF23" s="105">
        <v>0</v>
      </c>
      <c r="AG23" s="105">
        <v>189904.62</v>
      </c>
      <c r="AH23" s="105">
        <v>0</v>
      </c>
      <c r="AI23" s="105">
        <v>0</v>
      </c>
      <c r="AJ23" s="105">
        <v>0</v>
      </c>
      <c r="AK23" s="106"/>
      <c r="AL23" s="106">
        <v>0</v>
      </c>
      <c r="AM23" s="106">
        <v>0</v>
      </c>
      <c r="AN23" s="106">
        <v>0</v>
      </c>
      <c r="AO23" s="106">
        <v>3074.3734362079886</v>
      </c>
      <c r="AP23" s="106">
        <v>52474.123947198284</v>
      </c>
      <c r="AQ23" s="106">
        <v>1061288.7965823612</v>
      </c>
      <c r="AR23" s="106">
        <v>12830.696563792011</v>
      </c>
      <c r="AS23" s="106">
        <v>238295.61605280172</v>
      </c>
      <c r="AT23" s="106">
        <v>5202475.6434176387</v>
      </c>
      <c r="AV23" s="107">
        <f t="shared" si="18"/>
        <v>0</v>
      </c>
      <c r="AX23" s="634">
        <f t="shared" si="0"/>
        <v>0</v>
      </c>
      <c r="AY23" s="634">
        <f t="shared" si="1"/>
        <v>0</v>
      </c>
      <c r="AZ23" s="634">
        <f t="shared" si="2"/>
        <v>0</v>
      </c>
      <c r="BA23" s="634">
        <f t="shared" si="3"/>
        <v>0</v>
      </c>
      <c r="BB23" s="634">
        <f t="shared" si="4"/>
        <v>0</v>
      </c>
      <c r="BC23" s="634">
        <f t="shared" si="5"/>
        <v>-189904.62</v>
      </c>
      <c r="BD23" s="634">
        <f t="shared" si="6"/>
        <v>0</v>
      </c>
      <c r="BE23" s="634">
        <f t="shared" si="7"/>
        <v>0</v>
      </c>
      <c r="BF23" s="634">
        <f t="shared" si="8"/>
        <v>189904.62</v>
      </c>
      <c r="BG23" s="634"/>
      <c r="BH23" s="634">
        <f t="shared" si="9"/>
        <v>0</v>
      </c>
      <c r="BI23" s="634">
        <f t="shared" si="10"/>
        <v>0</v>
      </c>
      <c r="BJ23" s="634">
        <f t="shared" si="11"/>
        <v>0</v>
      </c>
      <c r="BK23" s="634">
        <f t="shared" si="12"/>
        <v>-3074.3734362079886</v>
      </c>
      <c r="BL23" s="634">
        <f t="shared" si="13"/>
        <v>-52474.123947198284</v>
      </c>
      <c r="BM23" s="634">
        <f t="shared" si="14"/>
        <v>-1061288.7965823612</v>
      </c>
      <c r="BN23" s="634">
        <f t="shared" si="15"/>
        <v>3074.3734362079886</v>
      </c>
      <c r="BO23" s="634">
        <f t="shared" si="16"/>
        <v>52474.12394719827</v>
      </c>
      <c r="BP23" s="634">
        <f t="shared" si="17"/>
        <v>1061288.7965823608</v>
      </c>
    </row>
    <row r="24" spans="1:68" ht="15" x14ac:dyDescent="0.25">
      <c r="A24" s="91" t="s">
        <v>1313</v>
      </c>
      <c r="B24" s="234">
        <v>5512</v>
      </c>
      <c r="C24" s="92">
        <v>1</v>
      </c>
      <c r="D24" s="93" t="s">
        <v>1428</v>
      </c>
      <c r="F24" s="105">
        <v>0</v>
      </c>
      <c r="G24" s="105">
        <v>0</v>
      </c>
      <c r="H24" s="105">
        <v>0</v>
      </c>
      <c r="I24" s="105">
        <v>0</v>
      </c>
      <c r="J24" s="105">
        <v>0</v>
      </c>
      <c r="K24" s="105">
        <v>0</v>
      </c>
      <c r="L24" s="105">
        <f>SUMIF('TS by Location'!$B$36:$B$470,$B24,'TS by Location'!$D$36:$D$473)</f>
        <v>0</v>
      </c>
      <c r="M24" s="105">
        <f>SUMIF('TS by Location'!$B$36:$B$470,$B24,'TS by Location'!$E$36:$E$473)</f>
        <v>0</v>
      </c>
      <c r="N24" s="105">
        <f>SUMIF('TS by Location'!$B$36:$B$470,$B24,'TS by Location'!$F$36:$F$473)</f>
        <v>0</v>
      </c>
      <c r="O24" s="310"/>
      <c r="P24" s="106">
        <v>0</v>
      </c>
      <c r="Q24" s="106">
        <v>0</v>
      </c>
      <c r="R24" s="106">
        <v>0</v>
      </c>
      <c r="S24" s="106">
        <v>0</v>
      </c>
      <c r="T24" s="106">
        <v>0</v>
      </c>
      <c r="U24" s="106">
        <v>0</v>
      </c>
      <c r="V24" s="106">
        <f>SUMIF('DS by Location'!$B$10:$B$859,$B24,'DS by Location'!$D$10:$D$859)</f>
        <v>382.78000000000003</v>
      </c>
      <c r="W24" s="106">
        <f>SUMIF('DS by Location'!$B$10:$B$859,$B24,'DS by Location'!$E$10:$E$859)</f>
        <v>164070.01</v>
      </c>
      <c r="X24" s="106">
        <f>SUMIF('DS by Location'!$B$10:$B$859,$B24,'DS by Location'!$F$10:$F$859)</f>
        <v>1031548.77</v>
      </c>
      <c r="Z24" s="93" t="s">
        <v>1483</v>
      </c>
      <c r="AB24" s="105">
        <v>0</v>
      </c>
      <c r="AC24" s="105">
        <v>0</v>
      </c>
      <c r="AD24" s="105">
        <v>0</v>
      </c>
      <c r="AE24" s="105">
        <v>0</v>
      </c>
      <c r="AF24" s="105">
        <v>0</v>
      </c>
      <c r="AG24" s="105">
        <v>0</v>
      </c>
      <c r="AH24" s="105">
        <v>0</v>
      </c>
      <c r="AI24" s="105">
        <v>0</v>
      </c>
      <c r="AJ24" s="105">
        <v>0</v>
      </c>
      <c r="AK24" s="106"/>
      <c r="AL24" s="106">
        <v>0</v>
      </c>
      <c r="AM24" s="106">
        <v>0</v>
      </c>
      <c r="AN24" s="106">
        <v>0</v>
      </c>
      <c r="AO24" s="284">
        <v>56.934593500022451</v>
      </c>
      <c r="AP24" s="284">
        <v>24403.728838744497</v>
      </c>
      <c r="AQ24" s="284">
        <v>153432.28459009915</v>
      </c>
      <c r="AR24" s="311">
        <v>325.84540649997757</v>
      </c>
      <c r="AS24" s="311">
        <v>139666.28116125549</v>
      </c>
      <c r="AT24" s="311">
        <v>878116.4854099009</v>
      </c>
      <c r="AV24" s="107">
        <f t="shared" si="18"/>
        <v>0</v>
      </c>
      <c r="AX24" s="634">
        <f t="shared" si="0"/>
        <v>0</v>
      </c>
      <c r="AY24" s="634">
        <f t="shared" si="1"/>
        <v>0</v>
      </c>
      <c r="AZ24" s="634">
        <f t="shared" si="2"/>
        <v>0</v>
      </c>
      <c r="BA24" s="634">
        <f t="shared" si="3"/>
        <v>0</v>
      </c>
      <c r="BB24" s="634">
        <f t="shared" si="4"/>
        <v>0</v>
      </c>
      <c r="BC24" s="634">
        <f t="shared" si="5"/>
        <v>0</v>
      </c>
      <c r="BD24" s="634">
        <f t="shared" si="6"/>
        <v>0</v>
      </c>
      <c r="BE24" s="634">
        <f t="shared" si="7"/>
        <v>0</v>
      </c>
      <c r="BF24" s="634">
        <f t="shared" si="8"/>
        <v>0</v>
      </c>
      <c r="BG24" s="634"/>
      <c r="BH24" s="634">
        <f t="shared" si="9"/>
        <v>0</v>
      </c>
      <c r="BI24" s="634">
        <f t="shared" si="10"/>
        <v>0</v>
      </c>
      <c r="BJ24" s="634">
        <f t="shared" si="11"/>
        <v>0</v>
      </c>
      <c r="BK24" s="634">
        <f t="shared" si="12"/>
        <v>-56.934593500022451</v>
      </c>
      <c r="BL24" s="634">
        <f t="shared" si="13"/>
        <v>-24403.728838744497</v>
      </c>
      <c r="BM24" s="634">
        <f t="shared" si="14"/>
        <v>-153432.28459009915</v>
      </c>
      <c r="BN24" s="634">
        <f t="shared" si="15"/>
        <v>56.934593500022459</v>
      </c>
      <c r="BO24" s="634">
        <f t="shared" si="16"/>
        <v>24403.728838744515</v>
      </c>
      <c r="BP24" s="634">
        <f t="shared" si="17"/>
        <v>153432.28459009912</v>
      </c>
    </row>
    <row r="25" spans="1:68" ht="15" x14ac:dyDescent="0.25">
      <c r="A25" s="221" t="s">
        <v>3342</v>
      </c>
      <c r="B25" s="234">
        <v>5079</v>
      </c>
      <c r="C25" s="92"/>
      <c r="D25" s="93" t="s">
        <v>1483</v>
      </c>
      <c r="F25" s="283">
        <v>0</v>
      </c>
      <c r="G25" s="283">
        <v>0</v>
      </c>
      <c r="H25" s="283">
        <v>0</v>
      </c>
      <c r="I25" s="283"/>
      <c r="J25" s="283"/>
      <c r="K25" s="283"/>
      <c r="L25" s="283"/>
      <c r="M25" s="283"/>
      <c r="N25" s="283"/>
      <c r="O25" s="310"/>
      <c r="P25" s="284">
        <v>0</v>
      </c>
      <c r="Q25" s="284">
        <v>0</v>
      </c>
      <c r="R25" s="284">
        <v>0</v>
      </c>
      <c r="S25" s="284"/>
      <c r="T25" s="284"/>
      <c r="U25" s="284"/>
      <c r="V25" s="284"/>
      <c r="W25" s="284"/>
      <c r="X25" s="284"/>
      <c r="Z25" s="93" t="s">
        <v>1483</v>
      </c>
      <c r="AB25" s="105">
        <v>0</v>
      </c>
      <c r="AC25" s="105">
        <v>0</v>
      </c>
      <c r="AD25" s="105">
        <v>0</v>
      </c>
      <c r="AE25" s="105"/>
      <c r="AF25" s="105"/>
      <c r="AG25" s="105"/>
      <c r="AH25" s="105"/>
      <c r="AI25" s="105"/>
      <c r="AJ25" s="105"/>
      <c r="AK25" s="106"/>
      <c r="AL25" s="106">
        <v>0</v>
      </c>
      <c r="AM25" s="106">
        <v>0</v>
      </c>
      <c r="AN25" s="106">
        <v>0</v>
      </c>
      <c r="AO25" s="106"/>
      <c r="AP25" s="106"/>
      <c r="AQ25" s="106"/>
      <c r="AR25" s="106"/>
      <c r="AS25" s="106"/>
      <c r="AT25" s="106"/>
      <c r="AV25" s="107">
        <f t="shared" si="18"/>
        <v>0</v>
      </c>
      <c r="AX25" s="634">
        <f t="shared" si="0"/>
        <v>0</v>
      </c>
      <c r="AY25" s="634">
        <f t="shared" si="1"/>
        <v>0</v>
      </c>
      <c r="AZ25" s="634">
        <f t="shared" si="2"/>
        <v>0</v>
      </c>
      <c r="BA25" s="634">
        <f t="shared" si="3"/>
        <v>0</v>
      </c>
      <c r="BB25" s="634">
        <f t="shared" si="4"/>
        <v>0</v>
      </c>
      <c r="BC25" s="634">
        <f t="shared" si="5"/>
        <v>0</v>
      </c>
      <c r="BD25" s="634">
        <f t="shared" si="6"/>
        <v>0</v>
      </c>
      <c r="BE25" s="634">
        <f t="shared" si="7"/>
        <v>0</v>
      </c>
      <c r="BF25" s="634">
        <f t="shared" si="8"/>
        <v>0</v>
      </c>
      <c r="BG25" s="634"/>
      <c r="BH25" s="634">
        <f t="shared" si="9"/>
        <v>0</v>
      </c>
      <c r="BI25" s="634">
        <f t="shared" si="10"/>
        <v>0</v>
      </c>
      <c r="BJ25" s="634">
        <f t="shared" si="11"/>
        <v>0</v>
      </c>
      <c r="BK25" s="634">
        <f t="shared" si="12"/>
        <v>0</v>
      </c>
      <c r="BL25" s="634">
        <f t="shared" si="13"/>
        <v>0</v>
      </c>
      <c r="BM25" s="634">
        <f t="shared" si="14"/>
        <v>0</v>
      </c>
      <c r="BN25" s="634">
        <f t="shared" si="15"/>
        <v>0</v>
      </c>
      <c r="BO25" s="634">
        <f t="shared" si="16"/>
        <v>0</v>
      </c>
      <c r="BP25" s="634">
        <f t="shared" si="17"/>
        <v>0</v>
      </c>
    </row>
    <row r="26" spans="1:68" ht="15" x14ac:dyDescent="0.25">
      <c r="A26" s="91" t="s">
        <v>1314</v>
      </c>
      <c r="B26" s="234">
        <v>5358</v>
      </c>
      <c r="C26" s="92">
        <v>1</v>
      </c>
      <c r="D26" s="93" t="s">
        <v>1428</v>
      </c>
      <c r="F26" s="105">
        <v>0</v>
      </c>
      <c r="G26" s="105">
        <v>0</v>
      </c>
      <c r="H26" s="105">
        <v>0</v>
      </c>
      <c r="I26" s="105">
        <v>0</v>
      </c>
      <c r="J26" s="105">
        <v>0</v>
      </c>
      <c r="K26" s="105">
        <v>0</v>
      </c>
      <c r="L26" s="105">
        <f>SUMIF('TS by Location'!$B$36:$B$470,$B26,'TS by Location'!$D$36:$D$473)</f>
        <v>0</v>
      </c>
      <c r="M26" s="105">
        <f>SUMIF('TS by Location'!$B$36:$B$470,$B26,'TS by Location'!$E$36:$E$473)</f>
        <v>0</v>
      </c>
      <c r="N26" s="105">
        <f>SUMIF('TS by Location'!$B$36:$B$470,$B26,'TS by Location'!$F$36:$F$473)</f>
        <v>1245448.76</v>
      </c>
      <c r="O26" s="310"/>
      <c r="P26" s="106">
        <v>0</v>
      </c>
      <c r="Q26" s="106">
        <v>0</v>
      </c>
      <c r="R26" s="106">
        <v>0</v>
      </c>
      <c r="S26" s="106">
        <v>0</v>
      </c>
      <c r="T26" s="106">
        <v>0</v>
      </c>
      <c r="U26" s="106">
        <v>0</v>
      </c>
      <c r="V26" s="106">
        <f>SUMIF('DS by Location'!$B$10:$B$859,$B26,'DS by Location'!$D$10:$D$859)</f>
        <v>295.7</v>
      </c>
      <c r="W26" s="106">
        <f>SUMIF('DS by Location'!$B$10:$B$859,$B26,'DS by Location'!$E$10:$E$859)</f>
        <v>640438.54999999993</v>
      </c>
      <c r="X26" s="106">
        <f>SUMIF('DS by Location'!$B$10:$B$859,$B26,'DS by Location'!$F$10:$F$859)</f>
        <v>8271511.7800000031</v>
      </c>
      <c r="Z26" s="93" t="s">
        <v>1483</v>
      </c>
      <c r="AB26" s="105">
        <v>0</v>
      </c>
      <c r="AC26" s="105">
        <v>0</v>
      </c>
      <c r="AD26" s="105">
        <v>0</v>
      </c>
      <c r="AE26" s="105">
        <v>0</v>
      </c>
      <c r="AF26" s="105">
        <v>0</v>
      </c>
      <c r="AG26" s="105">
        <v>1142050.1482824141</v>
      </c>
      <c r="AH26" s="105">
        <v>0</v>
      </c>
      <c r="AI26" s="105">
        <v>0</v>
      </c>
      <c r="AJ26" s="105">
        <v>103398.61171758593</v>
      </c>
      <c r="AK26" s="106"/>
      <c r="AL26" s="106">
        <v>0</v>
      </c>
      <c r="AM26" s="106">
        <v>0</v>
      </c>
      <c r="AN26" s="106">
        <v>0</v>
      </c>
      <c r="AO26" s="106">
        <v>37.630916716401167</v>
      </c>
      <c r="AP26" s="106">
        <v>79982.537125835457</v>
      </c>
      <c r="AQ26" s="106">
        <v>70602.550340952133</v>
      </c>
      <c r="AR26" s="106">
        <v>258.06908328359879</v>
      </c>
      <c r="AS26" s="106">
        <v>560456.0128741645</v>
      </c>
      <c r="AT26" s="106">
        <v>8200909.2296590451</v>
      </c>
      <c r="AV26" s="107">
        <f t="shared" si="18"/>
        <v>0</v>
      </c>
      <c r="AX26" s="634">
        <f t="shared" si="0"/>
        <v>0</v>
      </c>
      <c r="AY26" s="634">
        <f t="shared" si="1"/>
        <v>0</v>
      </c>
      <c r="AZ26" s="634">
        <f t="shared" si="2"/>
        <v>0</v>
      </c>
      <c r="BA26" s="634">
        <f t="shared" si="3"/>
        <v>0</v>
      </c>
      <c r="BB26" s="634">
        <f t="shared" si="4"/>
        <v>0</v>
      </c>
      <c r="BC26" s="634">
        <f t="shared" si="5"/>
        <v>-1142050.1482824141</v>
      </c>
      <c r="BD26" s="634">
        <f t="shared" si="6"/>
        <v>0</v>
      </c>
      <c r="BE26" s="634">
        <f t="shared" si="7"/>
        <v>0</v>
      </c>
      <c r="BF26" s="634">
        <f t="shared" si="8"/>
        <v>1142050.1482824141</v>
      </c>
      <c r="BG26" s="634"/>
      <c r="BH26" s="634">
        <f t="shared" si="9"/>
        <v>0</v>
      </c>
      <c r="BI26" s="634">
        <f t="shared" si="10"/>
        <v>0</v>
      </c>
      <c r="BJ26" s="634">
        <f t="shared" si="11"/>
        <v>0</v>
      </c>
      <c r="BK26" s="634">
        <f t="shared" si="12"/>
        <v>-37.630916716401167</v>
      </c>
      <c r="BL26" s="634">
        <f t="shared" si="13"/>
        <v>-79982.537125835457</v>
      </c>
      <c r="BM26" s="634">
        <f t="shared" si="14"/>
        <v>-70602.550340952133</v>
      </c>
      <c r="BN26" s="634">
        <f t="shared" si="15"/>
        <v>37.630916716401202</v>
      </c>
      <c r="BO26" s="634">
        <f t="shared" si="16"/>
        <v>79982.537125835428</v>
      </c>
      <c r="BP26" s="634">
        <f t="shared" si="17"/>
        <v>70602.55034095794</v>
      </c>
    </row>
    <row r="27" spans="1:68" ht="15" x14ac:dyDescent="0.25">
      <c r="A27" s="91" t="s">
        <v>3346</v>
      </c>
      <c r="B27" s="234">
        <v>8504</v>
      </c>
      <c r="C27" s="92">
        <v>1</v>
      </c>
      <c r="D27" s="93" t="s">
        <v>1428</v>
      </c>
      <c r="F27" s="105">
        <v>0</v>
      </c>
      <c r="G27" s="105">
        <v>0</v>
      </c>
      <c r="H27" s="105">
        <v>0</v>
      </c>
      <c r="I27" s="105">
        <v>0</v>
      </c>
      <c r="J27" s="105">
        <v>0</v>
      </c>
      <c r="K27" s="105">
        <v>0</v>
      </c>
      <c r="L27" s="105">
        <f>SUMIF('TS by Location'!$B$36:$B$470,$B27,'TS by Location'!$D$36:$D$473)</f>
        <v>942423.45000000007</v>
      </c>
      <c r="M27" s="105">
        <f>SUMIF('TS by Location'!$B$36:$B$470,$B27,'TS by Location'!$E$36:$E$473)</f>
        <v>0</v>
      </c>
      <c r="N27" s="105">
        <f>SUMIF('TS by Location'!$B$36:$B$470,$B27,'TS by Location'!$F$36:$F$473)</f>
        <v>0</v>
      </c>
      <c r="O27" s="310"/>
      <c r="P27" s="106">
        <v>0</v>
      </c>
      <c r="Q27" s="106">
        <v>0</v>
      </c>
      <c r="R27" s="106">
        <v>0</v>
      </c>
      <c r="S27" s="106">
        <v>0</v>
      </c>
      <c r="T27" s="106">
        <v>0</v>
      </c>
      <c r="U27" s="106">
        <v>0</v>
      </c>
      <c r="V27" s="106">
        <f>SUMIF('DS by Location'!$B$10:$B$859,$B27,'DS by Location'!$D$10:$D$859)</f>
        <v>0</v>
      </c>
      <c r="W27" s="106">
        <f>SUMIF('DS by Location'!$B$10:$B$859,$B27,'DS by Location'!$E$10:$E$859)</f>
        <v>610351.94000000018</v>
      </c>
      <c r="X27" s="106">
        <f>SUMIF('DS by Location'!$B$10:$B$859,$B27,'DS by Location'!$F$10:$F$859)</f>
        <v>8828177.4900000021</v>
      </c>
      <c r="Z27" s="93" t="s">
        <v>1483</v>
      </c>
      <c r="AB27" s="105">
        <v>0</v>
      </c>
      <c r="AC27" s="105">
        <v>0</v>
      </c>
      <c r="AD27" s="105">
        <v>0</v>
      </c>
      <c r="AE27" s="105">
        <v>351410.00063079083</v>
      </c>
      <c r="AF27" s="105">
        <v>0</v>
      </c>
      <c r="AG27" s="105">
        <v>0</v>
      </c>
      <c r="AH27" s="105">
        <v>591013.44936920935</v>
      </c>
      <c r="AI27" s="105">
        <v>0</v>
      </c>
      <c r="AJ27" s="105">
        <v>0</v>
      </c>
      <c r="AK27" s="106"/>
      <c r="AL27" s="106">
        <v>0</v>
      </c>
      <c r="AM27" s="106">
        <v>0</v>
      </c>
      <c r="AN27" s="106">
        <v>0</v>
      </c>
      <c r="AO27" s="106">
        <v>0</v>
      </c>
      <c r="AP27" s="106">
        <v>227597.62265644516</v>
      </c>
      <c r="AQ27" s="106">
        <v>3291832.6641748496</v>
      </c>
      <c r="AR27" s="106">
        <v>0</v>
      </c>
      <c r="AS27" s="106">
        <v>382754.31734355493</v>
      </c>
      <c r="AT27" s="106">
        <v>5536344.825825152</v>
      </c>
      <c r="AV27" s="107">
        <f t="shared" si="18"/>
        <v>0</v>
      </c>
      <c r="AX27" s="634">
        <f t="shared" si="0"/>
        <v>0</v>
      </c>
      <c r="AY27" s="634">
        <f t="shared" si="1"/>
        <v>0</v>
      </c>
      <c r="AZ27" s="634">
        <f t="shared" si="2"/>
        <v>0</v>
      </c>
      <c r="BA27" s="634">
        <f t="shared" si="3"/>
        <v>-351410.00063079083</v>
      </c>
      <c r="BB27" s="634">
        <f t="shared" si="4"/>
        <v>0</v>
      </c>
      <c r="BC27" s="634">
        <f t="shared" si="5"/>
        <v>0</v>
      </c>
      <c r="BD27" s="634">
        <f t="shared" si="6"/>
        <v>351410.00063079072</v>
      </c>
      <c r="BE27" s="634">
        <f t="shared" si="7"/>
        <v>0</v>
      </c>
      <c r="BF27" s="634">
        <f t="shared" si="8"/>
        <v>0</v>
      </c>
      <c r="BG27" s="634"/>
      <c r="BH27" s="634">
        <f t="shared" si="9"/>
        <v>0</v>
      </c>
      <c r="BI27" s="634">
        <f t="shared" si="10"/>
        <v>0</v>
      </c>
      <c r="BJ27" s="634">
        <f t="shared" si="11"/>
        <v>0</v>
      </c>
      <c r="BK27" s="634">
        <f t="shared" si="12"/>
        <v>0</v>
      </c>
      <c r="BL27" s="634">
        <f t="shared" si="13"/>
        <v>-227597.62265644516</v>
      </c>
      <c r="BM27" s="634">
        <f t="shared" si="14"/>
        <v>-3291832.6641748496</v>
      </c>
      <c r="BN27" s="634">
        <f t="shared" si="15"/>
        <v>0</v>
      </c>
      <c r="BO27" s="634">
        <f t="shared" si="16"/>
        <v>227597.62265644525</v>
      </c>
      <c r="BP27" s="634">
        <f t="shared" si="17"/>
        <v>3291832.6641748501</v>
      </c>
    </row>
    <row r="28" spans="1:68" ht="15" x14ac:dyDescent="0.25">
      <c r="A28" s="91" t="s">
        <v>1315</v>
      </c>
      <c r="B28" s="234">
        <v>2313</v>
      </c>
      <c r="C28" s="92">
        <v>1</v>
      </c>
      <c r="D28" s="93" t="s">
        <v>1428</v>
      </c>
      <c r="F28" s="105">
        <v>0</v>
      </c>
      <c r="G28" s="105">
        <v>0</v>
      </c>
      <c r="H28" s="105">
        <v>0</v>
      </c>
      <c r="I28" s="105">
        <v>0</v>
      </c>
      <c r="J28" s="105">
        <v>0</v>
      </c>
      <c r="K28" s="105">
        <v>0</v>
      </c>
      <c r="L28" s="105">
        <f>SUMIF('TS by Location'!$B$36:$B$470,$B28,'TS by Location'!$D$36:$D$473)</f>
        <v>0</v>
      </c>
      <c r="M28" s="105">
        <f>SUMIF('TS by Location'!$B$36:$B$470,$B28,'TS by Location'!$E$36:$E$473)</f>
        <v>4183.66</v>
      </c>
      <c r="N28" s="105">
        <f>SUMIF('TS by Location'!$B$36:$B$470,$B28,'TS by Location'!$F$36:$F$473)</f>
        <v>354262.18000000011</v>
      </c>
      <c r="O28" s="310"/>
      <c r="P28" s="106">
        <v>0</v>
      </c>
      <c r="Q28" s="106">
        <v>0</v>
      </c>
      <c r="R28" s="106">
        <v>0</v>
      </c>
      <c r="S28" s="106">
        <v>0</v>
      </c>
      <c r="T28" s="106">
        <v>0</v>
      </c>
      <c r="U28" s="106">
        <v>0</v>
      </c>
      <c r="V28" s="106">
        <f>SUMIF('DS by Location'!$B$10:$B$859,$B28,'DS by Location'!$D$10:$D$859)</f>
        <v>0</v>
      </c>
      <c r="W28" s="106">
        <f>SUMIF('DS by Location'!$B$10:$B$859,$B28,'DS by Location'!$E$10:$E$859)</f>
        <v>0</v>
      </c>
      <c r="X28" s="106">
        <f>SUMIF('DS by Location'!$B$10:$B$859,$B28,'DS by Location'!$F$10:$F$859)</f>
        <v>0</v>
      </c>
      <c r="Z28" s="93" t="s">
        <v>1483</v>
      </c>
      <c r="AB28" s="105">
        <v>0</v>
      </c>
      <c r="AC28" s="105">
        <v>0</v>
      </c>
      <c r="AD28" s="105">
        <v>0</v>
      </c>
      <c r="AE28" s="105">
        <v>0</v>
      </c>
      <c r="AF28" s="105">
        <v>2138.0428429581966</v>
      </c>
      <c r="AG28" s="105">
        <v>181855.91936040806</v>
      </c>
      <c r="AH28" s="105">
        <v>0</v>
      </c>
      <c r="AI28" s="105">
        <v>2045.6171570418051</v>
      </c>
      <c r="AJ28" s="105">
        <v>172406.26063959228</v>
      </c>
      <c r="AK28" s="106"/>
      <c r="AL28" s="106">
        <v>0</v>
      </c>
      <c r="AM28" s="106">
        <v>0</v>
      </c>
      <c r="AN28" s="106">
        <v>0</v>
      </c>
      <c r="AO28" s="106">
        <v>0</v>
      </c>
      <c r="AP28" s="106">
        <v>0</v>
      </c>
      <c r="AQ28" s="106">
        <v>0</v>
      </c>
      <c r="AR28" s="106">
        <v>0</v>
      </c>
      <c r="AS28" s="106">
        <v>0</v>
      </c>
      <c r="AT28" s="106">
        <v>0</v>
      </c>
      <c r="AV28" s="107">
        <f t="shared" si="18"/>
        <v>0</v>
      </c>
      <c r="AX28" s="634">
        <f t="shared" si="0"/>
        <v>0</v>
      </c>
      <c r="AY28" s="634">
        <f t="shared" si="1"/>
        <v>0</v>
      </c>
      <c r="AZ28" s="634">
        <f t="shared" si="2"/>
        <v>0</v>
      </c>
      <c r="BA28" s="634">
        <f t="shared" si="3"/>
        <v>0</v>
      </c>
      <c r="BB28" s="634">
        <f t="shared" si="4"/>
        <v>-2138.0428429581966</v>
      </c>
      <c r="BC28" s="634">
        <f t="shared" si="5"/>
        <v>-181855.91936040806</v>
      </c>
      <c r="BD28" s="634">
        <f t="shared" si="6"/>
        <v>0</v>
      </c>
      <c r="BE28" s="634">
        <f t="shared" si="7"/>
        <v>2138.0428429581948</v>
      </c>
      <c r="BF28" s="634">
        <f t="shared" si="8"/>
        <v>181855.91936040783</v>
      </c>
      <c r="BG28" s="634"/>
      <c r="BH28" s="634">
        <f t="shared" si="9"/>
        <v>0</v>
      </c>
      <c r="BI28" s="634">
        <f t="shared" si="10"/>
        <v>0</v>
      </c>
      <c r="BJ28" s="634">
        <f t="shared" si="11"/>
        <v>0</v>
      </c>
      <c r="BK28" s="634">
        <f t="shared" si="12"/>
        <v>0</v>
      </c>
      <c r="BL28" s="634">
        <f t="shared" si="13"/>
        <v>0</v>
      </c>
      <c r="BM28" s="634">
        <f t="shared" si="14"/>
        <v>0</v>
      </c>
      <c r="BN28" s="634">
        <f t="shared" si="15"/>
        <v>0</v>
      </c>
      <c r="BO28" s="634">
        <f t="shared" si="16"/>
        <v>0</v>
      </c>
      <c r="BP28" s="634">
        <f t="shared" si="17"/>
        <v>0</v>
      </c>
    </row>
    <row r="29" spans="1:68" s="322" customFormat="1" ht="15" x14ac:dyDescent="0.25">
      <c r="B29" s="323"/>
      <c r="C29" s="324"/>
      <c r="D29" s="324"/>
      <c r="F29" s="325"/>
      <c r="G29" s="325"/>
      <c r="H29" s="325"/>
      <c r="I29" s="325"/>
      <c r="J29" s="325"/>
      <c r="K29" s="325"/>
      <c r="L29" s="325"/>
      <c r="M29" s="325"/>
      <c r="N29" s="325"/>
      <c r="O29" s="326"/>
      <c r="P29" s="327"/>
      <c r="Q29" s="327"/>
      <c r="R29" s="327"/>
      <c r="S29" s="327"/>
      <c r="T29" s="327"/>
      <c r="U29" s="327"/>
      <c r="V29" s="327"/>
      <c r="W29" s="327"/>
      <c r="X29" s="327"/>
      <c r="Z29" s="324"/>
      <c r="AB29" s="325"/>
      <c r="AC29" s="325"/>
      <c r="AD29" s="325"/>
      <c r="AE29" s="325"/>
      <c r="AF29" s="325"/>
      <c r="AG29" s="325"/>
      <c r="AH29" s="325"/>
      <c r="AI29" s="325"/>
      <c r="AJ29" s="325"/>
      <c r="AK29" s="327"/>
      <c r="AL29" s="327"/>
      <c r="AM29" s="327"/>
      <c r="AN29" s="327"/>
      <c r="AO29" s="327"/>
      <c r="AP29" s="327"/>
      <c r="AQ29" s="327"/>
      <c r="AR29" s="327"/>
      <c r="AS29" s="327"/>
      <c r="AT29" s="327"/>
      <c r="AV29" s="328"/>
    </row>
    <row r="30" spans="1:68" ht="15" x14ac:dyDescent="0.25">
      <c r="B30" s="32"/>
      <c r="F30" s="102"/>
      <c r="G30" s="102"/>
      <c r="H30" s="102"/>
      <c r="I30" s="102"/>
      <c r="K30" s="102"/>
      <c r="L30" s="102"/>
      <c r="M30" s="102"/>
      <c r="N30" s="102"/>
      <c r="P30" s="94"/>
      <c r="Q30" s="94"/>
      <c r="R30" s="94"/>
      <c r="S30" s="94"/>
      <c r="V30" s="94"/>
      <c r="W30" s="94"/>
      <c r="X30" s="94"/>
      <c r="AO30" s="286"/>
      <c r="AP30" s="286"/>
      <c r="AQ30" s="286"/>
      <c r="AR30" s="286"/>
      <c r="AS30" s="286"/>
      <c r="AT30" s="287"/>
    </row>
    <row r="31" spans="1:68" ht="15" x14ac:dyDescent="0.25">
      <c r="B31" s="32"/>
      <c r="F31" s="283"/>
      <c r="G31" s="283"/>
      <c r="H31" s="283"/>
      <c r="I31" s="283"/>
      <c r="J31" s="283"/>
      <c r="K31" s="283"/>
      <c r="L31" s="283"/>
      <c r="M31" s="283"/>
      <c r="N31" s="283"/>
      <c r="O31" s="284"/>
      <c r="P31" s="284"/>
      <c r="Q31" s="284"/>
      <c r="R31" s="284"/>
      <c r="S31" s="284"/>
      <c r="T31" s="284"/>
      <c r="U31" s="284"/>
      <c r="V31" s="284"/>
      <c r="W31" s="284"/>
      <c r="X31" s="284"/>
      <c r="AB31" s="283"/>
      <c r="AC31" s="283"/>
      <c r="AD31" s="283"/>
      <c r="AK31" s="284"/>
      <c r="AL31" s="284"/>
      <c r="AM31" s="284"/>
      <c r="AN31" s="284"/>
      <c r="AO31" s="284"/>
      <c r="AP31" s="284"/>
      <c r="AQ31" s="284"/>
      <c r="AR31" s="311"/>
      <c r="AS31" s="311"/>
      <c r="AT31" s="311"/>
    </row>
    <row r="32" spans="1:68" ht="15" x14ac:dyDescent="0.25">
      <c r="B32" s="32"/>
      <c r="F32" s="102"/>
      <c r="G32" s="102"/>
      <c r="H32" s="102"/>
      <c r="I32" s="102"/>
      <c r="K32" s="102"/>
      <c r="L32" s="102"/>
      <c r="M32" s="102"/>
      <c r="N32" s="102"/>
      <c r="P32" s="726"/>
      <c r="Q32" s="726"/>
      <c r="R32" s="726"/>
      <c r="S32" s="726"/>
      <c r="T32" s="726"/>
      <c r="U32" s="726"/>
      <c r="V32" s="726"/>
      <c r="W32" s="726"/>
      <c r="X32" s="726"/>
    </row>
    <row r="33" spans="1:33" x14ac:dyDescent="0.2">
      <c r="B33" s="98"/>
      <c r="K33" s="103"/>
      <c r="L33" s="103"/>
      <c r="M33" s="103"/>
      <c r="N33" s="103"/>
    </row>
    <row r="34" spans="1:33" x14ac:dyDescent="0.2">
      <c r="B34" s="32"/>
      <c r="K34" s="103"/>
      <c r="L34" s="103"/>
      <c r="M34" s="103"/>
      <c r="N34" s="103"/>
    </row>
    <row r="35" spans="1:33" x14ac:dyDescent="0.2">
      <c r="B35" s="32"/>
    </row>
    <row r="36" spans="1:33" x14ac:dyDescent="0.2">
      <c r="A36" s="221"/>
      <c r="B36" s="32"/>
    </row>
    <row r="37" spans="1:33" x14ac:dyDescent="0.2">
      <c r="B37" s="32"/>
      <c r="AG37" s="110"/>
    </row>
    <row r="38" spans="1:33" x14ac:dyDescent="0.2">
      <c r="B38" s="32"/>
    </row>
    <row r="39" spans="1:33" x14ac:dyDescent="0.2">
      <c r="B39" s="32"/>
    </row>
    <row r="40" spans="1:33" x14ac:dyDescent="0.2">
      <c r="B40" s="32"/>
    </row>
    <row r="41" spans="1:33" x14ac:dyDescent="0.2">
      <c r="B41" s="32"/>
    </row>
    <row r="42" spans="1:33" x14ac:dyDescent="0.2">
      <c r="B42" s="32"/>
    </row>
    <row r="43" spans="1:33" x14ac:dyDescent="0.2">
      <c r="B43" s="32"/>
    </row>
    <row r="44" spans="1:33" x14ac:dyDescent="0.2">
      <c r="B44" s="32"/>
    </row>
    <row r="45" spans="1:33" x14ac:dyDescent="0.2">
      <c r="B45" s="32"/>
    </row>
    <row r="46" spans="1:33" x14ac:dyDescent="0.2">
      <c r="B46" s="32"/>
    </row>
    <row r="47" spans="1:33" x14ac:dyDescent="0.2">
      <c r="B47" s="32"/>
    </row>
    <row r="48" spans="1:33" x14ac:dyDescent="0.2">
      <c r="B48" s="32"/>
    </row>
    <row r="49" spans="2:2" x14ac:dyDescent="0.2">
      <c r="B49" s="32"/>
    </row>
  </sheetData>
  <autoFilter ref="A6:BP29"/>
  <mergeCells count="22">
    <mergeCell ref="AR4:AT4"/>
    <mergeCell ref="AB4:AD4"/>
    <mergeCell ref="AE4:AG4"/>
    <mergeCell ref="AH4:AJ4"/>
    <mergeCell ref="AL4:AN4"/>
    <mergeCell ref="AO4:AQ4"/>
    <mergeCell ref="F4:H4"/>
    <mergeCell ref="D2:X2"/>
    <mergeCell ref="P32:R32"/>
    <mergeCell ref="S32:U32"/>
    <mergeCell ref="V32:X32"/>
    <mergeCell ref="L4:N4"/>
    <mergeCell ref="I4:K4"/>
    <mergeCell ref="V4:X4"/>
    <mergeCell ref="S4:U4"/>
    <mergeCell ref="P4:R4"/>
    <mergeCell ref="BK4:BM4"/>
    <mergeCell ref="BN4:BP4"/>
    <mergeCell ref="AX4:AZ4"/>
    <mergeCell ref="BA4:BC4"/>
    <mergeCell ref="BD4:BF4"/>
    <mergeCell ref="BH4:BJ4"/>
  </mergeCells>
  <phoneticPr fontId="19" type="noConversion"/>
  <printOptions horizontalCentered="1"/>
  <pageMargins left="0.25" right="0.25" top="0.75" bottom="0.75" header="0.3" footer="0.3"/>
  <pageSetup scale="60" orientation="landscape" r:id="rId1"/>
  <headerFooter alignWithMargins="0">
    <oddHeader>&amp;RWP- Plant Study 2011
&amp;P of &amp;N</oddHeader>
    <oddFooter>&amp;C&amp;A</oddFooter>
  </headerFooter>
  <colBreaks count="3" manualBreakCount="3">
    <brk id="37" max="27" man="1"/>
    <brk id="48" max="27" man="1"/>
    <brk id="59" max="2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O67"/>
  <sheetViews>
    <sheetView topLeftCell="B1" zoomScale="80" zoomScaleNormal="80" zoomScaleSheetLayoutView="50" zoomScalePageLayoutView="60" workbookViewId="0">
      <selection activeCell="B1" sqref="B1:K1"/>
    </sheetView>
  </sheetViews>
  <sheetFormatPr defaultRowHeight="12.75" x14ac:dyDescent="0.2"/>
  <cols>
    <col min="1" max="1" width="0" style="24" hidden="1" customWidth="1"/>
    <col min="2" max="2" width="23.42578125" style="24" customWidth="1"/>
    <col min="3" max="3" width="18" style="24" customWidth="1"/>
    <col min="4" max="4" width="16.7109375" style="24" customWidth="1"/>
    <col min="5" max="5" width="19.140625" style="24" customWidth="1"/>
    <col min="6" max="6" width="1.7109375" style="24" bestFit="1" customWidth="1"/>
    <col min="7" max="7" width="17.28515625" style="24" customWidth="1"/>
    <col min="8" max="11" width="16.7109375" style="24" customWidth="1"/>
    <col min="12" max="12" width="9.140625" style="24" customWidth="1"/>
    <col min="13" max="13" width="11.28515625" style="24" customWidth="1"/>
    <col min="14" max="14" width="17.7109375" style="24" customWidth="1"/>
    <col min="15" max="15" width="11.28515625" style="24" bestFit="1" customWidth="1"/>
    <col min="16" max="16" width="9.140625" style="24"/>
    <col min="17" max="17" width="11.7109375" style="24" customWidth="1"/>
    <col min="18" max="16384" width="9.140625" style="24"/>
  </cols>
  <sheetData>
    <row r="1" spans="2:11" ht="18.75" x14ac:dyDescent="0.3">
      <c r="B1" s="649" t="s">
        <v>1484</v>
      </c>
      <c r="C1" s="649"/>
      <c r="D1" s="649"/>
      <c r="E1" s="649"/>
      <c r="F1" s="649"/>
      <c r="G1" s="649"/>
      <c r="H1" s="649"/>
      <c r="I1" s="649"/>
      <c r="J1" s="649"/>
      <c r="K1" s="649"/>
    </row>
    <row r="2" spans="2:11" x14ac:dyDescent="0.2">
      <c r="B2" s="650" t="s">
        <v>1485</v>
      </c>
      <c r="C2" s="650" t="s">
        <v>1486</v>
      </c>
      <c r="D2" s="650" t="s">
        <v>1486</v>
      </c>
      <c r="E2" s="650" t="s">
        <v>1486</v>
      </c>
      <c r="F2" s="650" t="s">
        <v>1486</v>
      </c>
      <c r="G2" s="650" t="s">
        <v>1486</v>
      </c>
      <c r="H2" s="650" t="s">
        <v>1486</v>
      </c>
      <c r="I2" s="650" t="s">
        <v>1486</v>
      </c>
      <c r="J2" s="650" t="s">
        <v>1486</v>
      </c>
      <c r="K2" s="650" t="s">
        <v>1486</v>
      </c>
    </row>
    <row r="3" spans="2:11" x14ac:dyDescent="0.2">
      <c r="B3" s="650" t="s">
        <v>1487</v>
      </c>
      <c r="C3" s="650"/>
      <c r="D3" s="650"/>
      <c r="E3" s="650"/>
      <c r="F3" s="650"/>
      <c r="G3" s="650"/>
      <c r="H3" s="650"/>
      <c r="I3" s="650"/>
      <c r="J3" s="650"/>
      <c r="K3" s="650"/>
    </row>
    <row r="4" spans="2:11" x14ac:dyDescent="0.2">
      <c r="B4" s="650" t="s">
        <v>1715</v>
      </c>
      <c r="C4" s="650"/>
      <c r="D4" s="650"/>
      <c r="E4" s="650"/>
      <c r="F4" s="650"/>
      <c r="G4" s="650"/>
      <c r="H4" s="650"/>
      <c r="I4" s="650"/>
      <c r="J4" s="650"/>
      <c r="K4" s="650"/>
    </row>
    <row r="5" spans="2:11" x14ac:dyDescent="0.2">
      <c r="B5" s="648" t="s">
        <v>1488</v>
      </c>
      <c r="C5" s="648"/>
      <c r="D5" s="648"/>
      <c r="E5" s="648"/>
      <c r="F5" s="648"/>
      <c r="G5" s="648"/>
      <c r="H5" s="648"/>
      <c r="I5" s="648"/>
      <c r="J5" s="648"/>
      <c r="K5" s="648"/>
    </row>
    <row r="6" spans="2:11" ht="13.5" thickBot="1" x14ac:dyDescent="0.25"/>
    <row r="7" spans="2:11" x14ac:dyDescent="0.2">
      <c r="B7" s="24" t="s">
        <v>1489</v>
      </c>
      <c r="G7" s="651" t="s">
        <v>1490</v>
      </c>
      <c r="H7" s="652"/>
      <c r="I7" s="652"/>
      <c r="J7" s="652"/>
      <c r="K7" s="653"/>
    </row>
    <row r="8" spans="2:11" ht="13.5" thickBot="1" x14ac:dyDescent="0.25">
      <c r="G8" s="654"/>
      <c r="H8" s="655"/>
      <c r="I8" s="655"/>
      <c r="J8" s="655"/>
      <c r="K8" s="656"/>
    </row>
    <row r="9" spans="2:11" s="66" customFormat="1" ht="30.75" customHeight="1" thickBot="1" x14ac:dyDescent="0.25">
      <c r="B9" s="83" t="s">
        <v>1720</v>
      </c>
      <c r="C9" s="84" t="s">
        <v>1471</v>
      </c>
      <c r="D9" s="85" t="s">
        <v>987</v>
      </c>
      <c r="E9" s="85" t="s">
        <v>1016</v>
      </c>
      <c r="F9" s="86"/>
      <c r="G9" s="124" t="s">
        <v>1472</v>
      </c>
      <c r="H9" s="236" t="s">
        <v>1473</v>
      </c>
      <c r="I9" s="236" t="s">
        <v>1474</v>
      </c>
      <c r="J9" s="236" t="s">
        <v>1475</v>
      </c>
      <c r="K9" s="237" t="s">
        <v>1476</v>
      </c>
    </row>
    <row r="10" spans="2:11" s="64" customFormat="1" x14ac:dyDescent="0.25">
      <c r="F10" s="65"/>
    </row>
    <row r="11" spans="2:11" x14ac:dyDescent="0.2">
      <c r="B11" s="66" t="s">
        <v>1466</v>
      </c>
      <c r="D11" s="508"/>
      <c r="E11" s="67"/>
      <c r="F11" s="67"/>
    </row>
    <row r="12" spans="2:11" x14ac:dyDescent="0.2">
      <c r="B12" s="20" t="s">
        <v>1491</v>
      </c>
      <c r="C12" s="21">
        <f t="shared" ref="C12:C18" si="0">SUM(D12:E12)</f>
        <v>55966906.649999999</v>
      </c>
      <c r="D12" s="21">
        <f>'ISO w_System Splits'!H14</f>
        <v>0</v>
      </c>
      <c r="E12" s="21">
        <f>SUM('ISO w_System Splits'!K14:P14)</f>
        <v>55966906.649999999</v>
      </c>
      <c r="F12" s="22"/>
      <c r="G12" s="21">
        <f>D12</f>
        <v>0</v>
      </c>
      <c r="H12" s="21">
        <v>0</v>
      </c>
      <c r="I12" s="21">
        <f>E12</f>
        <v>55966906.649999999</v>
      </c>
      <c r="J12" s="21">
        <v>0</v>
      </c>
      <c r="K12" s="21">
        <v>0</v>
      </c>
    </row>
    <row r="13" spans="2:11" x14ac:dyDescent="0.2">
      <c r="B13" s="20" t="s">
        <v>1492</v>
      </c>
      <c r="C13" s="21">
        <f t="shared" si="0"/>
        <v>429335254.35946798</v>
      </c>
      <c r="D13" s="21">
        <f>'ISO w_System Splits'!H75</f>
        <v>48565350.780000001</v>
      </c>
      <c r="E13" s="21">
        <f>SUM('ISO w_System Splits'!K75:P75)</f>
        <v>380769903.57946795</v>
      </c>
      <c r="F13" s="22"/>
      <c r="G13" s="21">
        <f>D13</f>
        <v>48565350.780000001</v>
      </c>
      <c r="H13" s="21">
        <v>0</v>
      </c>
      <c r="I13" s="21">
        <f>E13</f>
        <v>380769903.57946795</v>
      </c>
      <c r="J13" s="21">
        <v>0</v>
      </c>
      <c r="K13" s="21">
        <v>0</v>
      </c>
    </row>
    <row r="14" spans="2:11" x14ac:dyDescent="0.2">
      <c r="B14" s="20" t="s">
        <v>1493</v>
      </c>
      <c r="C14" s="21">
        <f t="shared" si="0"/>
        <v>733852393.92798388</v>
      </c>
      <c r="D14" s="21">
        <f>'ISO w_System Splits'!H413</f>
        <v>65722570.155384213</v>
      </c>
      <c r="E14" s="21">
        <f>SUM('ISO w_System Splits'!K413:P413)</f>
        <v>668129823.7725997</v>
      </c>
      <c r="F14" s="22"/>
      <c r="G14" s="21">
        <f>D14</f>
        <v>65722570.155384213</v>
      </c>
      <c r="H14" s="21">
        <v>0</v>
      </c>
      <c r="I14" s="21">
        <f>E14</f>
        <v>668129823.7725997</v>
      </c>
      <c r="J14" s="21">
        <v>0</v>
      </c>
      <c r="K14" s="21">
        <v>0</v>
      </c>
    </row>
    <row r="15" spans="2:11" x14ac:dyDescent="0.2">
      <c r="B15" s="20" t="s">
        <v>1494</v>
      </c>
      <c r="C15" s="21">
        <f t="shared" si="0"/>
        <v>2369978.44</v>
      </c>
      <c r="D15" s="21">
        <f>'ISO w_System Splits'!H419</f>
        <v>33310</v>
      </c>
      <c r="E15" s="21">
        <f>SUM('ISO w_System Splits'!K419:P419)</f>
        <v>2336668.44</v>
      </c>
      <c r="F15" s="22"/>
      <c r="G15" s="21">
        <v>0</v>
      </c>
      <c r="H15" s="21">
        <f>D15</f>
        <v>33310</v>
      </c>
      <c r="I15" s="21">
        <v>0</v>
      </c>
      <c r="J15" s="21">
        <f>E15</f>
        <v>2336668.44</v>
      </c>
      <c r="K15" s="21">
        <v>0</v>
      </c>
    </row>
    <row r="16" spans="2:11" x14ac:dyDescent="0.2">
      <c r="B16" s="20" t="s">
        <v>1495</v>
      </c>
      <c r="C16" s="21">
        <f t="shared" si="0"/>
        <v>50799281.53040605</v>
      </c>
      <c r="D16" s="21">
        <f>'ISO w_System Splits'!H450</f>
        <v>4527958.9134948859</v>
      </c>
      <c r="E16" s="21">
        <f>SUM('ISO w_System Splits'!K450:P450)</f>
        <v>46271322.616911165</v>
      </c>
      <c r="F16" s="22"/>
      <c r="G16" s="21">
        <v>0</v>
      </c>
      <c r="H16" s="21">
        <f>D16</f>
        <v>4527958.9134948859</v>
      </c>
      <c r="I16" s="21">
        <v>0</v>
      </c>
      <c r="J16" s="21">
        <f>E16</f>
        <v>46271322.616911165</v>
      </c>
      <c r="K16" s="21">
        <v>0</v>
      </c>
    </row>
    <row r="17" spans="1:12" x14ac:dyDescent="0.2">
      <c r="B17" s="222" t="s">
        <v>2199</v>
      </c>
      <c r="C17" s="21">
        <f t="shared" si="0"/>
        <v>67109651.246465132</v>
      </c>
      <c r="D17" s="21">
        <f>'ISO w_System Splits'!H458+IF('Plant Total by Account'!$J$1=1,0,SUM('ISO w_System Splits'!H617:H617))</f>
        <v>3473545.6087996559</v>
      </c>
      <c r="E17" s="21">
        <f>SUM('ISO w_System Splits'!K458:P458)+IF('Plant Total by Account'!$J$1=1,0,SUM('ISO w_System Splits'!K617:P617))</f>
        <v>63636105.637665473</v>
      </c>
      <c r="F17" s="22"/>
      <c r="G17" s="21">
        <v>0</v>
      </c>
      <c r="H17" s="21">
        <f>D17</f>
        <v>3473545.6087996559</v>
      </c>
      <c r="I17" s="21">
        <v>0</v>
      </c>
      <c r="J17" s="21">
        <f>E17</f>
        <v>63636105.637665473</v>
      </c>
      <c r="K17" s="21">
        <v>0</v>
      </c>
    </row>
    <row r="18" spans="1:12" x14ac:dyDescent="0.2">
      <c r="B18" s="222" t="s">
        <v>2200</v>
      </c>
      <c r="C18" s="120">
        <f t="shared" si="0"/>
        <v>1787976.4717341354</v>
      </c>
      <c r="D18" s="120">
        <f>'ISO w_System Splits'!H466</f>
        <v>94330.825096154091</v>
      </c>
      <c r="E18" s="120">
        <f>SUM('ISO w_System Splits'!K466:P466)</f>
        <v>1693645.6466379813</v>
      </c>
      <c r="F18" s="120"/>
      <c r="G18" s="120">
        <v>0</v>
      </c>
      <c r="H18" s="120">
        <f>D18</f>
        <v>94330.825096154091</v>
      </c>
      <c r="I18" s="120">
        <v>0</v>
      </c>
      <c r="J18" s="120">
        <f>E18</f>
        <v>1693645.6466379813</v>
      </c>
      <c r="K18" s="120">
        <v>0</v>
      </c>
    </row>
    <row r="19" spans="1:12" s="66" customFormat="1" x14ac:dyDescent="0.2">
      <c r="B19" s="68" t="s">
        <v>1496</v>
      </c>
      <c r="C19" s="121">
        <f>SUM(C12:C18)</f>
        <v>1341221442.6260571</v>
      </c>
      <c r="D19" s="121">
        <f>SUM(D12:D18)</f>
        <v>122417066.28277491</v>
      </c>
      <c r="E19" s="121">
        <f>SUM(E12:E18)</f>
        <v>1218804376.3432822</v>
      </c>
      <c r="F19" s="122" t="s">
        <v>1497</v>
      </c>
      <c r="G19" s="121">
        <f>SUM(G12:G18)</f>
        <v>114287920.93538421</v>
      </c>
      <c r="H19" s="121">
        <f>SUM(H12:H18)</f>
        <v>8129145.3473906955</v>
      </c>
      <c r="I19" s="121">
        <f>SUM(I12:I18)</f>
        <v>1104866634.0020676</v>
      </c>
      <c r="J19" s="121">
        <f>SUM(J12:J18)</f>
        <v>113937742.34121461</v>
      </c>
      <c r="K19" s="121">
        <f>SUM(K12:K18)</f>
        <v>0</v>
      </c>
    </row>
    <row r="20" spans="1:12" x14ac:dyDescent="0.2">
      <c r="C20" s="647" t="s">
        <v>1721</v>
      </c>
      <c r="D20" s="647"/>
      <c r="E20" s="361">
        <f>'Plant Total by Account'!$D$23</f>
        <v>1218804376.3432822</v>
      </c>
      <c r="F20" s="22"/>
      <c r="G20" s="21"/>
      <c r="H20" s="21"/>
      <c r="I20" s="238"/>
      <c r="J20" s="21"/>
      <c r="K20" s="21"/>
    </row>
    <row r="21" spans="1:12" x14ac:dyDescent="0.2">
      <c r="B21" s="66" t="s">
        <v>1467</v>
      </c>
      <c r="C21" s="361"/>
      <c r="D21" s="361" t="str">
        <f>IF(E19=E20,"Okay", "Check")</f>
        <v>Okay</v>
      </c>
      <c r="E21" s="361"/>
      <c r="F21" s="22"/>
      <c r="G21" s="21"/>
      <c r="H21" s="21"/>
      <c r="I21" s="238"/>
      <c r="J21" s="21"/>
      <c r="K21" s="21"/>
    </row>
    <row r="22" spans="1:12" ht="25.5" x14ac:dyDescent="0.2">
      <c r="A22" s="24" t="s">
        <v>1470</v>
      </c>
      <c r="B22" s="89" t="s">
        <v>1713</v>
      </c>
      <c r="C22" s="21">
        <f>SUM(D22:E22)</f>
        <v>1651895518.9446299</v>
      </c>
      <c r="D22" s="21">
        <f>SUMIF('TS by Location'!$P$10:$P$475,"High",'TS by Location'!$H$10:$H$475)+SUMIF('DS by Location'!$P$10:$P$862,"High",'DS by Location'!$H$10:$H$862)</f>
        <v>33507352.109555446</v>
      </c>
      <c r="E22" s="21">
        <f>SUMIF('TS by Location'!$P$10:$P$475,"High",'TS by Location'!$I$10:$I$475)+SUMIF('TS by Location'!$P$10:$P$475,"High",'TS by Location'!$J$10:$J$475)+SUM('ISO w_System Splits'!I14:J14)+SUM('ISO w_System Splits'!I75:J75)+SUM('ISO w_System Splits'!I413:J413)+SUMIF('DS by Location'!$P$10:$P$862,"High",'DS by Location'!$I$10:$I$862)+SUMIF('DS by Location'!$P$10:$P$862,"High",'DS by Location'!$J$10:$J$862)</f>
        <v>1618388166.8350744</v>
      </c>
      <c r="F22" s="22"/>
      <c r="G22" s="21">
        <f>D22</f>
        <v>33507352.109555446</v>
      </c>
      <c r="H22" s="21">
        <v>0</v>
      </c>
      <c r="I22" s="21">
        <f>E22</f>
        <v>1618388166.8350744</v>
      </c>
      <c r="J22" s="21">
        <v>0</v>
      </c>
      <c r="K22" s="21">
        <v>0</v>
      </c>
    </row>
    <row r="23" spans="1:12" x14ac:dyDescent="0.2">
      <c r="C23" s="21"/>
      <c r="D23" s="21"/>
      <c r="E23" s="21"/>
      <c r="F23" s="22"/>
      <c r="G23" s="21"/>
      <c r="H23" s="21"/>
      <c r="I23" s="239"/>
      <c r="J23" s="21"/>
      <c r="K23" s="21"/>
    </row>
    <row r="24" spans="1:12" ht="15" customHeight="1" x14ac:dyDescent="0.2">
      <c r="A24" s="24" t="s">
        <v>1012</v>
      </c>
      <c r="B24" s="20" t="s">
        <v>120</v>
      </c>
      <c r="C24" s="21"/>
      <c r="D24" s="21"/>
      <c r="E24" s="21"/>
      <c r="F24" s="22"/>
      <c r="G24" s="21"/>
      <c r="H24" s="21"/>
      <c r="I24" s="21"/>
      <c r="J24" s="21"/>
      <c r="K24" s="21"/>
    </row>
    <row r="25" spans="1:12" ht="15" customHeight="1" x14ac:dyDescent="0.2">
      <c r="B25" s="23" t="s">
        <v>1007</v>
      </c>
      <c r="C25" s="21">
        <f t="shared" ref="C25:C30" si="1">SUM(G25:K25)</f>
        <v>66862753.129999995</v>
      </c>
      <c r="D25" s="21">
        <f t="shared" ref="D25:D30" si="2">SUM(G25:H25)</f>
        <v>13182.65</v>
      </c>
      <c r="E25" s="21">
        <f t="shared" ref="E25:E30" si="3">SUM(I25:K25)</f>
        <v>66849570.479999997</v>
      </c>
      <c r="F25" s="22"/>
      <c r="G25" s="436">
        <f>SUMIF('High_Low Voltage Mix Summary'!$A$5:$A$12,$B25,'High_Low Voltage Mix Summary'!$D$5:$D$12)</f>
        <v>13182.65</v>
      </c>
      <c r="H25" s="21">
        <f>SUMIF('High_Low Voltage Mix Summary'!$A$5:$A$12,$B25,'High_Low Voltage Mix Summary'!$E$5:$E$12)</f>
        <v>0</v>
      </c>
      <c r="I25" s="21">
        <f>SUMIF('High_Low Voltage Mix Summary'!$A$5:$A$12,$B25,'High_Low Voltage Mix Summary'!$F$5:$F$12)</f>
        <v>65952090.75</v>
      </c>
      <c r="J25" s="21">
        <f>SUMIF('High_Low Voltage Mix Summary'!$A$5:$A$12,$B25,'High_Low Voltage Mix Summary'!$G$5:$G$12)</f>
        <v>0</v>
      </c>
      <c r="K25" s="21">
        <f>SUMIF('High_Low Voltage Mix Summary'!$A$5:$A$12,$B25,'High_Low Voltage Mix Summary'!$H$5:$H$12)</f>
        <v>897479.72999999986</v>
      </c>
      <c r="L25" s="22"/>
    </row>
    <row r="26" spans="1:12" ht="15" customHeight="1" x14ac:dyDescent="0.2">
      <c r="B26" s="23" t="s">
        <v>1009</v>
      </c>
      <c r="C26" s="21">
        <f t="shared" si="1"/>
        <v>70582432.545958996</v>
      </c>
      <c r="D26" s="21">
        <f t="shared" si="2"/>
        <v>21969.428036242389</v>
      </c>
      <c r="E26" s="21">
        <f t="shared" si="3"/>
        <v>70560463.117922753</v>
      </c>
      <c r="F26" s="21"/>
      <c r="G26" s="21">
        <f>SUMIF('High_Low Voltage Mix Summary'!$A$5:$A$12,$B26,'High_Low Voltage Mix Summary'!$D$5:$D$12)</f>
        <v>16725.340269883793</v>
      </c>
      <c r="H26" s="21">
        <f>SUMIF('High_Low Voltage Mix Summary'!$A$5:$A$12,$B26,'High_Low Voltage Mix Summary'!$E$5:$E$12)</f>
        <v>5244.0877663585943</v>
      </c>
      <c r="I26" s="21">
        <f>SUMIF('High_Low Voltage Mix Summary'!$A$5:$A$12,$B26,'High_Low Voltage Mix Summary'!$F$5:$F$12)</f>
        <v>46230540.197822832</v>
      </c>
      <c r="J26" s="21">
        <f>SUMIF('High_Low Voltage Mix Summary'!$A$5:$A$12,$B26,'High_Low Voltage Mix Summary'!$G$5:$G$12)</f>
        <v>14495191.510099923</v>
      </c>
      <c r="K26" s="21">
        <f>SUMIF('High_Low Voltage Mix Summary'!$A$5:$A$12,$B26,'High_Low Voltage Mix Summary'!$H$5:$H$12)</f>
        <v>9834731.4100000001</v>
      </c>
    </row>
    <row r="27" spans="1:12" x14ac:dyDescent="0.2">
      <c r="B27" s="23" t="s">
        <v>1464</v>
      </c>
      <c r="C27" s="21">
        <f t="shared" si="1"/>
        <v>17694017.36953241</v>
      </c>
      <c r="D27" s="21">
        <f t="shared" si="2"/>
        <v>110066.54350774965</v>
      </c>
      <c r="E27" s="21">
        <f t="shared" si="3"/>
        <v>17583950.826024659</v>
      </c>
      <c r="F27" s="21"/>
      <c r="G27" s="21">
        <f>SUMIF('High_Low Voltage Mix Summary'!$A$5:$A$12,$B27,'High_Low Voltage Mix Summary'!$D$5:$D$12)</f>
        <v>93457.415128374327</v>
      </c>
      <c r="H27" s="21">
        <f>SUMIF('High_Low Voltage Mix Summary'!$A$5:$A$12,$B27,'High_Low Voltage Mix Summary'!$E$5:$E$12)</f>
        <v>16609.128379375332</v>
      </c>
      <c r="I27" s="21">
        <f>SUMIF('High_Low Voltage Mix Summary'!$A$5:$A$12,$B27,'High_Low Voltage Mix Summary'!$F$5:$F$12)</f>
        <v>13532013.086745035</v>
      </c>
      <c r="J27" s="21">
        <f>SUMIF('High_Low Voltage Mix Summary'!$A$5:$A$12,$B27,'High_Low Voltage Mix Summary'!$G$5:$G$12)</f>
        <v>2404896.7110084258</v>
      </c>
      <c r="K27" s="21">
        <f>SUMIF('High_Low Voltage Mix Summary'!$A$5:$A$12,$B27,'High_Low Voltage Mix Summary'!$H$5:$H$12)</f>
        <v>1647041.0282711985</v>
      </c>
    </row>
    <row r="28" spans="1:12" x14ac:dyDescent="0.2">
      <c r="B28" s="23" t="s">
        <v>1008</v>
      </c>
      <c r="C28" s="21">
        <f t="shared" si="1"/>
        <v>1619897.7860760726</v>
      </c>
      <c r="D28" s="21">
        <f t="shared" si="2"/>
        <v>0</v>
      </c>
      <c r="E28" s="21">
        <f t="shared" si="3"/>
        <v>1619897.7860760726</v>
      </c>
      <c r="F28" s="21"/>
      <c r="G28" s="21">
        <f>SUMIF('High_Low Voltage Mix Summary'!$A$5:$A$12,$B28,'High_Low Voltage Mix Summary'!$D$5:$D$12)</f>
        <v>0</v>
      </c>
      <c r="H28" s="21">
        <f>SUMIF('High_Low Voltage Mix Summary'!$A$5:$A$12,$B28,'High_Low Voltage Mix Summary'!$E$5:$E$12)</f>
        <v>0</v>
      </c>
      <c r="I28" s="21">
        <f>SUMIF('High_Low Voltage Mix Summary'!$A$5:$A$12,$B28,'High_Low Voltage Mix Summary'!$F$5:$F$12)</f>
        <v>1480879.5530741161</v>
      </c>
      <c r="J28" s="21">
        <f>SUMIF('High_Low Voltage Mix Summary'!$A$5:$A$12,$B28,'High_Low Voltage Mix Summary'!$G$5:$G$12)</f>
        <v>136987.67300195651</v>
      </c>
      <c r="K28" s="21">
        <f>SUMIF('High_Low Voltage Mix Summary'!$A$5:$A$12,$B28,'High_Low Voltage Mix Summary'!$H$5:$H$12)</f>
        <v>2030.56</v>
      </c>
    </row>
    <row r="29" spans="1:12" x14ac:dyDescent="0.2">
      <c r="B29" s="23" t="s">
        <v>131</v>
      </c>
      <c r="C29" s="21">
        <f t="shared" si="1"/>
        <v>16028919.700100228</v>
      </c>
      <c r="D29" s="21">
        <f t="shared" si="2"/>
        <v>28584.969909692139</v>
      </c>
      <c r="E29" s="21">
        <f t="shared" si="3"/>
        <v>16000334.730190536</v>
      </c>
      <c r="F29" s="21"/>
      <c r="G29" s="21">
        <f>SUMIF('High_Low Voltage Mix Summary'!$A$5:$A$12,$B29,'High_Low Voltage Mix Summary'!$D$5:$D$12)</f>
        <v>16631.616571469622</v>
      </c>
      <c r="H29" s="21">
        <f>SUMIF('High_Low Voltage Mix Summary'!$A$5:$A$12,$B29,'High_Low Voltage Mix Summary'!$E$5:$E$12)</f>
        <v>11953.35333822252</v>
      </c>
      <c r="I29" s="21">
        <f>SUMIF('High_Low Voltage Mix Summary'!$A$5:$A$12,$B29,'High_Low Voltage Mix Summary'!$F$5:$F$12)</f>
        <v>8210171.8517029975</v>
      </c>
      <c r="J29" s="21">
        <f>SUMIF('High_Low Voltage Mix Summary'!$A$5:$A$12,$B29,'High_Low Voltage Mix Summary'!$G$5:$G$12)</f>
        <v>5912866.2025478557</v>
      </c>
      <c r="K29" s="21">
        <f>SUMIF('High_Low Voltage Mix Summary'!$A$5:$A$12,$B29,'High_Low Voltage Mix Summary'!$H$5:$H$12)</f>
        <v>1877296.6759396826</v>
      </c>
    </row>
    <row r="30" spans="1:12" x14ac:dyDescent="0.2">
      <c r="B30" s="23" t="s">
        <v>1010</v>
      </c>
      <c r="C30" s="120">
        <f t="shared" si="1"/>
        <v>54518229.662301973</v>
      </c>
      <c r="D30" s="120">
        <f t="shared" si="2"/>
        <v>18831.568805125495</v>
      </c>
      <c r="E30" s="120">
        <f t="shared" si="3"/>
        <v>54499398.093496844</v>
      </c>
      <c r="F30" s="120"/>
      <c r="G30" s="120">
        <f>SUMIF('High_Low Voltage Mix Summary'!$A$5:$A$12,$B30,'High_Low Voltage Mix Summary'!$D$5:$D$12)</f>
        <v>3036.4624176767879</v>
      </c>
      <c r="H30" s="120">
        <f>SUMIF('High_Low Voltage Mix Summary'!$A$5:$A$12,$B30,'High_Low Voltage Mix Summary'!$E$5:$E$12)</f>
        <v>15795.106387448708</v>
      </c>
      <c r="I30" s="120">
        <f>SUMIF('High_Low Voltage Mix Summary'!$A$5:$A$12,$B30,'High_Low Voltage Mix Summary'!$F$5:$F$12)</f>
        <v>8565937.2100707106</v>
      </c>
      <c r="J30" s="120">
        <f>SUMIF('High_Low Voltage Mix Summary'!$A$5:$A$12,$B30,'High_Low Voltage Mix Summary'!$G$5:$G$12)</f>
        <v>44558394.253004141</v>
      </c>
      <c r="K30" s="120">
        <f>SUMIF('High_Low Voltage Mix Summary'!$A$5:$A$12,$B30,'High_Low Voltage Mix Summary'!$H$5:$H$12)</f>
        <v>1375066.6304219943</v>
      </c>
    </row>
    <row r="31" spans="1:12" x14ac:dyDescent="0.2">
      <c r="B31" s="68" t="s">
        <v>121</v>
      </c>
      <c r="C31" s="121">
        <f>SUM(C25:C30)</f>
        <v>227306250.19396967</v>
      </c>
      <c r="D31" s="121">
        <f>SUM(D25:D30)</f>
        <v>192635.16025880969</v>
      </c>
      <c r="E31" s="121">
        <f>SUM(E25:E30)</f>
        <v>227113615.03371084</v>
      </c>
      <c r="F31" s="122"/>
      <c r="G31" s="121">
        <f>SUM(G25:G30)</f>
        <v>143033.48438740452</v>
      </c>
      <c r="H31" s="121">
        <f>SUM(H25:H30)</f>
        <v>49601.675871405154</v>
      </c>
      <c r="I31" s="121">
        <f>SUM(I25:I30)</f>
        <v>143971632.6494157</v>
      </c>
      <c r="J31" s="121">
        <f>SUM(J25:J30)</f>
        <v>67508336.349662304</v>
      </c>
      <c r="K31" s="121">
        <f>SUM(K25:K30)</f>
        <v>15633646.034632877</v>
      </c>
    </row>
    <row r="32" spans="1:12" x14ac:dyDescent="0.2">
      <c r="B32" s="20"/>
      <c r="C32" s="21"/>
      <c r="D32" s="21"/>
      <c r="E32" s="21"/>
      <c r="F32" s="22"/>
      <c r="G32" s="21"/>
      <c r="H32" s="21"/>
      <c r="I32" s="21"/>
      <c r="J32" s="21"/>
      <c r="K32" s="21"/>
    </row>
    <row r="33" spans="1:15" ht="25.5" x14ac:dyDescent="0.2">
      <c r="A33" s="24" t="s">
        <v>1014</v>
      </c>
      <c r="B33" s="89" t="s">
        <v>1714</v>
      </c>
      <c r="C33" s="279">
        <f>SUM(D33:E33)</f>
        <v>89174098.394330591</v>
      </c>
      <c r="D33" s="279">
        <f>SUMIF('TS by Location'!$P$36:$P$475,"Low",'TS by Location'!$H$36:$H$475)+SUMIF('DS by Location'!$P$10:$P$862,"Low",'DS by Location'!$H$10:$H$862)</f>
        <v>657272.69641530165</v>
      </c>
      <c r="E33" s="279">
        <f>SUMIF('TS by Location'!$P$10:$P$475,"Low",'TS by Location'!$I$10:$I$475)+SUMIF('TS by Location'!$P$10:$P$475,"Low",'TS by Location'!$J$10:$J$475)+SUMIF('DS by Location'!$P$10:$P$862,"Low",'DS by Location'!$I$10:$I$862)+SUMIF('DS by Location'!$P$10:$P$862,"Low",'DS by Location'!$J$10:$J$862)+SUM('ISO w_System Splits'!I419:J419)+SUM('ISO w_System Splits'!I450:J450)+SUM('ISO w_System Splits'!I458:J458)+SUM('ISO w_System Splits'!I466:J466)+IF('Plant Total by Account'!$J$1=2,SUM('ISO w_System Splits'!I617:J617),0)</f>
        <v>88516825.697915286</v>
      </c>
      <c r="F33" s="279"/>
      <c r="G33" s="279">
        <v>0</v>
      </c>
      <c r="H33" s="279">
        <f>D33</f>
        <v>657272.69641530165</v>
      </c>
      <c r="I33" s="279">
        <v>0</v>
      </c>
      <c r="J33" s="279">
        <f>E33</f>
        <v>88516825.697915286</v>
      </c>
      <c r="K33" s="279">
        <v>0</v>
      </c>
      <c r="M33" s="292"/>
      <c r="N33" s="43"/>
    </row>
    <row r="34" spans="1:15" x14ac:dyDescent="0.2">
      <c r="B34" s="89"/>
      <c r="C34" s="279"/>
      <c r="D34" s="279"/>
      <c r="E34" s="279"/>
      <c r="F34" s="279"/>
      <c r="G34" s="279"/>
      <c r="H34" s="279"/>
      <c r="I34" s="279"/>
      <c r="J34" s="279"/>
      <c r="K34" s="279"/>
      <c r="M34" s="292"/>
      <c r="N34" s="43"/>
    </row>
    <row r="35" spans="1:15" s="66" customFormat="1" x14ac:dyDescent="0.2">
      <c r="B35" s="68" t="s">
        <v>1498</v>
      </c>
      <c r="C35" s="121">
        <f>C22+C31+SUM(C33:C33)</f>
        <v>1968375867.5329301</v>
      </c>
      <c r="D35" s="121">
        <f>D22+D31+SUM(D33:D33)</f>
        <v>34357259.966229558</v>
      </c>
      <c r="E35" s="121">
        <f>E22+E31+SUM(E33:E33)</f>
        <v>1934018607.5667007</v>
      </c>
      <c r="F35" s="241" t="s">
        <v>1497</v>
      </c>
      <c r="G35" s="121">
        <f>G22+G31+SUM(G33:G33)</f>
        <v>33650385.593942851</v>
      </c>
      <c r="H35" s="121">
        <f>H22+H31+SUM(H33:H33)</f>
        <v>706874.37228670681</v>
      </c>
      <c r="I35" s="121">
        <f>I22+I31+SUM(I33:I33)</f>
        <v>1762359799.4844902</v>
      </c>
      <c r="J35" s="121">
        <f>J22+J31+SUM(J33:J33)</f>
        <v>156025162.04757759</v>
      </c>
      <c r="K35" s="121">
        <f>K22+K31+SUM(K33:K33)</f>
        <v>15633646.034632877</v>
      </c>
      <c r="N35" s="291"/>
    </row>
    <row r="36" spans="1:15" x14ac:dyDescent="0.2">
      <c r="C36" s="120"/>
      <c r="D36" s="120"/>
      <c r="E36" s="120"/>
      <c r="F36" s="242"/>
      <c r="G36" s="120"/>
      <c r="H36" s="120"/>
      <c r="I36" s="120"/>
      <c r="J36" s="120"/>
      <c r="K36" s="120"/>
      <c r="L36" s="66"/>
      <c r="M36" s="66"/>
      <c r="N36" s="66"/>
      <c r="O36" s="66"/>
    </row>
    <row r="37" spans="1:15" s="66" customFormat="1" ht="23.25" customHeight="1" thickBot="1" x14ac:dyDescent="0.25">
      <c r="B37" s="68" t="s">
        <v>1499</v>
      </c>
      <c r="C37" s="123">
        <f>ROUND(C19+C35,0)</f>
        <v>3309597310</v>
      </c>
      <c r="D37" s="123">
        <f>ROUND((D19+D35),0)</f>
        <v>156774326</v>
      </c>
      <c r="E37" s="123">
        <f>E19+E35</f>
        <v>3152822983.9099827</v>
      </c>
      <c r="F37" s="122"/>
      <c r="G37" s="123">
        <f>G19+G35</f>
        <v>147938306.52932706</v>
      </c>
      <c r="H37" s="123">
        <f>H19+H35</f>
        <v>8836019.7196774017</v>
      </c>
      <c r="I37" s="243">
        <f>I19+I35</f>
        <v>2867226433.486558</v>
      </c>
      <c r="J37" s="243">
        <f>J19+J35</f>
        <v>269962904.38879222</v>
      </c>
      <c r="K37" s="123">
        <f>K19+K35</f>
        <v>15633646.034632877</v>
      </c>
      <c r="L37" s="24"/>
      <c r="M37" s="24"/>
      <c r="N37" s="24"/>
      <c r="O37" s="24"/>
    </row>
    <row r="38" spans="1:15" ht="13.5" thickTop="1" x14ac:dyDescent="0.2">
      <c r="B38" s="362" t="s">
        <v>1721</v>
      </c>
      <c r="C38" s="363">
        <f>ROUND('Plant Total by Account'!D39,0)</f>
        <v>3309597310</v>
      </c>
      <c r="D38" s="364">
        <f>ROUND('Plant Total by Account'!D9+'Plant Total by Account'!D31,0)</f>
        <v>156774326</v>
      </c>
      <c r="E38" s="240"/>
      <c r="G38" s="240"/>
      <c r="H38" s="240"/>
      <c r="I38" s="240"/>
      <c r="J38" s="240"/>
      <c r="K38" s="240"/>
      <c r="L38" s="66"/>
      <c r="M38" s="66"/>
      <c r="N38" s="66"/>
      <c r="O38" s="66"/>
    </row>
    <row r="39" spans="1:15" x14ac:dyDescent="0.2">
      <c r="B39" s="363">
        <f>C38-C37</f>
        <v>0</v>
      </c>
      <c r="C39" s="365" t="str">
        <f>IF(C38=C37,"Okay","Check")</f>
        <v>Okay</v>
      </c>
      <c r="D39" s="362" t="str">
        <f>IF(D38=D37,"Okay","Check")</f>
        <v>Okay</v>
      </c>
      <c r="G39" s="34"/>
    </row>
    <row r="40" spans="1:15" x14ac:dyDescent="0.2">
      <c r="B40" s="24" t="s">
        <v>1033</v>
      </c>
      <c r="K40" s="244"/>
    </row>
    <row r="41" spans="1:15" x14ac:dyDescent="0.2">
      <c r="B41" s="24" t="s">
        <v>1500</v>
      </c>
    </row>
    <row r="42" spans="1:15" ht="4.5" customHeight="1" thickBot="1" x14ac:dyDescent="0.25">
      <c r="B42" s="24" t="s">
        <v>1497</v>
      </c>
    </row>
    <row r="43" spans="1:15" s="64" customFormat="1" ht="33.75" customHeight="1" x14ac:dyDescent="0.25">
      <c r="B43" s="445" t="s">
        <v>1501</v>
      </c>
      <c r="C43" s="84" t="s">
        <v>1502</v>
      </c>
      <c r="D43" s="84" t="s">
        <v>1503</v>
      </c>
      <c r="E43" s="84" t="s">
        <v>1429</v>
      </c>
    </row>
    <row r="44" spans="1:15" x14ac:dyDescent="0.2">
      <c r="B44" s="20" t="s">
        <v>987</v>
      </c>
      <c r="C44" s="21">
        <f>G37</f>
        <v>147938306.52932706</v>
      </c>
      <c r="D44" s="21">
        <f>H37</f>
        <v>8836019.7196774017</v>
      </c>
      <c r="E44" s="22">
        <f>SUM(C44:D44)</f>
        <v>156774326.24900445</v>
      </c>
    </row>
    <row r="45" spans="1:15" x14ac:dyDescent="0.2">
      <c r="B45" s="20" t="s">
        <v>1016</v>
      </c>
      <c r="C45" s="120">
        <f>I37</f>
        <v>2867226433.486558</v>
      </c>
      <c r="D45" s="120">
        <f>J37</f>
        <v>269962904.38879222</v>
      </c>
      <c r="E45" s="245">
        <f>SUM(C45:D45)</f>
        <v>3137189337.87535</v>
      </c>
    </row>
    <row r="46" spans="1:15" x14ac:dyDescent="0.2">
      <c r="B46" s="246" t="s">
        <v>1504</v>
      </c>
      <c r="C46" s="21">
        <f>SUM(C44:C45)</f>
        <v>3015164740.0158849</v>
      </c>
      <c r="D46" s="21">
        <f>SUM(D44:D45)</f>
        <v>278798924.10846961</v>
      </c>
      <c r="E46" s="21">
        <f>SUM(C46:D46)</f>
        <v>3293963664.1243544</v>
      </c>
    </row>
    <row r="47" spans="1:15" s="50" customFormat="1" ht="19.5" customHeight="1" x14ac:dyDescent="0.2">
      <c r="B47" s="50" t="s">
        <v>1505</v>
      </c>
      <c r="C47" s="51">
        <f>C46/E46</f>
        <v>0.91536065587335991</v>
      </c>
      <c r="D47" s="51">
        <f>D46/E46</f>
        <v>8.4639344126640106E-2</v>
      </c>
      <c r="E47" s="51">
        <f>SUM(C47:D47)</f>
        <v>1</v>
      </c>
      <c r="H47" s="24"/>
      <c r="I47" s="24"/>
      <c r="J47" s="24"/>
      <c r="L47" s="24"/>
      <c r="M47" s="24"/>
      <c r="N47" s="24"/>
      <c r="O47" s="24"/>
    </row>
    <row r="48" spans="1:15" x14ac:dyDescent="0.2">
      <c r="B48" s="20" t="s">
        <v>3368</v>
      </c>
      <c r="C48" s="21">
        <f>$K$31*C47</f>
        <v>14310424.487953503</v>
      </c>
      <c r="D48" s="21">
        <f>$K$31*D47</f>
        <v>1323221.5466793745</v>
      </c>
      <c r="E48" s="22">
        <f>SUM(C48:D48)</f>
        <v>15633646.034632877</v>
      </c>
    </row>
    <row r="49" spans="2:15" ht="24" customHeight="1" thickBot="1" x14ac:dyDescent="0.35">
      <c r="B49" s="52" t="s">
        <v>1465</v>
      </c>
      <c r="C49" s="123">
        <f>E49*C47</f>
        <v>3029475164.3583078</v>
      </c>
      <c r="D49" s="123">
        <f>E49-C49</f>
        <v>280122145.64169216</v>
      </c>
      <c r="E49" s="123">
        <f>C37</f>
        <v>3309597310</v>
      </c>
      <c r="G49" s="366" t="str">
        <f>IF(E49=C38,"Okay", "Check")</f>
        <v>Okay</v>
      </c>
      <c r="K49" s="63"/>
      <c r="L49" s="50"/>
      <c r="M49" s="50"/>
      <c r="N49" s="50"/>
      <c r="O49" s="50"/>
    </row>
    <row r="50" spans="2:15" ht="13.5" thickTop="1" x14ac:dyDescent="0.2">
      <c r="B50" s="443"/>
      <c r="C50" s="444"/>
      <c r="D50" s="444"/>
      <c r="E50" s="444"/>
      <c r="F50" s="443"/>
      <c r="G50" s="443"/>
      <c r="H50" s="443"/>
      <c r="I50" s="443"/>
      <c r="J50" s="443"/>
      <c r="K50" s="443"/>
    </row>
    <row r="51" spans="2:15" x14ac:dyDescent="0.2">
      <c r="B51" s="443"/>
      <c r="C51" s="444"/>
      <c r="D51" s="444"/>
      <c r="E51" s="444"/>
      <c r="F51" s="443"/>
      <c r="G51" s="443"/>
      <c r="H51" s="443"/>
      <c r="I51" s="443"/>
      <c r="J51" s="443"/>
      <c r="K51" s="443"/>
    </row>
    <row r="52" spans="2:15" x14ac:dyDescent="0.2">
      <c r="C52" s="49"/>
      <c r="D52" s="49"/>
      <c r="E52" s="247"/>
    </row>
    <row r="53" spans="2:15" x14ac:dyDescent="0.2">
      <c r="C53" s="49"/>
      <c r="D53" s="367"/>
      <c r="E53" s="368"/>
      <c r="F53" s="362"/>
      <c r="G53" s="362"/>
      <c r="H53" s="362"/>
    </row>
    <row r="54" spans="2:15" x14ac:dyDescent="0.2">
      <c r="D54" s="362"/>
      <c r="E54" s="362"/>
      <c r="F54" s="362"/>
      <c r="G54" s="369"/>
      <c r="H54" s="369"/>
      <c r="I54" s="248"/>
    </row>
    <row r="55" spans="2:15" x14ac:dyDescent="0.2">
      <c r="D55" s="362"/>
      <c r="E55" s="370" t="s">
        <v>1507</v>
      </c>
      <c r="F55" s="371"/>
      <c r="G55" s="372">
        <f>ROUND(('Plant Total by Account'!D39-E49),0)</f>
        <v>0</v>
      </c>
      <c r="H55" s="364"/>
      <c r="I55" s="373">
        <f>ROUND(('Plant Total by Account'!D9+'Plant Total by Account'!D31-D37),0)</f>
        <v>0</v>
      </c>
    </row>
    <row r="56" spans="2:15" x14ac:dyDescent="0.2">
      <c r="C56" s="248"/>
      <c r="D56" s="369"/>
      <c r="E56" s="362"/>
      <c r="F56" s="362"/>
      <c r="G56" s="369"/>
      <c r="H56" s="369"/>
      <c r="I56" s="248"/>
    </row>
    <row r="57" spans="2:15" x14ac:dyDescent="0.2">
      <c r="G57" s="248"/>
    </row>
    <row r="58" spans="2:15" x14ac:dyDescent="0.2">
      <c r="G58" s="248"/>
    </row>
    <row r="59" spans="2:15" x14ac:dyDescent="0.2">
      <c r="G59" s="248"/>
    </row>
    <row r="60" spans="2:15" x14ac:dyDescent="0.2">
      <c r="G60" s="248"/>
    </row>
    <row r="61" spans="2:15" x14ac:dyDescent="0.2">
      <c r="G61" s="248"/>
    </row>
    <row r="62" spans="2:15" x14ac:dyDescent="0.2">
      <c r="G62" s="248"/>
    </row>
    <row r="63" spans="2:15" x14ac:dyDescent="0.2">
      <c r="G63" s="248"/>
    </row>
    <row r="64" spans="2:15" x14ac:dyDescent="0.2">
      <c r="G64" s="248"/>
    </row>
    <row r="65" spans="7:7" x14ac:dyDescent="0.2">
      <c r="G65" s="248"/>
    </row>
    <row r="66" spans="7:7" x14ac:dyDescent="0.2">
      <c r="G66" s="248"/>
    </row>
    <row r="67" spans="7:7" x14ac:dyDescent="0.2">
      <c r="G67" s="248"/>
    </row>
  </sheetData>
  <mergeCells count="7">
    <mergeCell ref="C20:D20"/>
    <mergeCell ref="B5:K5"/>
    <mergeCell ref="B1:K1"/>
    <mergeCell ref="B2:K2"/>
    <mergeCell ref="B3:K3"/>
    <mergeCell ref="B4:K4"/>
    <mergeCell ref="G7:K8"/>
  </mergeCells>
  <phoneticPr fontId="19" type="noConversion"/>
  <printOptions horizontalCentered="1"/>
  <pageMargins left="0.25" right="0.25" top="0.75" bottom="0.75" header="0.3" footer="0.3"/>
  <pageSetup scale="71" orientation="landscape" r:id="rId1"/>
  <headerFooter alignWithMargins="0">
    <oddHeader>&amp;RWP- Plant Study 2011
&amp;P of &amp;N</oddHeader>
    <oddFooter>&amp;C&amp;A</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8" tint="0.59999389629810485"/>
  </sheetPr>
  <dimension ref="A1:H28"/>
  <sheetViews>
    <sheetView zoomScale="80" zoomScaleNormal="80" zoomScalePageLayoutView="60" workbookViewId="0"/>
  </sheetViews>
  <sheetFormatPr defaultRowHeight="15" x14ac:dyDescent="0.25"/>
  <cols>
    <col min="1" max="1" width="19.5703125" style="13" bestFit="1" customWidth="1"/>
    <col min="2" max="2" width="12" style="13" bestFit="1" customWidth="1"/>
    <col min="3" max="3" width="2.5703125" style="13" customWidth="1"/>
    <col min="4" max="4" width="13.42578125" style="13" customWidth="1"/>
    <col min="5" max="5" width="14.28515625" style="13" bestFit="1" customWidth="1"/>
    <col min="6" max="6" width="13" style="13" bestFit="1" customWidth="1"/>
    <col min="7" max="7" width="11.5703125" style="13" bestFit="1" customWidth="1"/>
    <col min="8" max="8" width="12.28515625" style="13" bestFit="1" customWidth="1"/>
    <col min="9" max="16384" width="9.140625" style="13"/>
  </cols>
  <sheetData>
    <row r="1" spans="1:8" x14ac:dyDescent="0.25">
      <c r="A1" s="12"/>
      <c r="B1" s="12"/>
      <c r="C1" s="12"/>
      <c r="D1" s="657"/>
      <c r="E1" s="657"/>
      <c r="F1" s="657"/>
      <c r="G1" s="657"/>
      <c r="H1" s="657"/>
    </row>
    <row r="2" spans="1:8" ht="33.75" customHeight="1" thickBot="1" x14ac:dyDescent="0.3">
      <c r="A2" s="446" t="s">
        <v>1479</v>
      </c>
      <c r="B2" s="447" t="s">
        <v>1482</v>
      </c>
      <c r="C2" s="19"/>
      <c r="D2" s="448" t="s">
        <v>1472</v>
      </c>
      <c r="E2" s="449" t="s">
        <v>1473</v>
      </c>
      <c r="F2" s="449" t="s">
        <v>1474</v>
      </c>
      <c r="G2" s="449" t="s">
        <v>1475</v>
      </c>
      <c r="H2" s="450" t="s">
        <v>1476</v>
      </c>
    </row>
    <row r="3" spans="1:8" x14ac:dyDescent="0.25">
      <c r="A3" s="12"/>
      <c r="B3" s="12"/>
      <c r="D3" s="3"/>
      <c r="E3" s="3"/>
      <c r="F3" s="12"/>
      <c r="G3" s="12"/>
      <c r="H3" s="12"/>
    </row>
    <row r="4" spans="1:8" x14ac:dyDescent="0.25">
      <c r="A4" s="69" t="s">
        <v>1480</v>
      </c>
      <c r="B4" s="14"/>
      <c r="C4" s="71"/>
      <c r="D4" s="3"/>
      <c r="E4" s="3"/>
      <c r="F4" s="12"/>
      <c r="G4" s="12"/>
      <c r="H4" s="12"/>
    </row>
    <row r="5" spans="1:8" x14ac:dyDescent="0.25">
      <c r="A5" s="15" t="s">
        <v>1007</v>
      </c>
      <c r="B5" s="72">
        <v>5090</v>
      </c>
      <c r="C5" s="74"/>
      <c r="D5" s="4">
        <v>13182.65</v>
      </c>
      <c r="E5" s="4">
        <v>0</v>
      </c>
      <c r="F5" s="73">
        <f>65978686.2-'DS by Location'!$G$78</f>
        <v>65952090.75</v>
      </c>
      <c r="G5" s="73">
        <v>0</v>
      </c>
      <c r="H5" s="73">
        <v>897479.72999999986</v>
      </c>
    </row>
    <row r="6" spans="1:8" x14ac:dyDescent="0.25">
      <c r="A6" s="16"/>
      <c r="B6" s="17"/>
      <c r="C6" s="71"/>
      <c r="F6" s="4"/>
      <c r="G6" s="4"/>
      <c r="H6" s="4"/>
    </row>
    <row r="7" spans="1:8" x14ac:dyDescent="0.25">
      <c r="A7" s="70" t="s">
        <v>1481</v>
      </c>
      <c r="B7" s="17"/>
      <c r="C7" s="71"/>
      <c r="D7" s="4"/>
      <c r="E7" s="4"/>
      <c r="F7" s="4"/>
      <c r="G7" s="4"/>
      <c r="H7" s="4"/>
    </row>
    <row r="8" spans="1:8" x14ac:dyDescent="0.25">
      <c r="A8" s="15" t="s">
        <v>1009</v>
      </c>
      <c r="B8" s="17">
        <v>5052</v>
      </c>
      <c r="C8" s="74"/>
      <c r="D8" s="73">
        <v>16725.340269883793</v>
      </c>
      <c r="E8" s="73">
        <v>5244.0877663585943</v>
      </c>
      <c r="F8" s="73">
        <v>46230540.197822832</v>
      </c>
      <c r="G8" s="73">
        <v>14495191.510099923</v>
      </c>
      <c r="H8" s="73">
        <v>9834731.4100000001</v>
      </c>
    </row>
    <row r="9" spans="1:8" x14ac:dyDescent="0.25">
      <c r="A9" s="15" t="s">
        <v>1464</v>
      </c>
      <c r="B9" s="17">
        <v>5059</v>
      </c>
      <c r="C9" s="74"/>
      <c r="D9" s="73">
        <v>93457.415128374327</v>
      </c>
      <c r="E9" s="73">
        <v>16609.128379375332</v>
      </c>
      <c r="F9" s="73">
        <f>13532042.4484569-'Mix Substation Location Summary'!S94</f>
        <v>13532013.086745035</v>
      </c>
      <c r="G9" s="73">
        <v>2404896.7110084258</v>
      </c>
      <c r="H9" s="73">
        <f>1647679.6058569-'Mix Substation Location Summary'!W94</f>
        <v>1647041.0282711985</v>
      </c>
    </row>
    <row r="10" spans="1:8" x14ac:dyDescent="0.25">
      <c r="A10" s="15" t="s">
        <v>1008</v>
      </c>
      <c r="B10" s="17">
        <v>5040</v>
      </c>
      <c r="C10" s="74"/>
      <c r="D10" s="73">
        <v>0</v>
      </c>
      <c r="E10" s="73">
        <v>0</v>
      </c>
      <c r="F10" s="73">
        <v>1480879.5530741161</v>
      </c>
      <c r="G10" s="73">
        <v>136987.67300195651</v>
      </c>
      <c r="H10" s="73">
        <v>2030.56</v>
      </c>
    </row>
    <row r="11" spans="1:8" x14ac:dyDescent="0.25">
      <c r="A11" s="15" t="s">
        <v>131</v>
      </c>
      <c r="B11" s="18" t="s">
        <v>1385</v>
      </c>
      <c r="C11" s="74"/>
      <c r="D11" s="73">
        <v>16631.616571469622</v>
      </c>
      <c r="E11" s="73">
        <v>11953.35333822252</v>
      </c>
      <c r="F11" s="73">
        <f>8227023.89334715-'Mix Substation Location Summary'!W54</f>
        <v>8210171.8517029975</v>
      </c>
      <c r="G11" s="73">
        <v>5912866.2025478557</v>
      </c>
      <c r="H11" s="73">
        <v>1877296.6759396826</v>
      </c>
    </row>
    <row r="12" spans="1:8" x14ac:dyDescent="0.25">
      <c r="A12" s="453" t="s">
        <v>1010</v>
      </c>
      <c r="B12" s="454">
        <v>8049</v>
      </c>
      <c r="C12" s="455"/>
      <c r="D12" s="456">
        <v>3036.4624176767879</v>
      </c>
      <c r="E12" s="456">
        <v>15795.106387448708</v>
      </c>
      <c r="F12" s="456">
        <v>8565937.2100707106</v>
      </c>
      <c r="G12" s="456">
        <v>44558394.253004141</v>
      </c>
      <c r="H12" s="456">
        <v>1375066.6304219943</v>
      </c>
    </row>
    <row r="13" spans="1:8" ht="23.25" customHeight="1" x14ac:dyDescent="0.25">
      <c r="A13" s="451" t="s">
        <v>121</v>
      </c>
      <c r="B13" s="451"/>
      <c r="C13" s="451"/>
      <c r="D13" s="452">
        <f>SUM(D5:D12)</f>
        <v>143033.48438740452</v>
      </c>
      <c r="E13" s="452">
        <f t="shared" ref="E13:H13" si="0">SUM(E5:E12)</f>
        <v>49601.675871405154</v>
      </c>
      <c r="F13" s="452">
        <f t="shared" si="0"/>
        <v>143971632.6494157</v>
      </c>
      <c r="G13" s="452">
        <f t="shared" si="0"/>
        <v>67508336.349662304</v>
      </c>
      <c r="H13" s="452">
        <f t="shared" si="0"/>
        <v>15633646.034632877</v>
      </c>
    </row>
    <row r="14" spans="1:8" x14ac:dyDescent="0.25">
      <c r="A14" s="451"/>
      <c r="B14" s="451"/>
      <c r="C14" s="451"/>
      <c r="D14" s="452"/>
      <c r="E14" s="452"/>
      <c r="F14" s="452"/>
      <c r="G14" s="452"/>
      <c r="H14" s="452"/>
    </row>
    <row r="15" spans="1:8" x14ac:dyDescent="0.25">
      <c r="A15" s="71"/>
      <c r="B15" s="71"/>
      <c r="C15" s="71"/>
      <c r="D15" s="71"/>
      <c r="E15" s="71"/>
      <c r="F15" s="71"/>
      <c r="G15" s="71"/>
      <c r="H15" s="71"/>
    </row>
    <row r="16" spans="1:8" x14ac:dyDescent="0.25">
      <c r="A16" s="71"/>
      <c r="B16" s="71"/>
      <c r="C16" s="71"/>
      <c r="D16" s="71"/>
      <c r="E16" s="71"/>
      <c r="F16" s="71"/>
      <c r="G16" s="71"/>
      <c r="H16" s="71"/>
    </row>
    <row r="18" spans="1:8" x14ac:dyDescent="0.25">
      <c r="E18" s="69"/>
    </row>
    <row r="19" spans="1:8" x14ac:dyDescent="0.25">
      <c r="A19" s="19"/>
      <c r="D19" s="100"/>
      <c r="E19" s="231"/>
      <c r="F19" s="100"/>
      <c r="G19" s="100"/>
      <c r="H19" s="100"/>
    </row>
    <row r="20" spans="1:8" x14ac:dyDescent="0.25">
      <c r="A20" s="19"/>
      <c r="E20" s="69"/>
    </row>
    <row r="21" spans="1:8" x14ac:dyDescent="0.25">
      <c r="A21" s="19"/>
      <c r="E21" s="15"/>
    </row>
    <row r="22" spans="1:8" x14ac:dyDescent="0.25">
      <c r="A22" s="19"/>
      <c r="E22" s="69"/>
    </row>
    <row r="23" spans="1:8" x14ac:dyDescent="0.25">
      <c r="A23" s="19"/>
      <c r="E23" s="70"/>
    </row>
    <row r="24" spans="1:8" x14ac:dyDescent="0.25">
      <c r="A24" s="19"/>
      <c r="E24" s="15"/>
    </row>
    <row r="25" spans="1:8" x14ac:dyDescent="0.25">
      <c r="A25" s="19"/>
      <c r="E25" s="15"/>
    </row>
    <row r="26" spans="1:8" x14ac:dyDescent="0.25">
      <c r="A26" s="19"/>
      <c r="E26" s="15"/>
    </row>
    <row r="27" spans="1:8" x14ac:dyDescent="0.25">
      <c r="E27" s="15"/>
    </row>
    <row r="28" spans="1:8" x14ac:dyDescent="0.25">
      <c r="E28" s="15"/>
    </row>
  </sheetData>
  <mergeCells count="2">
    <mergeCell ref="D1:E1"/>
    <mergeCell ref="F1:H1"/>
  </mergeCells>
  <phoneticPr fontId="19" type="noConversion"/>
  <printOptions horizontalCentered="1"/>
  <pageMargins left="0.25" right="0.25" top="0.75" bottom="0.75" header="0.3" footer="0.3"/>
  <pageSetup scale="70" orientation="landscape" r:id="rId1"/>
  <headerFooter alignWithMargins="0">
    <oddHeader>&amp;RWP- Plant Study 2011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H43"/>
  <sheetViews>
    <sheetView zoomScale="80" zoomScaleNormal="80" zoomScalePageLayoutView="60" workbookViewId="0">
      <selection sqref="A1:G1"/>
    </sheetView>
  </sheetViews>
  <sheetFormatPr defaultRowHeight="15" x14ac:dyDescent="0.25"/>
  <cols>
    <col min="1" max="1" width="22.42578125" bestFit="1" customWidth="1"/>
    <col min="2" max="2" width="15.7109375" customWidth="1"/>
    <col min="3" max="3" width="12.7109375" customWidth="1"/>
    <col min="4" max="4" width="15.7109375" customWidth="1"/>
    <col min="5" max="5" width="12.7109375" customWidth="1"/>
    <col min="6" max="6" width="15.7109375" customWidth="1"/>
    <col min="7" max="7" width="12.7109375" customWidth="1"/>
  </cols>
  <sheetData>
    <row r="1" spans="1:7" ht="18.75" x14ac:dyDescent="0.3">
      <c r="A1" s="663" t="s">
        <v>1430</v>
      </c>
      <c r="B1" s="663"/>
      <c r="C1" s="663"/>
      <c r="D1" s="663"/>
      <c r="E1" s="663"/>
      <c r="F1" s="663"/>
      <c r="G1" s="663"/>
    </row>
    <row r="2" spans="1:7" ht="15.75" x14ac:dyDescent="0.25">
      <c r="A2" s="664" t="s">
        <v>980</v>
      </c>
      <c r="B2" s="664"/>
      <c r="C2" s="664"/>
      <c r="D2" s="664"/>
      <c r="E2" s="664"/>
      <c r="F2" s="664"/>
      <c r="G2" s="664"/>
    </row>
    <row r="3" spans="1:7" ht="15.75" x14ac:dyDescent="0.25">
      <c r="A3" s="665" t="s">
        <v>3374</v>
      </c>
      <c r="B3" s="665"/>
      <c r="C3" s="665"/>
      <c r="D3" s="665"/>
      <c r="E3" s="665"/>
      <c r="F3" s="665"/>
      <c r="G3" s="665"/>
    </row>
    <row r="4" spans="1:7" x14ac:dyDescent="0.25">
      <c r="A4" s="666" t="s">
        <v>981</v>
      </c>
      <c r="B4" s="666"/>
      <c r="C4" s="666"/>
      <c r="D4" s="666"/>
      <c r="E4" s="666"/>
      <c r="F4" s="666"/>
      <c r="G4" s="666"/>
    </row>
    <row r="5" spans="1:7" ht="26.25" customHeight="1" x14ac:dyDescent="0.25">
      <c r="A5" s="658" t="s">
        <v>3376</v>
      </c>
      <c r="B5" s="658"/>
      <c r="C5" s="658"/>
      <c r="D5" s="658"/>
      <c r="E5" s="658"/>
      <c r="F5" s="658"/>
      <c r="G5" s="658"/>
    </row>
    <row r="6" spans="1:7" ht="15" customHeight="1" x14ac:dyDescent="0.25">
      <c r="A6" s="659" t="s">
        <v>3375</v>
      </c>
      <c r="B6" s="661" t="s">
        <v>3379</v>
      </c>
      <c r="C6" s="661"/>
      <c r="D6" s="661">
        <v>2011</v>
      </c>
      <c r="E6" s="661"/>
      <c r="F6" s="662" t="s">
        <v>3372</v>
      </c>
      <c r="G6" s="662"/>
    </row>
    <row r="7" spans="1:7" ht="37.5" customHeight="1" x14ac:dyDescent="0.25">
      <c r="A7" s="660"/>
      <c r="B7" s="405" t="s">
        <v>984</v>
      </c>
      <c r="C7" s="406" t="s">
        <v>985</v>
      </c>
      <c r="D7" s="405" t="s">
        <v>984</v>
      </c>
      <c r="E7" s="406" t="s">
        <v>985</v>
      </c>
      <c r="F7" s="407" t="s">
        <v>1426</v>
      </c>
      <c r="G7" s="407" t="s">
        <v>3373</v>
      </c>
    </row>
    <row r="8" spans="1:7" x14ac:dyDescent="0.25">
      <c r="A8" s="383" t="s">
        <v>3369</v>
      </c>
      <c r="B8" s="383"/>
      <c r="C8" s="383"/>
      <c r="D8" s="384"/>
      <c r="E8" s="385"/>
      <c r="F8" s="95"/>
      <c r="G8" s="95"/>
    </row>
    <row r="9" spans="1:7" x14ac:dyDescent="0.25">
      <c r="A9" s="386">
        <v>350</v>
      </c>
      <c r="B9" s="387">
        <v>153978278.04070765</v>
      </c>
      <c r="C9" s="422">
        <v>0.65274485676647487</v>
      </c>
      <c r="D9" s="381">
        <f>'Plant Total by Account'!D9</f>
        <v>156698449.76800469</v>
      </c>
      <c r="E9" s="422">
        <f>'Plant Total by Account'!E9</f>
        <v>0.65640147105286206</v>
      </c>
      <c r="F9" s="434">
        <f>D9-B9</f>
        <v>2720171.7272970378</v>
      </c>
      <c r="G9" s="435">
        <f>F9/B9</f>
        <v>1.7665944585884372E-2</v>
      </c>
    </row>
    <row r="10" spans="1:7" x14ac:dyDescent="0.25">
      <c r="A10" s="386"/>
      <c r="B10" s="390"/>
      <c r="C10" s="425"/>
      <c r="D10" s="391"/>
      <c r="E10" s="424"/>
      <c r="F10" s="95"/>
      <c r="G10" s="430"/>
    </row>
    <row r="11" spans="1:7" x14ac:dyDescent="0.25">
      <c r="A11" s="392" t="s">
        <v>990</v>
      </c>
      <c r="B11" s="393"/>
      <c r="C11" s="423"/>
      <c r="D11" s="391"/>
      <c r="E11" s="424"/>
      <c r="F11" s="95"/>
      <c r="G11" s="430"/>
    </row>
    <row r="12" spans="1:7" x14ac:dyDescent="0.25">
      <c r="A12" s="386">
        <v>352</v>
      </c>
      <c r="B12" s="380">
        <v>175457663.68683013</v>
      </c>
      <c r="C12" s="424">
        <v>0.58885439996541356</v>
      </c>
      <c r="D12" s="382">
        <f>'Plant Total by Account'!D12</f>
        <v>170948030.48916146</v>
      </c>
      <c r="E12" s="424">
        <f>'Plant Total by Account'!E12</f>
        <v>0.51104603217235545</v>
      </c>
      <c r="F12" s="388">
        <f t="shared" ref="F12:F14" si="0">D12-B12</f>
        <v>-4509633.1976686716</v>
      </c>
      <c r="G12" s="429">
        <f t="shared" ref="G12:G14" si="1">F12/B12</f>
        <v>-2.5702115843271457E-2</v>
      </c>
    </row>
    <row r="13" spans="1:7" x14ac:dyDescent="0.25">
      <c r="A13" s="386">
        <v>353</v>
      </c>
      <c r="B13" s="387">
        <v>1680213303.0966504</v>
      </c>
      <c r="C13" s="422">
        <v>0.52167685773129346</v>
      </c>
      <c r="D13" s="381">
        <f>'Plant Total by Account'!D13</f>
        <v>1756511618.714663</v>
      </c>
      <c r="E13" s="422">
        <f>'Plant Total by Account'!E13</f>
        <v>0.51333709785336967</v>
      </c>
      <c r="F13" s="434">
        <f t="shared" si="0"/>
        <v>76298315.618012667</v>
      </c>
      <c r="G13" s="435">
        <f t="shared" si="1"/>
        <v>4.5409898539306937E-2</v>
      </c>
    </row>
    <row r="14" spans="1:7" x14ac:dyDescent="0.25">
      <c r="A14" s="394" t="s">
        <v>986</v>
      </c>
      <c r="B14" s="380">
        <v>1855670966.7834804</v>
      </c>
      <c r="C14" s="424">
        <v>0.52738976927040371</v>
      </c>
      <c r="D14" s="382">
        <f>'Plant Total by Account'!D14</f>
        <v>1927459649.2038245</v>
      </c>
      <c r="E14" s="424">
        <f>'Plant Total by Account'!E14</f>
        <v>0.51313307146979859</v>
      </c>
      <c r="F14" s="388">
        <f t="shared" si="0"/>
        <v>71788682.420344114</v>
      </c>
      <c r="G14" s="429">
        <f t="shared" si="1"/>
        <v>3.8686105298494124E-2</v>
      </c>
    </row>
    <row r="15" spans="1:7" x14ac:dyDescent="0.25">
      <c r="A15" s="395"/>
      <c r="B15" s="396"/>
      <c r="C15" s="425"/>
      <c r="D15" s="382"/>
      <c r="E15" s="424"/>
      <c r="F15" s="95"/>
      <c r="G15" s="430"/>
    </row>
    <row r="16" spans="1:7" x14ac:dyDescent="0.25">
      <c r="A16" s="383" t="s">
        <v>988</v>
      </c>
      <c r="B16" s="397"/>
      <c r="C16" s="423"/>
      <c r="D16" s="382"/>
      <c r="E16" s="428"/>
      <c r="F16" s="95"/>
      <c r="G16" s="430"/>
    </row>
    <row r="17" spans="1:7" x14ac:dyDescent="0.25">
      <c r="A17" s="386">
        <v>354</v>
      </c>
      <c r="B17" s="380">
        <v>625307189.57790613</v>
      </c>
      <c r="C17" s="424">
        <v>0.92605167045598547</v>
      </c>
      <c r="D17" s="382">
        <f>'Plant Total by Account'!D17</f>
        <v>550516805.02612746</v>
      </c>
      <c r="E17" s="424">
        <f>'Plant Total by Account'!E17</f>
        <v>0.91489304396597626</v>
      </c>
      <c r="F17" s="388">
        <f t="shared" ref="F17:F23" si="2">D17-B17</f>
        <v>-74790384.551778674</v>
      </c>
      <c r="G17" s="429">
        <f t="shared" ref="G17:G23" si="3">F17/B17</f>
        <v>-0.11960582862043144</v>
      </c>
    </row>
    <row r="18" spans="1:7" x14ac:dyDescent="0.25">
      <c r="A18" s="386">
        <v>355</v>
      </c>
      <c r="B18" s="380">
        <v>113770199.194038</v>
      </c>
      <c r="C18" s="424">
        <v>0.21965313644104326</v>
      </c>
      <c r="D18" s="382">
        <f>'Plant Total by Account'!D18</f>
        <v>132075053.85948858</v>
      </c>
      <c r="E18" s="424">
        <f>'Plant Total by Account'!E18</f>
        <v>0.2420097751003602</v>
      </c>
      <c r="F18" s="388">
        <f t="shared" si="2"/>
        <v>18304854.665450573</v>
      </c>
      <c r="G18" s="429">
        <f t="shared" si="3"/>
        <v>0.16089322858819269</v>
      </c>
    </row>
    <row r="19" spans="1:7" x14ac:dyDescent="0.25">
      <c r="A19" s="386">
        <v>356</v>
      </c>
      <c r="B19" s="380">
        <v>422173397.26395917</v>
      </c>
      <c r="C19" s="424">
        <v>0.68662446404888799</v>
      </c>
      <c r="D19" s="382">
        <f>'Plant Total by Account'!D19</f>
        <v>421892563.22866398</v>
      </c>
      <c r="E19" s="424">
        <f>'Plant Total by Account'!E19</f>
        <v>0.68269645496139353</v>
      </c>
      <c r="F19" s="388">
        <f t="shared" si="2"/>
        <v>-280834.03529518843</v>
      </c>
      <c r="G19" s="429">
        <f t="shared" si="3"/>
        <v>-6.6521016510095283E-4</v>
      </c>
    </row>
    <row r="20" spans="1:7" x14ac:dyDescent="0.25">
      <c r="A20" s="386">
        <v>357</v>
      </c>
      <c r="B20" s="380">
        <v>284095.85130650928</v>
      </c>
      <c r="C20" s="424">
        <v>6.6427714878848623E-3</v>
      </c>
      <c r="D20" s="382">
        <f>'Plant Total by Account'!D20</f>
        <v>558943.06565385021</v>
      </c>
      <c r="E20" s="424">
        <f>'Plant Total by Account'!E20</f>
        <v>1.2110556492104243E-2</v>
      </c>
      <c r="F20" s="388">
        <f t="shared" si="2"/>
        <v>274847.21434734092</v>
      </c>
      <c r="G20" s="429">
        <f t="shared" si="3"/>
        <v>0.96744536424366834</v>
      </c>
    </row>
    <row r="21" spans="1:7" x14ac:dyDescent="0.25">
      <c r="A21" s="386">
        <v>358</v>
      </c>
      <c r="B21" s="380">
        <v>2302927.9303273018</v>
      </c>
      <c r="C21" s="424">
        <v>1.3087674074890723E-2</v>
      </c>
      <c r="D21" s="382">
        <f>'Plant Total by Account'!D21</f>
        <v>3408604.13081415</v>
      </c>
      <c r="E21" s="424">
        <f>'Plant Total by Account'!E21</f>
        <v>1.8581359001792905E-2</v>
      </c>
      <c r="F21" s="388">
        <f t="shared" si="2"/>
        <v>1105676.2004868481</v>
      </c>
      <c r="G21" s="429">
        <f t="shared" si="3"/>
        <v>0.48011758680164374</v>
      </c>
    </row>
    <row r="22" spans="1:7" x14ac:dyDescent="0.25">
      <c r="A22" s="386">
        <v>359</v>
      </c>
      <c r="B22" s="387">
        <v>28619067.91659335</v>
      </c>
      <c r="C22" s="422">
        <v>0.89679368589257946</v>
      </c>
      <c r="D22" s="381">
        <f>'Plant Total by Account'!D22</f>
        <v>110352407.03253432</v>
      </c>
      <c r="E22" s="422">
        <f>'Plant Total by Account'!E22</f>
        <v>0.96891440950050223</v>
      </c>
      <c r="F22" s="434">
        <f t="shared" si="2"/>
        <v>81733339.115940958</v>
      </c>
      <c r="G22" s="435">
        <f t="shared" si="3"/>
        <v>2.8559049985185552</v>
      </c>
    </row>
    <row r="23" spans="1:7" x14ac:dyDescent="0.25">
      <c r="A23" s="394" t="s">
        <v>989</v>
      </c>
      <c r="B23" s="380">
        <v>1192456877.7341306</v>
      </c>
      <c r="C23" s="424">
        <v>0.57923110582844795</v>
      </c>
      <c r="D23" s="382">
        <f>'Plant Total by Account'!D23</f>
        <v>1218804376.3432822</v>
      </c>
      <c r="E23" s="424">
        <f>'Plant Total by Account'!E23</f>
        <v>0.57792307941140353</v>
      </c>
      <c r="F23" s="388">
        <f t="shared" si="2"/>
        <v>26347498.609151602</v>
      </c>
      <c r="G23" s="429">
        <f t="shared" si="3"/>
        <v>2.2095137443641819E-2</v>
      </c>
    </row>
    <row r="24" spans="1:7" x14ac:dyDescent="0.25">
      <c r="A24" s="400"/>
      <c r="B24" s="399"/>
      <c r="C24" s="426"/>
      <c r="D24" s="382"/>
      <c r="E24" s="424"/>
      <c r="F24" s="95"/>
      <c r="G24" s="430"/>
    </row>
    <row r="25" spans="1:7" x14ac:dyDescent="0.25">
      <c r="A25" s="414" t="s">
        <v>1718</v>
      </c>
      <c r="B25" s="415">
        <v>3202106122.5583138</v>
      </c>
      <c r="C25" s="427">
        <v>0.5509064935647795</v>
      </c>
      <c r="D25" s="415">
        <f>'Plant Total by Account'!D25</f>
        <v>3302962475.3151112</v>
      </c>
      <c r="E25" s="427">
        <f>'Plant Total by Account'!E25</f>
        <v>0.54112159593231401</v>
      </c>
      <c r="F25" s="416">
        <f>D25-B25</f>
        <v>100856352.75679731</v>
      </c>
      <c r="G25" s="431">
        <f>F25/B25</f>
        <v>3.1496880145939203E-2</v>
      </c>
    </row>
    <row r="26" spans="1:7" x14ac:dyDescent="0.25">
      <c r="A26" s="400"/>
      <c r="B26" s="400"/>
      <c r="C26" s="400"/>
      <c r="D26" s="402"/>
      <c r="E26" s="403"/>
      <c r="F26" s="95"/>
      <c r="G26" s="95"/>
    </row>
    <row r="27" spans="1:7" ht="15.75" x14ac:dyDescent="0.25">
      <c r="A27" s="658" t="s">
        <v>3377</v>
      </c>
      <c r="B27" s="658"/>
      <c r="C27" s="658"/>
      <c r="D27" s="658"/>
      <c r="E27" s="658"/>
      <c r="F27" s="658"/>
      <c r="G27" s="658"/>
    </row>
    <row r="28" spans="1:7" x14ac:dyDescent="0.25">
      <c r="A28" s="659" t="s">
        <v>3375</v>
      </c>
      <c r="B28" s="661">
        <v>2010</v>
      </c>
      <c r="C28" s="661"/>
      <c r="D28" s="661">
        <v>2011</v>
      </c>
      <c r="E28" s="661"/>
      <c r="F28" s="662" t="s">
        <v>3372</v>
      </c>
      <c r="G28" s="662"/>
    </row>
    <row r="29" spans="1:7" ht="25.5" x14ac:dyDescent="0.25">
      <c r="A29" s="660"/>
      <c r="B29" s="405" t="s">
        <v>984</v>
      </c>
      <c r="C29" s="406" t="s">
        <v>985</v>
      </c>
      <c r="D29" s="405" t="s">
        <v>984</v>
      </c>
      <c r="E29" s="406" t="s">
        <v>985</v>
      </c>
      <c r="F29" s="407" t="s">
        <v>1426</v>
      </c>
      <c r="G29" s="407" t="s">
        <v>3373</v>
      </c>
    </row>
    <row r="30" spans="1:7" x14ac:dyDescent="0.25">
      <c r="A30" s="392" t="s">
        <v>992</v>
      </c>
      <c r="B30" s="392"/>
      <c r="C30" s="392"/>
      <c r="D30" s="402"/>
      <c r="E30" s="403"/>
      <c r="F30" s="95"/>
      <c r="G30" s="95"/>
    </row>
    <row r="31" spans="1:7" x14ac:dyDescent="0.25">
      <c r="A31" s="386">
        <v>360</v>
      </c>
      <c r="B31" s="380">
        <v>25780.260273765391</v>
      </c>
      <c r="C31" s="424">
        <v>2.5348565032545735E-4</v>
      </c>
      <c r="D31" s="382">
        <f>'Plant Total by Account'!D31</f>
        <v>75876.480999774722</v>
      </c>
      <c r="E31" s="424">
        <f>'Plant Total by Account'!E31</f>
        <v>7.1679596390465997E-4</v>
      </c>
      <c r="F31" s="388">
        <f>D31-B31</f>
        <v>50096.220726009327</v>
      </c>
      <c r="G31" s="429">
        <f>F31/B31</f>
        <v>1.9432007355250962</v>
      </c>
    </row>
    <row r="32" spans="1:7" x14ac:dyDescent="0.25">
      <c r="A32" s="383" t="s">
        <v>993</v>
      </c>
      <c r="B32" s="398"/>
      <c r="C32" s="423"/>
      <c r="D32" s="382"/>
      <c r="E32" s="424"/>
      <c r="F32" s="95"/>
      <c r="G32" s="430"/>
    </row>
    <row r="33" spans="1:8" x14ac:dyDescent="0.25">
      <c r="A33" s="386">
        <v>361</v>
      </c>
      <c r="B33" s="380">
        <v>1107531.0406130964</v>
      </c>
      <c r="C33" s="424">
        <v>2.7729079285480056E-3</v>
      </c>
      <c r="D33" s="382">
        <f>'Plant Total by Account'!D33</f>
        <v>683246.94527539623</v>
      </c>
      <c r="E33" s="424">
        <f>'Plant Total by Account'!E33</f>
        <v>1.5839701023685809E-3</v>
      </c>
      <c r="F33" s="388">
        <f t="shared" ref="F33:F35" si="4">D33-B33</f>
        <v>-424284.09533770022</v>
      </c>
      <c r="G33" s="429">
        <f t="shared" ref="G33:G35" si="5">F33/B33</f>
        <v>-0.38309002617464255</v>
      </c>
    </row>
    <row r="34" spans="1:8" x14ac:dyDescent="0.25">
      <c r="A34" s="386">
        <v>362</v>
      </c>
      <c r="B34" s="387">
        <v>16087945.866893532</v>
      </c>
      <c r="C34" s="422">
        <v>1.1041405716886336E-2</v>
      </c>
      <c r="D34" s="381">
        <f>'Plant Total by Account'!D34</f>
        <v>5875711.4176010117</v>
      </c>
      <c r="E34" s="422">
        <f>'Plant Total by Account'!E34</f>
        <v>3.6495709427666161E-3</v>
      </c>
      <c r="F34" s="434">
        <f t="shared" si="4"/>
        <v>-10212234.44929252</v>
      </c>
      <c r="G34" s="435">
        <f t="shared" si="5"/>
        <v>-0.63477553528494246</v>
      </c>
    </row>
    <row r="35" spans="1:8" x14ac:dyDescent="0.25">
      <c r="A35" s="404" t="s">
        <v>1510</v>
      </c>
      <c r="B35" s="380">
        <v>17195476.90750663</v>
      </c>
      <c r="C35" s="424">
        <v>9.2624720400803582E-3</v>
      </c>
      <c r="D35" s="382">
        <f>'Plant Total by Account'!D35</f>
        <v>6558958.3628764078</v>
      </c>
      <c r="E35" s="424">
        <f>'Plant Total by Account'!E35</f>
        <v>3.2130901325596586E-3</v>
      </c>
      <c r="F35" s="388">
        <f t="shared" si="4"/>
        <v>-10636518.544630222</v>
      </c>
      <c r="G35" s="429">
        <f t="shared" si="5"/>
        <v>-0.61856490528546404</v>
      </c>
    </row>
    <row r="36" spans="1:8" x14ac:dyDescent="0.25">
      <c r="A36" s="404"/>
      <c r="B36" s="401"/>
      <c r="C36" s="426"/>
      <c r="D36" s="382"/>
      <c r="E36" s="424"/>
      <c r="F36" s="95"/>
      <c r="G36" s="430"/>
    </row>
    <row r="37" spans="1:8" x14ac:dyDescent="0.25">
      <c r="A37" s="417" t="s">
        <v>1719</v>
      </c>
      <c r="B37" s="418">
        <v>17221257.167780396</v>
      </c>
      <c r="C37" s="427">
        <v>8.7945652244975862E-3</v>
      </c>
      <c r="D37" s="419">
        <f>'Plant Total by Account'!D37</f>
        <v>6634834.8438761821</v>
      </c>
      <c r="E37" s="432">
        <f>'Plant Total by Account'!E37</f>
        <v>3.0900238433182029E-3</v>
      </c>
      <c r="F37" s="416">
        <f>D37-B37</f>
        <v>-10586422.323904213</v>
      </c>
      <c r="G37" s="431">
        <f>F37/B37</f>
        <v>-0.61472993642476736</v>
      </c>
    </row>
    <row r="38" spans="1:8" x14ac:dyDescent="0.25">
      <c r="A38" s="408"/>
      <c r="B38" s="409"/>
      <c r="C38" s="410"/>
      <c r="D38" s="411"/>
      <c r="E38" s="412"/>
      <c r="F38" s="388"/>
      <c r="G38" s="389"/>
    </row>
    <row r="39" spans="1:8" x14ac:dyDescent="0.25">
      <c r="A39" s="408"/>
      <c r="B39" s="409"/>
      <c r="C39" s="410"/>
      <c r="D39" s="411"/>
      <c r="E39" s="412"/>
      <c r="F39" s="388"/>
      <c r="G39" s="389"/>
    </row>
    <row r="40" spans="1:8" ht="15.75" x14ac:dyDescent="0.25">
      <c r="A40" s="658" t="s">
        <v>3378</v>
      </c>
      <c r="B40" s="658"/>
      <c r="C40" s="658"/>
      <c r="D40" s="658"/>
      <c r="E40" s="658"/>
      <c r="F40" s="658"/>
      <c r="G40" s="658"/>
    </row>
    <row r="41" spans="1:8" ht="32.25" customHeight="1" x14ac:dyDescent="0.25">
      <c r="A41" s="417" t="s">
        <v>3367</v>
      </c>
      <c r="B41" s="420">
        <v>3219327379.7260942</v>
      </c>
      <c r="C41" s="432">
        <v>0.41457330971118145</v>
      </c>
      <c r="D41" s="419">
        <f>'Plant Total by Account'!D39</f>
        <v>3309597310.1589875</v>
      </c>
      <c r="E41" s="432">
        <f>'Plant Total by Account'!E39</f>
        <v>0.40110991017392239</v>
      </c>
      <c r="F41" s="421">
        <f>D41-B41</f>
        <v>90269930.432893276</v>
      </c>
      <c r="G41" s="433">
        <f>F41/B41</f>
        <v>2.8039997112866973E-2</v>
      </c>
      <c r="H41" s="413"/>
    </row>
    <row r="43" spans="1:8" x14ac:dyDescent="0.25">
      <c r="A43" t="s">
        <v>3380</v>
      </c>
    </row>
  </sheetData>
  <mergeCells count="15">
    <mergeCell ref="A1:G1"/>
    <mergeCell ref="A2:G2"/>
    <mergeCell ref="A3:G3"/>
    <mergeCell ref="A4:G4"/>
    <mergeCell ref="A5:G5"/>
    <mergeCell ref="A40:G40"/>
    <mergeCell ref="A6:A7"/>
    <mergeCell ref="A27:G27"/>
    <mergeCell ref="A28:A29"/>
    <mergeCell ref="B28:C28"/>
    <mergeCell ref="D28:E28"/>
    <mergeCell ref="F28:G28"/>
    <mergeCell ref="B6:C6"/>
    <mergeCell ref="D6:E6"/>
    <mergeCell ref="F6:G6"/>
  </mergeCells>
  <printOptions horizontalCentered="1"/>
  <pageMargins left="0.25" right="0.25" top="0.75" bottom="0.75" header="0.3" footer="0.3"/>
  <pageSetup scale="94" orientation="portrait" r:id="rId1"/>
  <headerFooter alignWithMargins="0">
    <oddHeader>&amp;RWP- Plant Study 2011
&amp;P of &amp;N</oddHeader>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5" tint="-0.249977111117893"/>
    <pageSetUpPr fitToPage="1"/>
  </sheetPr>
  <dimension ref="A1:N44"/>
  <sheetViews>
    <sheetView zoomScale="90" zoomScaleNormal="90" zoomScalePageLayoutView="60" workbookViewId="0"/>
  </sheetViews>
  <sheetFormatPr defaultRowHeight="15" x14ac:dyDescent="0.25"/>
  <cols>
    <col min="1" max="2" width="9.140625" style="288"/>
    <col min="3" max="3" width="36.140625" style="288" customWidth="1"/>
    <col min="4" max="4" width="13.140625" style="288" customWidth="1"/>
    <col min="5" max="6" width="9.140625" style="288"/>
    <col min="7" max="7" width="14.5703125" style="288" customWidth="1"/>
    <col min="8" max="16384" width="9.140625" style="288"/>
  </cols>
  <sheetData>
    <row r="1" spans="1:14" x14ac:dyDescent="0.25">
      <c r="A1" s="374" t="s">
        <v>1722</v>
      </c>
    </row>
    <row r="3" spans="1:14" ht="15" customHeight="1" x14ac:dyDescent="0.25">
      <c r="A3" s="375" t="s">
        <v>3381</v>
      </c>
      <c r="B3" s="376"/>
      <c r="C3" s="376"/>
      <c r="D3" s="376"/>
      <c r="E3" s="376"/>
      <c r="F3" s="376"/>
      <c r="G3" s="376"/>
      <c r="H3" s="376"/>
      <c r="I3" s="376"/>
      <c r="J3" s="376"/>
      <c r="K3" s="376"/>
      <c r="L3" s="376"/>
      <c r="M3" s="376"/>
      <c r="N3" s="376"/>
    </row>
    <row r="4" spans="1:14" x14ac:dyDescent="0.25">
      <c r="A4" s="376"/>
      <c r="B4" s="376"/>
      <c r="C4" s="376"/>
      <c r="D4" s="376"/>
      <c r="E4" s="376"/>
      <c r="F4" s="376"/>
      <c r="G4" s="376"/>
      <c r="H4" s="376"/>
      <c r="I4" s="376"/>
      <c r="J4" s="376"/>
      <c r="K4" s="376"/>
      <c r="L4" s="376"/>
      <c r="M4" s="376"/>
      <c r="N4" s="376"/>
    </row>
    <row r="5" spans="1:14" x14ac:dyDescent="0.25">
      <c r="A5" s="374" t="s">
        <v>1295</v>
      </c>
    </row>
    <row r="6" spans="1:14" ht="7.5" customHeight="1" x14ac:dyDescent="0.25">
      <c r="A6" s="377"/>
      <c r="B6" s="377"/>
      <c r="C6" s="377"/>
      <c r="D6" s="377"/>
      <c r="E6" s="377"/>
      <c r="F6" s="377"/>
      <c r="G6" s="377"/>
      <c r="H6" s="377"/>
      <c r="I6" s="377"/>
      <c r="J6" s="377"/>
      <c r="K6" s="377"/>
      <c r="L6" s="377"/>
      <c r="M6" s="377"/>
      <c r="N6" s="377"/>
    </row>
    <row r="7" spans="1:14" ht="122.45" customHeight="1" x14ac:dyDescent="0.25">
      <c r="A7" s="667" t="s">
        <v>3356</v>
      </c>
      <c r="B7" s="667"/>
      <c r="C7" s="667"/>
      <c r="D7" s="667"/>
      <c r="E7" s="667"/>
      <c r="F7" s="667"/>
      <c r="G7" s="667"/>
      <c r="H7" s="377"/>
      <c r="I7" s="377"/>
      <c r="J7" s="377"/>
      <c r="K7" s="377"/>
      <c r="L7" s="377"/>
      <c r="M7" s="377"/>
      <c r="N7" s="377"/>
    </row>
    <row r="9" spans="1:14" x14ac:dyDescent="0.25">
      <c r="A9" s="374" t="s">
        <v>1296</v>
      </c>
    </row>
    <row r="10" spans="1:14" ht="9.75" customHeight="1" x14ac:dyDescent="0.25">
      <c r="A10" s="374"/>
    </row>
    <row r="11" spans="1:14" ht="138" customHeight="1" x14ac:dyDescent="0.25">
      <c r="A11" s="667" t="s">
        <v>3357</v>
      </c>
      <c r="B11" s="667"/>
      <c r="C11" s="667"/>
      <c r="D11" s="667"/>
      <c r="E11" s="667"/>
      <c r="F11" s="667"/>
      <c r="G11" s="667"/>
    </row>
    <row r="12" spans="1:14" x14ac:dyDescent="0.25">
      <c r="A12" s="376"/>
      <c r="B12" s="376"/>
      <c r="C12" s="376"/>
      <c r="D12" s="376"/>
      <c r="E12" s="376"/>
      <c r="F12" s="376"/>
      <c r="G12" s="376"/>
      <c r="H12" s="376"/>
      <c r="I12" s="376"/>
      <c r="J12" s="376"/>
      <c r="K12" s="376"/>
      <c r="L12" s="376"/>
      <c r="M12" s="376"/>
      <c r="N12" s="376"/>
    </row>
    <row r="13" spans="1:14" ht="15.75" x14ac:dyDescent="0.25">
      <c r="B13" s="378" t="s">
        <v>3358</v>
      </c>
    </row>
    <row r="14" spans="1:14" ht="4.5" customHeight="1" x14ac:dyDescent="0.25">
      <c r="B14" s="378"/>
    </row>
    <row r="15" spans="1:14" x14ac:dyDescent="0.25">
      <c r="C15" s="379" t="s">
        <v>3360</v>
      </c>
      <c r="D15" s="288" t="str">
        <f t="shared" ref="D15:D36" si="0">LEFT(C15,4)</f>
        <v>2313</v>
      </c>
      <c r="E15" s="379" t="s">
        <v>3359</v>
      </c>
    </row>
    <row r="16" spans="1:14" x14ac:dyDescent="0.25">
      <c r="C16" s="379" t="s">
        <v>3340</v>
      </c>
      <c r="D16" s="288" t="str">
        <f t="shared" si="0"/>
        <v>5079</v>
      </c>
      <c r="E16" s="379" t="s">
        <v>3361</v>
      </c>
    </row>
    <row r="17" spans="3:5" x14ac:dyDescent="0.25">
      <c r="C17" s="379" t="s">
        <v>1290</v>
      </c>
      <c r="D17" s="288" t="str">
        <f t="shared" si="0"/>
        <v>5357</v>
      </c>
      <c r="E17" s="379" t="s">
        <v>3359</v>
      </c>
    </row>
    <row r="18" spans="3:5" x14ac:dyDescent="0.25">
      <c r="C18" s="379" t="s">
        <v>1292</v>
      </c>
      <c r="D18" s="288" t="str">
        <f t="shared" si="0"/>
        <v>5358</v>
      </c>
      <c r="E18" s="379" t="s">
        <v>3359</v>
      </c>
    </row>
    <row r="19" spans="3:5" x14ac:dyDescent="0.25">
      <c r="C19" s="379" t="s">
        <v>3345</v>
      </c>
      <c r="D19" s="288" t="str">
        <f t="shared" si="0"/>
        <v>5365</v>
      </c>
      <c r="E19" s="379" t="s">
        <v>3359</v>
      </c>
    </row>
    <row r="20" spans="3:5" x14ac:dyDescent="0.25">
      <c r="C20" s="379" t="s">
        <v>1285</v>
      </c>
      <c r="D20" s="288" t="str">
        <f t="shared" si="0"/>
        <v>5508</v>
      </c>
      <c r="E20" s="379" t="s">
        <v>3359</v>
      </c>
    </row>
    <row r="21" spans="3:5" x14ac:dyDescent="0.25">
      <c r="C21" s="379" t="s">
        <v>1286</v>
      </c>
      <c r="D21" s="288" t="str">
        <f t="shared" si="0"/>
        <v>5511</v>
      </c>
      <c r="E21" s="379" t="s">
        <v>3359</v>
      </c>
    </row>
    <row r="22" spans="3:5" x14ac:dyDescent="0.25">
      <c r="C22" s="379" t="s">
        <v>1291</v>
      </c>
      <c r="D22" s="288" t="str">
        <f t="shared" si="0"/>
        <v>5512</v>
      </c>
      <c r="E22" s="379" t="s">
        <v>3359</v>
      </c>
    </row>
    <row r="23" spans="3:5" x14ac:dyDescent="0.25">
      <c r="C23" s="379" t="s">
        <v>1284</v>
      </c>
      <c r="D23" s="288" t="str">
        <f t="shared" si="0"/>
        <v>5514</v>
      </c>
      <c r="E23" s="379" t="s">
        <v>3359</v>
      </c>
    </row>
    <row r="24" spans="3:5" x14ac:dyDescent="0.25">
      <c r="C24" s="379" t="s">
        <v>1279</v>
      </c>
      <c r="D24" s="288" t="str">
        <f t="shared" si="0"/>
        <v>5518</v>
      </c>
      <c r="E24" s="379" t="s">
        <v>3359</v>
      </c>
    </row>
    <row r="25" spans="3:5" x14ac:dyDescent="0.25">
      <c r="C25" s="379" t="s">
        <v>1280</v>
      </c>
      <c r="D25" s="288" t="str">
        <f t="shared" si="0"/>
        <v>5522</v>
      </c>
      <c r="E25" s="379" t="s">
        <v>3359</v>
      </c>
    </row>
    <row r="26" spans="3:5" x14ac:dyDescent="0.25">
      <c r="C26" s="379" t="s">
        <v>1283</v>
      </c>
      <c r="D26" s="288" t="str">
        <f t="shared" si="0"/>
        <v>5530</v>
      </c>
      <c r="E26" s="379" t="s">
        <v>3359</v>
      </c>
    </row>
    <row r="27" spans="3:5" x14ac:dyDescent="0.25">
      <c r="C27" s="379" t="s">
        <v>1276</v>
      </c>
      <c r="D27" s="288" t="str">
        <f t="shared" si="0"/>
        <v>5539</v>
      </c>
      <c r="E27" s="379" t="s">
        <v>3359</v>
      </c>
    </row>
    <row r="28" spans="3:5" x14ac:dyDescent="0.25">
      <c r="C28" s="379" t="s">
        <v>1288</v>
      </c>
      <c r="D28" s="288" t="str">
        <f t="shared" si="0"/>
        <v>5541</v>
      </c>
      <c r="E28" s="379" t="s">
        <v>3359</v>
      </c>
    </row>
    <row r="29" spans="3:5" x14ac:dyDescent="0.25">
      <c r="C29" s="379" t="s">
        <v>1282</v>
      </c>
      <c r="D29" s="288" t="str">
        <f t="shared" si="0"/>
        <v>5545</v>
      </c>
      <c r="E29" s="379" t="s">
        <v>3359</v>
      </c>
    </row>
    <row r="30" spans="3:5" x14ac:dyDescent="0.25">
      <c r="C30" s="379" t="s">
        <v>1287</v>
      </c>
      <c r="D30" s="288" t="str">
        <f t="shared" si="0"/>
        <v>5547</v>
      </c>
      <c r="E30" s="379" t="s">
        <v>3359</v>
      </c>
    </row>
    <row r="31" spans="3:5" x14ac:dyDescent="0.25">
      <c r="C31" s="379" t="s">
        <v>1281</v>
      </c>
      <c r="D31" s="288" t="str">
        <f t="shared" si="0"/>
        <v>5548</v>
      </c>
      <c r="E31" s="379" t="s">
        <v>3359</v>
      </c>
    </row>
    <row r="32" spans="3:5" x14ac:dyDescent="0.25">
      <c r="C32" s="379" t="s">
        <v>1289</v>
      </c>
      <c r="D32" s="288" t="str">
        <f t="shared" si="0"/>
        <v>5553</v>
      </c>
      <c r="E32" s="379" t="s">
        <v>3359</v>
      </c>
    </row>
    <row r="33" spans="1:7" x14ac:dyDescent="0.25">
      <c r="C33" s="379" t="s">
        <v>1278</v>
      </c>
      <c r="D33" s="288" t="str">
        <f t="shared" si="0"/>
        <v>5564</v>
      </c>
      <c r="E33" s="379" t="s">
        <v>3359</v>
      </c>
    </row>
    <row r="34" spans="1:7" ht="14.45" customHeight="1" x14ac:dyDescent="0.25">
      <c r="C34" s="379" t="s">
        <v>1293</v>
      </c>
      <c r="D34" s="288" t="str">
        <f t="shared" si="0"/>
        <v>5566</v>
      </c>
      <c r="E34" s="379" t="s">
        <v>3359</v>
      </c>
    </row>
    <row r="35" spans="1:7" x14ac:dyDescent="0.25">
      <c r="C35" s="379" t="s">
        <v>1277</v>
      </c>
      <c r="D35" s="288" t="str">
        <f t="shared" si="0"/>
        <v>5599</v>
      </c>
      <c r="E35" s="379" t="s">
        <v>3359</v>
      </c>
    </row>
    <row r="36" spans="1:7" x14ac:dyDescent="0.25">
      <c r="C36" s="379" t="s">
        <v>1294</v>
      </c>
      <c r="D36" s="288" t="str">
        <f t="shared" si="0"/>
        <v>8504</v>
      </c>
      <c r="E36" s="379" t="s">
        <v>3359</v>
      </c>
    </row>
    <row r="37" spans="1:7" x14ac:dyDescent="0.25">
      <c r="C37" s="379"/>
      <c r="E37" s="379"/>
    </row>
    <row r="38" spans="1:7" x14ac:dyDescent="0.25">
      <c r="A38" s="374" t="s">
        <v>1297</v>
      </c>
    </row>
    <row r="39" spans="1:7" ht="6.75" customHeight="1" x14ac:dyDescent="0.25">
      <c r="A39" s="374"/>
    </row>
    <row r="40" spans="1:7" ht="77.45" customHeight="1" x14ac:dyDescent="0.25">
      <c r="A40" s="667" t="s">
        <v>3366</v>
      </c>
      <c r="B40" s="667"/>
      <c r="C40" s="667"/>
      <c r="D40" s="667"/>
      <c r="E40" s="667"/>
      <c r="F40" s="667"/>
      <c r="G40" s="667"/>
    </row>
    <row r="42" spans="1:7" x14ac:dyDescent="0.25">
      <c r="A42" s="374" t="s">
        <v>3362</v>
      </c>
    </row>
    <row r="43" spans="1:7" ht="5.25" customHeight="1" x14ac:dyDescent="0.25"/>
    <row r="44" spans="1:7" ht="93" customHeight="1" x14ac:dyDescent="0.25">
      <c r="A44" s="667" t="s">
        <v>3363</v>
      </c>
      <c r="B44" s="667"/>
      <c r="C44" s="667"/>
      <c r="D44" s="667"/>
      <c r="E44" s="667"/>
      <c r="F44" s="667"/>
      <c r="G44" s="667"/>
    </row>
  </sheetData>
  <mergeCells count="4">
    <mergeCell ref="A44:G44"/>
    <mergeCell ref="A7:G7"/>
    <mergeCell ref="A11:G11"/>
    <mergeCell ref="A40:G40"/>
  </mergeCells>
  <printOptions horizontalCentered="1"/>
  <pageMargins left="0.25" right="0.25" top="0.75" bottom="0.75" header="0.3" footer="0.3"/>
  <pageSetup scale="71" orientation="portrait" r:id="rId1"/>
  <headerFooter alignWithMargins="0">
    <oddHeader>&amp;RWP- Plant Study 2011
&amp;P of &amp;N</oddHead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42"/>
    <pageSetUpPr fitToPage="1"/>
  </sheetPr>
  <dimension ref="A1:R484"/>
  <sheetViews>
    <sheetView zoomScale="80" zoomScaleNormal="80" zoomScaleSheetLayoutView="70" zoomScalePageLayoutView="60" workbookViewId="0"/>
  </sheetViews>
  <sheetFormatPr defaultRowHeight="12.75" outlineLevelRow="1" x14ac:dyDescent="0.2"/>
  <cols>
    <col min="1" max="1" width="29.85546875" style="250" customWidth="1"/>
    <col min="2" max="2" width="11.140625" style="258" bestFit="1" customWidth="1"/>
    <col min="3" max="3" width="15.7109375" style="258" customWidth="1"/>
    <col min="4" max="4" width="13.85546875" style="271" bestFit="1" customWidth="1"/>
    <col min="5" max="5" width="13.42578125" style="271" customWidth="1"/>
    <col min="6" max="6" width="15" style="271" customWidth="1"/>
    <col min="7" max="7" width="15.28515625" style="275" bestFit="1" customWidth="1"/>
    <col min="8" max="9" width="13.140625" style="250" bestFit="1" customWidth="1"/>
    <col min="10" max="10" width="14.5703125" style="250" bestFit="1" customWidth="1"/>
    <col min="11" max="11" width="15.7109375" style="250" bestFit="1" customWidth="1"/>
    <col min="12" max="12" width="14.85546875" style="250" customWidth="1"/>
    <col min="13" max="13" width="14.5703125" style="250" bestFit="1" customWidth="1"/>
    <col min="14" max="14" width="5.85546875" style="250" bestFit="1" customWidth="1"/>
    <col min="15" max="15" width="16.28515625" style="258" bestFit="1" customWidth="1"/>
    <col min="16" max="16" width="14" style="250" bestFit="1" customWidth="1"/>
    <col min="17" max="17" width="7.7109375" style="258" bestFit="1" customWidth="1"/>
    <col min="18" max="18" width="7" style="258" bestFit="1" customWidth="1"/>
    <col min="19" max="16384" width="9.140625" style="250"/>
  </cols>
  <sheetData>
    <row r="1" spans="1:18" ht="19.5" customHeight="1" outlineLevel="1" x14ac:dyDescent="0.3">
      <c r="A1" s="511" t="s">
        <v>1430</v>
      </c>
      <c r="B1" s="512"/>
      <c r="C1" s="512"/>
      <c r="D1" s="513"/>
      <c r="E1" s="513"/>
      <c r="F1" s="513"/>
      <c r="G1" s="514"/>
      <c r="H1" s="249"/>
    </row>
    <row r="2" spans="1:18" ht="16.5" customHeight="1" outlineLevel="1" x14ac:dyDescent="0.25">
      <c r="A2" s="515" t="s">
        <v>1715</v>
      </c>
      <c r="B2" s="512"/>
      <c r="C2" s="512"/>
      <c r="D2" s="513"/>
      <c r="E2" s="513"/>
      <c r="F2" s="513"/>
      <c r="G2" s="514"/>
      <c r="H2" s="249"/>
    </row>
    <row r="3" spans="1:18" ht="16.5" customHeight="1" outlineLevel="1" x14ac:dyDescent="0.25">
      <c r="A3" s="515" t="s">
        <v>3383</v>
      </c>
      <c r="B3" s="512"/>
      <c r="C3" s="512"/>
      <c r="D3" s="513"/>
      <c r="E3" s="513"/>
      <c r="F3" s="513"/>
      <c r="G3" s="514"/>
      <c r="H3" s="249"/>
    </row>
    <row r="4" spans="1:18" outlineLevel="1" x14ac:dyDescent="0.2">
      <c r="A4" s="516" t="s">
        <v>1488</v>
      </c>
      <c r="B4" s="512"/>
      <c r="C4" s="512"/>
      <c r="D4" s="513"/>
      <c r="E4" s="513"/>
      <c r="F4" s="513"/>
      <c r="G4" s="514"/>
      <c r="H4" s="249"/>
    </row>
    <row r="5" spans="1:18" ht="13.5" outlineLevel="1" thickBot="1" x14ac:dyDescent="0.25">
      <c r="A5" s="249"/>
      <c r="B5" s="517"/>
      <c r="C5" s="517"/>
      <c r="D5" s="518"/>
      <c r="E5" s="519"/>
      <c r="F5" s="519"/>
      <c r="G5" s="520"/>
      <c r="H5" s="249"/>
    </row>
    <row r="6" spans="1:18" ht="22.5" customHeight="1" thickBot="1" x14ac:dyDescent="0.3">
      <c r="A6" s="521"/>
      <c r="B6" s="675" t="s">
        <v>1449</v>
      </c>
      <c r="C6" s="671" t="s">
        <v>1469</v>
      </c>
      <c r="D6" s="687" t="s">
        <v>994</v>
      </c>
      <c r="E6" s="688"/>
      <c r="F6" s="689"/>
      <c r="G6" s="522"/>
      <c r="H6" s="684" t="s">
        <v>3343</v>
      </c>
      <c r="I6" s="685"/>
      <c r="J6" s="686"/>
      <c r="K6" s="668" t="s">
        <v>119</v>
      </c>
      <c r="L6" s="669"/>
      <c r="M6" s="670"/>
      <c r="N6" s="509"/>
      <c r="O6" s="509"/>
      <c r="P6" s="523"/>
      <c r="Q6" s="510"/>
      <c r="R6" s="510"/>
    </row>
    <row r="7" spans="1:18" s="535" customFormat="1" ht="18.75" customHeight="1" thickBot="1" x14ac:dyDescent="0.25">
      <c r="A7" s="524" t="s">
        <v>1431</v>
      </c>
      <c r="B7" s="676"/>
      <c r="C7" s="672"/>
      <c r="D7" s="525" t="s">
        <v>995</v>
      </c>
      <c r="E7" s="526" t="s">
        <v>996</v>
      </c>
      <c r="F7" s="527" t="s">
        <v>997</v>
      </c>
      <c r="G7" s="528" t="s">
        <v>998</v>
      </c>
      <c r="H7" s="529" t="s">
        <v>995</v>
      </c>
      <c r="I7" s="530" t="s">
        <v>996</v>
      </c>
      <c r="J7" s="531" t="s">
        <v>997</v>
      </c>
      <c r="K7" s="529" t="s">
        <v>995</v>
      </c>
      <c r="L7" s="532" t="s">
        <v>996</v>
      </c>
      <c r="M7" s="531" t="s">
        <v>997</v>
      </c>
      <c r="N7" s="533"/>
      <c r="O7" s="510"/>
      <c r="P7" s="534"/>
      <c r="Q7" s="510"/>
      <c r="R7" s="510"/>
    </row>
    <row r="8" spans="1:18" s="318" customFormat="1" ht="33.75" customHeight="1" thickBot="1" x14ac:dyDescent="0.3">
      <c r="A8" s="536"/>
      <c r="B8" s="677"/>
      <c r="C8" s="673"/>
      <c r="D8" s="537" t="s">
        <v>1447</v>
      </c>
      <c r="E8" s="538" t="s">
        <v>1461</v>
      </c>
      <c r="F8" s="539" t="s">
        <v>1462</v>
      </c>
      <c r="G8" s="540" t="s">
        <v>1463</v>
      </c>
      <c r="H8" s="541" t="s">
        <v>1447</v>
      </c>
      <c r="I8" s="542" t="s">
        <v>1461</v>
      </c>
      <c r="J8" s="543" t="s">
        <v>1462</v>
      </c>
      <c r="K8" s="541" t="s">
        <v>1447</v>
      </c>
      <c r="L8" s="542" t="s">
        <v>1461</v>
      </c>
      <c r="M8" s="543" t="s">
        <v>1462</v>
      </c>
      <c r="N8" s="544" t="s">
        <v>1507</v>
      </c>
      <c r="O8" s="303" t="s">
        <v>3328</v>
      </c>
      <c r="P8" s="302" t="s">
        <v>1724</v>
      </c>
      <c r="Q8" s="545" t="s">
        <v>3370</v>
      </c>
      <c r="R8" s="545" t="s">
        <v>3371</v>
      </c>
    </row>
    <row r="9" spans="1:18" s="318" customFormat="1" ht="8.25" customHeight="1" x14ac:dyDescent="0.25">
      <c r="A9" s="312"/>
      <c r="B9" s="313"/>
      <c r="C9" s="314"/>
      <c r="D9" s="315"/>
      <c r="E9" s="315"/>
      <c r="F9" s="315"/>
      <c r="G9" s="316"/>
      <c r="H9" s="317"/>
      <c r="I9" s="317"/>
      <c r="J9" s="317"/>
      <c r="K9" s="317"/>
      <c r="L9" s="317"/>
      <c r="M9" s="317"/>
      <c r="N9" s="30"/>
      <c r="O9" s="251"/>
      <c r="P9" s="30"/>
      <c r="Q9" s="251"/>
      <c r="R9" s="251"/>
    </row>
    <row r="10" spans="1:18" ht="12.75" customHeight="1" x14ac:dyDescent="0.2">
      <c r="A10" s="249" t="s">
        <v>1830</v>
      </c>
      <c r="B10" s="252" t="s">
        <v>1036</v>
      </c>
      <c r="C10" s="252" t="s">
        <v>3349</v>
      </c>
      <c r="D10" s="253">
        <v>0</v>
      </c>
      <c r="E10" s="253">
        <v>168580.15999999997</v>
      </c>
      <c r="F10" s="253">
        <v>9518339.1199999992</v>
      </c>
      <c r="G10" s="546">
        <f t="shared" ref="G10:G73" si="0">SUM(D10:F10)</f>
        <v>9686919.2799999993</v>
      </c>
      <c r="H10" s="254">
        <f t="shared" ref="H10:H35" si="1">D10</f>
        <v>0</v>
      </c>
      <c r="I10" s="254">
        <f t="shared" ref="I10:I35" si="2">E10</f>
        <v>168580.15999999997</v>
      </c>
      <c r="J10" s="254">
        <f t="shared" ref="J10:J35" si="3">F10</f>
        <v>9518339.1199999992</v>
      </c>
      <c r="K10" s="254">
        <v>0</v>
      </c>
      <c r="L10" s="254">
        <v>0</v>
      </c>
      <c r="M10" s="254">
        <v>0</v>
      </c>
      <c r="N10" s="255">
        <f t="shared" ref="N10:N73" si="4">G10-SUM(H10:M10)</f>
        <v>0</v>
      </c>
      <c r="O10" s="252" t="s">
        <v>3326</v>
      </c>
      <c r="P10" s="252" t="s">
        <v>1477</v>
      </c>
      <c r="Q10" s="258">
        <f>SUMIF('Antelope Bailey Split BA'!$B$7:$B$29,B10,'Antelope Bailey Split BA'!$C$7:$C$29)</f>
        <v>0</v>
      </c>
      <c r="R10" s="258" t="str">
        <f>IF(AND(Q10=1,'Plant Total by Account'!$J$1=2),"EKWRA","")</f>
        <v/>
      </c>
    </row>
    <row r="11" spans="1:18" ht="12.75" customHeight="1" x14ac:dyDescent="0.2">
      <c r="A11" s="249" t="s">
        <v>2319</v>
      </c>
      <c r="B11" s="252" t="s">
        <v>156</v>
      </c>
      <c r="C11" s="252" t="s">
        <v>3348</v>
      </c>
      <c r="D11" s="253">
        <v>0</v>
      </c>
      <c r="E11" s="253">
        <v>287755.15999999997</v>
      </c>
      <c r="F11" s="253">
        <v>4196329.03</v>
      </c>
      <c r="G11" s="546">
        <f t="shared" si="0"/>
        <v>4484084.1900000004</v>
      </c>
      <c r="H11" s="259">
        <f t="shared" si="1"/>
        <v>0</v>
      </c>
      <c r="I11" s="259">
        <f t="shared" si="2"/>
        <v>287755.15999999997</v>
      </c>
      <c r="J11" s="259">
        <f t="shared" si="3"/>
        <v>4196329.03</v>
      </c>
      <c r="K11" s="254">
        <v>0</v>
      </c>
      <c r="L11" s="254">
        <v>0</v>
      </c>
      <c r="M11" s="254">
        <v>0</v>
      </c>
      <c r="N11" s="255">
        <f t="shared" si="4"/>
        <v>0</v>
      </c>
      <c r="O11" s="252" t="s">
        <v>3326</v>
      </c>
      <c r="P11" s="252" t="s">
        <v>1478</v>
      </c>
      <c r="Q11" s="258">
        <f>SUMIF('Antelope Bailey Split BA'!$B$7:$B$29,B11,'Antelope Bailey Split BA'!$C$7:$C$29)</f>
        <v>0</v>
      </c>
      <c r="R11" s="258" t="str">
        <f>IF(AND(Q11=1,'Plant Total by Account'!$J$1=2),"EKWRA","")</f>
        <v/>
      </c>
    </row>
    <row r="12" spans="1:18" ht="12.75" customHeight="1" x14ac:dyDescent="0.2">
      <c r="A12" s="249" t="s">
        <v>2347</v>
      </c>
      <c r="B12" s="252" t="s">
        <v>1113</v>
      </c>
      <c r="C12" s="252" t="s">
        <v>3349</v>
      </c>
      <c r="D12" s="253">
        <v>0</v>
      </c>
      <c r="E12" s="253">
        <v>0</v>
      </c>
      <c r="F12" s="253">
        <v>10684163.720000001</v>
      </c>
      <c r="G12" s="546">
        <f t="shared" si="0"/>
        <v>10684163.720000001</v>
      </c>
      <c r="H12" s="259">
        <f t="shared" si="1"/>
        <v>0</v>
      </c>
      <c r="I12" s="259">
        <f t="shared" si="2"/>
        <v>0</v>
      </c>
      <c r="J12" s="259">
        <f t="shared" si="3"/>
        <v>10684163.720000001</v>
      </c>
      <c r="K12" s="254">
        <v>0</v>
      </c>
      <c r="L12" s="254">
        <v>0</v>
      </c>
      <c r="M12" s="254">
        <v>0</v>
      </c>
      <c r="N12" s="255">
        <f t="shared" si="4"/>
        <v>0</v>
      </c>
      <c r="O12" s="252" t="s">
        <v>3326</v>
      </c>
      <c r="P12" s="252" t="s">
        <v>1477</v>
      </c>
      <c r="Q12" s="258">
        <f>SUMIF('Antelope Bailey Split BA'!$B$7:$B$29,B12,'Antelope Bailey Split BA'!$C$7:$C$29)</f>
        <v>0</v>
      </c>
      <c r="R12" s="258" t="str">
        <f>IF(AND(Q12=1,'Plant Total by Account'!$J$1=2),"EKWRA","")</f>
        <v/>
      </c>
    </row>
    <row r="13" spans="1:18" ht="12.75" customHeight="1" x14ac:dyDescent="0.2">
      <c r="A13" s="249" t="s">
        <v>2354</v>
      </c>
      <c r="B13" s="252" t="s">
        <v>1119</v>
      </c>
      <c r="C13" s="252" t="s">
        <v>3350</v>
      </c>
      <c r="D13" s="253">
        <v>0</v>
      </c>
      <c r="E13" s="253">
        <v>18729.02</v>
      </c>
      <c r="F13" s="253">
        <v>3340925.060000001</v>
      </c>
      <c r="G13" s="546">
        <f t="shared" si="0"/>
        <v>3359654.080000001</v>
      </c>
      <c r="H13" s="259">
        <f t="shared" si="1"/>
        <v>0</v>
      </c>
      <c r="I13" s="259">
        <f t="shared" si="2"/>
        <v>18729.02</v>
      </c>
      <c r="J13" s="259">
        <f t="shared" si="3"/>
        <v>3340925.060000001</v>
      </c>
      <c r="K13" s="254">
        <v>0</v>
      </c>
      <c r="L13" s="254">
        <v>0</v>
      </c>
      <c r="M13" s="254">
        <v>0</v>
      </c>
      <c r="N13" s="255">
        <f t="shared" si="4"/>
        <v>0</v>
      </c>
      <c r="O13" s="252" t="s">
        <v>3326</v>
      </c>
      <c r="P13" s="252" t="s">
        <v>1477</v>
      </c>
      <c r="Q13" s="258">
        <f>SUMIF('Antelope Bailey Split BA'!$B$7:$B$29,B13,'Antelope Bailey Split BA'!$C$7:$C$29)</f>
        <v>0</v>
      </c>
      <c r="R13" s="258" t="str">
        <f>IF(AND(Q13=1,'Plant Total by Account'!$J$1=2),"EKWRA","")</f>
        <v/>
      </c>
    </row>
    <row r="14" spans="1:18" ht="12.75" customHeight="1" x14ac:dyDescent="0.2">
      <c r="A14" s="249" t="s">
        <v>1906</v>
      </c>
      <c r="B14" s="252" t="s">
        <v>1351</v>
      </c>
      <c r="C14" s="252" t="s">
        <v>3350</v>
      </c>
      <c r="D14" s="253">
        <v>12469.81</v>
      </c>
      <c r="E14" s="253">
        <v>7552.09</v>
      </c>
      <c r="F14" s="253">
        <v>1159363.99</v>
      </c>
      <c r="G14" s="546">
        <f t="shared" si="0"/>
        <v>1179385.8899999999</v>
      </c>
      <c r="H14" s="254">
        <f>D14</f>
        <v>12469.81</v>
      </c>
      <c r="I14" s="254">
        <f>E14</f>
        <v>7552.09</v>
      </c>
      <c r="J14" s="254">
        <f>F14</f>
        <v>1159363.99</v>
      </c>
      <c r="K14" s="254">
        <v>0</v>
      </c>
      <c r="L14" s="254">
        <v>0</v>
      </c>
      <c r="M14" s="254">
        <v>0</v>
      </c>
      <c r="N14" s="255">
        <f t="shared" si="4"/>
        <v>0</v>
      </c>
      <c r="O14" s="252" t="s">
        <v>3326</v>
      </c>
      <c r="P14" s="252" t="s">
        <v>1477</v>
      </c>
      <c r="Q14" s="258">
        <f>SUMIF('Antelope Bailey Split BA'!$B$7:$B$29,B14,'Antelope Bailey Split BA'!$C$7:$C$29)</f>
        <v>0</v>
      </c>
      <c r="R14" s="258" t="str">
        <f>IF(AND(Q14=1,'Plant Total by Account'!$J$1=2),"EKWRA","")</f>
        <v/>
      </c>
    </row>
    <row r="15" spans="1:18" ht="12.75" customHeight="1" x14ac:dyDescent="0.2">
      <c r="A15" s="249" t="s">
        <v>2363</v>
      </c>
      <c r="B15" s="252" t="s">
        <v>1127</v>
      </c>
      <c r="C15" s="252" t="s">
        <v>3349</v>
      </c>
      <c r="D15" s="253">
        <v>0</v>
      </c>
      <c r="E15" s="253">
        <v>3615.73</v>
      </c>
      <c r="F15" s="253">
        <v>169990.17</v>
      </c>
      <c r="G15" s="546">
        <f t="shared" si="0"/>
        <v>173605.90000000002</v>
      </c>
      <c r="H15" s="259">
        <f t="shared" si="1"/>
        <v>0</v>
      </c>
      <c r="I15" s="259">
        <f t="shared" si="2"/>
        <v>3615.73</v>
      </c>
      <c r="J15" s="259">
        <f t="shared" si="3"/>
        <v>169990.17</v>
      </c>
      <c r="K15" s="254">
        <v>0</v>
      </c>
      <c r="L15" s="254">
        <v>0</v>
      </c>
      <c r="M15" s="254">
        <v>0</v>
      </c>
      <c r="N15" s="255">
        <f t="shared" si="4"/>
        <v>0</v>
      </c>
      <c r="O15" s="252" t="s">
        <v>3326</v>
      </c>
      <c r="P15" s="252" t="s">
        <v>1477</v>
      </c>
      <c r="Q15" s="258">
        <f>SUMIF('Antelope Bailey Split BA'!$B$7:$B$29,B15,'Antelope Bailey Split BA'!$C$7:$C$29)</f>
        <v>0</v>
      </c>
      <c r="R15" s="258" t="str">
        <f>IF(AND(Q15=1,'Plant Total by Account'!$J$1=2),"EKWRA","")</f>
        <v/>
      </c>
    </row>
    <row r="16" spans="1:18" ht="12.75" customHeight="1" x14ac:dyDescent="0.2">
      <c r="A16" s="249" t="s">
        <v>2367</v>
      </c>
      <c r="B16" s="252" t="s">
        <v>1130</v>
      </c>
      <c r="C16" s="252" t="s">
        <v>3350</v>
      </c>
      <c r="D16" s="253">
        <v>21435.440000000002</v>
      </c>
      <c r="E16" s="253">
        <v>262284.36</v>
      </c>
      <c r="F16" s="253">
        <v>6367297.2099999981</v>
      </c>
      <c r="G16" s="546">
        <f t="shared" si="0"/>
        <v>6651017.0099999979</v>
      </c>
      <c r="H16" s="254">
        <f>D16</f>
        <v>21435.440000000002</v>
      </c>
      <c r="I16" s="254">
        <f>E16</f>
        <v>262284.36</v>
      </c>
      <c r="J16" s="254">
        <f>F16</f>
        <v>6367297.2099999981</v>
      </c>
      <c r="K16" s="254">
        <v>0</v>
      </c>
      <c r="L16" s="254">
        <v>0</v>
      </c>
      <c r="M16" s="254">
        <v>0</v>
      </c>
      <c r="N16" s="255">
        <f t="shared" si="4"/>
        <v>0</v>
      </c>
      <c r="O16" s="252" t="s">
        <v>3326</v>
      </c>
      <c r="P16" s="252" t="s">
        <v>1477</v>
      </c>
      <c r="Q16" s="258">
        <f>SUMIF('Antelope Bailey Split BA'!$B$7:$B$29,B16,'Antelope Bailey Split BA'!$C$7:$C$29)</f>
        <v>0</v>
      </c>
      <c r="R16" s="258" t="str">
        <f>IF(AND(Q16=1,'Plant Total by Account'!$J$1=2),"EKWRA","")</f>
        <v/>
      </c>
    </row>
    <row r="17" spans="1:18" ht="12.75" customHeight="1" x14ac:dyDescent="0.2">
      <c r="A17" s="249" t="s">
        <v>2370</v>
      </c>
      <c r="B17" s="252" t="s">
        <v>1134</v>
      </c>
      <c r="C17" s="252" t="s">
        <v>3348</v>
      </c>
      <c r="D17" s="253">
        <v>0</v>
      </c>
      <c r="E17" s="253">
        <v>0</v>
      </c>
      <c r="F17" s="253">
        <v>1486719.9600000002</v>
      </c>
      <c r="G17" s="546">
        <f t="shared" si="0"/>
        <v>1486719.9600000002</v>
      </c>
      <c r="H17" s="259">
        <f t="shared" si="1"/>
        <v>0</v>
      </c>
      <c r="I17" s="259">
        <f t="shared" si="2"/>
        <v>0</v>
      </c>
      <c r="J17" s="259">
        <f t="shared" si="3"/>
        <v>1486719.9600000002</v>
      </c>
      <c r="K17" s="254">
        <v>0</v>
      </c>
      <c r="L17" s="254">
        <v>0</v>
      </c>
      <c r="M17" s="254">
        <v>0</v>
      </c>
      <c r="N17" s="255">
        <f t="shared" si="4"/>
        <v>0</v>
      </c>
      <c r="O17" s="252" t="s">
        <v>3326</v>
      </c>
      <c r="P17" s="252" t="s">
        <v>1478</v>
      </c>
      <c r="Q17" s="258">
        <f>SUMIF('Antelope Bailey Split BA'!$B$7:$B$29,B17,'Antelope Bailey Split BA'!$C$7:$C$29)</f>
        <v>0</v>
      </c>
      <c r="R17" s="258" t="str">
        <f>IF(AND(Q17=1,'Plant Total by Account'!$J$1=2),"EKWRA","")</f>
        <v/>
      </c>
    </row>
    <row r="18" spans="1:18" ht="12.75" customHeight="1" x14ac:dyDescent="0.2">
      <c r="A18" s="249" t="s">
        <v>2371</v>
      </c>
      <c r="B18" s="252" t="s">
        <v>1135</v>
      </c>
      <c r="C18" s="252" t="s">
        <v>3349</v>
      </c>
      <c r="D18" s="253">
        <v>0</v>
      </c>
      <c r="E18" s="253">
        <v>1191.08</v>
      </c>
      <c r="F18" s="253">
        <v>3479218.7399999998</v>
      </c>
      <c r="G18" s="546">
        <f t="shared" si="0"/>
        <v>3480409.82</v>
      </c>
      <c r="H18" s="254">
        <f t="shared" si="1"/>
        <v>0</v>
      </c>
      <c r="I18" s="254">
        <f t="shared" si="2"/>
        <v>1191.08</v>
      </c>
      <c r="J18" s="254">
        <f t="shared" si="3"/>
        <v>3479218.7399999998</v>
      </c>
      <c r="K18" s="254">
        <v>0</v>
      </c>
      <c r="L18" s="254">
        <v>0</v>
      </c>
      <c r="M18" s="254">
        <v>0</v>
      </c>
      <c r="N18" s="255">
        <f t="shared" si="4"/>
        <v>0</v>
      </c>
      <c r="O18" s="252" t="s">
        <v>3326</v>
      </c>
      <c r="P18" s="252" t="s">
        <v>1477</v>
      </c>
      <c r="Q18" s="258">
        <f>SUMIF('Antelope Bailey Split BA'!$B$7:$B$29,B18,'Antelope Bailey Split BA'!$C$7:$C$29)</f>
        <v>0</v>
      </c>
      <c r="R18" s="258" t="str">
        <f>IF(AND(Q18=1,'Plant Total by Account'!$J$1=2),"EKWRA","")</f>
        <v/>
      </c>
    </row>
    <row r="19" spans="1:18" ht="12.75" customHeight="1" x14ac:dyDescent="0.2">
      <c r="A19" s="249" t="s">
        <v>2373</v>
      </c>
      <c r="B19" s="252" t="s">
        <v>1137</v>
      </c>
      <c r="C19" s="252" t="s">
        <v>3349</v>
      </c>
      <c r="D19" s="253">
        <v>1844367.4200000002</v>
      </c>
      <c r="E19" s="253">
        <v>21704875.689999998</v>
      </c>
      <c r="F19" s="253">
        <v>153916858.96999997</v>
      </c>
      <c r="G19" s="546">
        <f t="shared" si="0"/>
        <v>177466102.07999998</v>
      </c>
      <c r="H19" s="259">
        <f t="shared" si="1"/>
        <v>1844367.4200000002</v>
      </c>
      <c r="I19" s="259">
        <f t="shared" si="2"/>
        <v>21704875.689999998</v>
      </c>
      <c r="J19" s="259">
        <f t="shared" si="3"/>
        <v>153916858.96999997</v>
      </c>
      <c r="K19" s="254">
        <v>0</v>
      </c>
      <c r="L19" s="254">
        <v>0</v>
      </c>
      <c r="M19" s="254">
        <v>0</v>
      </c>
      <c r="N19" s="255">
        <f t="shared" si="4"/>
        <v>0</v>
      </c>
      <c r="O19" s="252" t="s">
        <v>3326</v>
      </c>
      <c r="P19" s="252" t="s">
        <v>1477</v>
      </c>
      <c r="Q19" s="258">
        <f>SUMIF('Antelope Bailey Split BA'!$B$7:$B$29,B19,'Antelope Bailey Split BA'!$C$7:$C$29)</f>
        <v>0</v>
      </c>
      <c r="R19" s="258" t="str">
        <f>IF(AND(Q19=1,'Plant Total by Account'!$J$1=2),"EKWRA","")</f>
        <v/>
      </c>
    </row>
    <row r="20" spans="1:18" ht="12.75" customHeight="1" x14ac:dyDescent="0.2">
      <c r="A20" s="249" t="s">
        <v>2381</v>
      </c>
      <c r="B20" s="252" t="s">
        <v>1146</v>
      </c>
      <c r="C20" s="252" t="s">
        <v>3351</v>
      </c>
      <c r="D20" s="253">
        <v>0</v>
      </c>
      <c r="E20" s="253">
        <v>19757.18</v>
      </c>
      <c r="F20" s="253">
        <v>1802143.36</v>
      </c>
      <c r="G20" s="546">
        <f t="shared" si="0"/>
        <v>1821900.54</v>
      </c>
      <c r="H20" s="259">
        <f t="shared" si="1"/>
        <v>0</v>
      </c>
      <c r="I20" s="259">
        <f t="shared" si="2"/>
        <v>19757.18</v>
      </c>
      <c r="J20" s="259">
        <f t="shared" si="3"/>
        <v>1802143.36</v>
      </c>
      <c r="K20" s="254">
        <v>0</v>
      </c>
      <c r="L20" s="254">
        <v>0</v>
      </c>
      <c r="M20" s="254">
        <v>0</v>
      </c>
      <c r="N20" s="255">
        <f t="shared" si="4"/>
        <v>0</v>
      </c>
      <c r="O20" s="252" t="s">
        <v>3326</v>
      </c>
      <c r="P20" s="252" t="s">
        <v>1477</v>
      </c>
      <c r="Q20" s="258">
        <f>SUMIF('Antelope Bailey Split BA'!$B$7:$B$29,B20,'Antelope Bailey Split BA'!$C$7:$C$29)</f>
        <v>0</v>
      </c>
      <c r="R20" s="258" t="str">
        <f>IF(AND(Q20=1,'Plant Total by Account'!$J$1=2),"EKWRA","")</f>
        <v/>
      </c>
    </row>
    <row r="21" spans="1:18" ht="12.75" customHeight="1" x14ac:dyDescent="0.2">
      <c r="A21" s="249" t="s">
        <v>2384</v>
      </c>
      <c r="B21" s="252" t="s">
        <v>1148</v>
      </c>
      <c r="C21" s="252" t="s">
        <v>3349</v>
      </c>
      <c r="D21" s="253">
        <v>91031.39</v>
      </c>
      <c r="E21" s="253">
        <v>4315223.879999999</v>
      </c>
      <c r="F21" s="253">
        <v>119531650.51999992</v>
      </c>
      <c r="G21" s="546">
        <f t="shared" si="0"/>
        <v>123937905.78999992</v>
      </c>
      <c r="H21" s="259">
        <f t="shared" si="1"/>
        <v>91031.39</v>
      </c>
      <c r="I21" s="259">
        <f t="shared" si="2"/>
        <v>4315223.879999999</v>
      </c>
      <c r="J21" s="259">
        <f t="shared" si="3"/>
        <v>119531650.51999992</v>
      </c>
      <c r="K21" s="254">
        <v>0</v>
      </c>
      <c r="L21" s="254">
        <v>0</v>
      </c>
      <c r="M21" s="254">
        <v>0</v>
      </c>
      <c r="N21" s="255">
        <f t="shared" si="4"/>
        <v>0</v>
      </c>
      <c r="O21" s="252" t="s">
        <v>3326</v>
      </c>
      <c r="P21" s="252" t="s">
        <v>1477</v>
      </c>
      <c r="Q21" s="258">
        <f>SUMIF('Antelope Bailey Split BA'!$B$7:$B$29,B21,'Antelope Bailey Split BA'!$C$7:$C$29)</f>
        <v>0</v>
      </c>
      <c r="R21" s="258" t="str">
        <f>IF(AND(Q21=1,'Plant Total by Account'!$J$1=2),"EKWRA","")</f>
        <v/>
      </c>
    </row>
    <row r="22" spans="1:18" ht="12.75" customHeight="1" x14ac:dyDescent="0.2">
      <c r="A22" s="249" t="s">
        <v>2388</v>
      </c>
      <c r="B22" s="252" t="s">
        <v>1151</v>
      </c>
      <c r="C22" s="252" t="s">
        <v>3350</v>
      </c>
      <c r="D22" s="253">
        <v>0</v>
      </c>
      <c r="E22" s="253">
        <v>67311.10000000002</v>
      </c>
      <c r="F22" s="253">
        <v>2283001.44</v>
      </c>
      <c r="G22" s="546">
        <f t="shared" si="0"/>
        <v>2350312.54</v>
      </c>
      <c r="H22" s="259">
        <f t="shared" si="1"/>
        <v>0</v>
      </c>
      <c r="I22" s="259">
        <f t="shared" si="2"/>
        <v>67311.10000000002</v>
      </c>
      <c r="J22" s="259">
        <f t="shared" si="3"/>
        <v>2283001.44</v>
      </c>
      <c r="K22" s="254">
        <v>0</v>
      </c>
      <c r="L22" s="254">
        <v>0</v>
      </c>
      <c r="M22" s="254">
        <v>0</v>
      </c>
      <c r="N22" s="255">
        <f t="shared" si="4"/>
        <v>0</v>
      </c>
      <c r="O22" s="252" t="s">
        <v>3326</v>
      </c>
      <c r="P22" s="252" t="s">
        <v>1477</v>
      </c>
      <c r="Q22" s="258">
        <f>SUMIF('Antelope Bailey Split BA'!$B$7:$B$29,B22,'Antelope Bailey Split BA'!$C$7:$C$29)</f>
        <v>0</v>
      </c>
      <c r="R22" s="258" t="str">
        <f>IF(AND(Q22=1,'Plant Total by Account'!$J$1=2),"EKWRA","")</f>
        <v/>
      </c>
    </row>
    <row r="23" spans="1:18" ht="12.75" customHeight="1" x14ac:dyDescent="0.2">
      <c r="A23" s="249" t="s">
        <v>2399</v>
      </c>
      <c r="B23" s="252" t="s">
        <v>2256</v>
      </c>
      <c r="C23" s="252" t="s">
        <v>3350</v>
      </c>
      <c r="D23" s="253">
        <v>0</v>
      </c>
      <c r="E23" s="253">
        <v>8852776.0500000007</v>
      </c>
      <c r="F23" s="253">
        <v>23130585.949999977</v>
      </c>
      <c r="G23" s="546">
        <f t="shared" si="0"/>
        <v>31983361.999999978</v>
      </c>
      <c r="H23" s="259">
        <f t="shared" si="1"/>
        <v>0</v>
      </c>
      <c r="I23" s="259">
        <f t="shared" si="2"/>
        <v>8852776.0500000007</v>
      </c>
      <c r="J23" s="259">
        <f t="shared" si="3"/>
        <v>23130585.949999977</v>
      </c>
      <c r="K23" s="254">
        <v>0</v>
      </c>
      <c r="L23" s="254">
        <v>0</v>
      </c>
      <c r="M23" s="254">
        <v>0</v>
      </c>
      <c r="N23" s="255">
        <f t="shared" si="4"/>
        <v>0</v>
      </c>
      <c r="O23" s="252" t="s">
        <v>3326</v>
      </c>
      <c r="P23" s="252" t="s">
        <v>1477</v>
      </c>
      <c r="Q23" s="258">
        <f>SUMIF('Antelope Bailey Split BA'!$B$7:$B$29,B23,'Antelope Bailey Split BA'!$C$7:$C$29)</f>
        <v>0</v>
      </c>
      <c r="R23" s="258" t="str">
        <f>IF(AND(Q23=1,'Plant Total by Account'!$J$1=2),"EKWRA","")</f>
        <v/>
      </c>
    </row>
    <row r="24" spans="1:18" ht="12.75" customHeight="1" x14ac:dyDescent="0.2">
      <c r="A24" s="249" t="s">
        <v>102</v>
      </c>
      <c r="B24" s="252" t="s">
        <v>1160</v>
      </c>
      <c r="C24" s="252" t="s">
        <v>3349</v>
      </c>
      <c r="D24" s="253">
        <v>1226474.6499999999</v>
      </c>
      <c r="E24" s="253">
        <v>15498110.569999998</v>
      </c>
      <c r="F24" s="253">
        <v>159478455.36999986</v>
      </c>
      <c r="G24" s="546">
        <f t="shared" si="0"/>
        <v>176203040.58999985</v>
      </c>
      <c r="H24" s="259">
        <f t="shared" si="1"/>
        <v>1226474.6499999999</v>
      </c>
      <c r="I24" s="259">
        <f t="shared" si="2"/>
        <v>15498110.569999998</v>
      </c>
      <c r="J24" s="259">
        <f t="shared" si="3"/>
        <v>159478455.36999986</v>
      </c>
      <c r="K24" s="254">
        <v>0</v>
      </c>
      <c r="L24" s="254">
        <v>0</v>
      </c>
      <c r="M24" s="254">
        <v>0</v>
      </c>
      <c r="N24" s="255">
        <f t="shared" si="4"/>
        <v>0</v>
      </c>
      <c r="O24" s="252" t="s">
        <v>3326</v>
      </c>
      <c r="P24" s="252" t="s">
        <v>1477</v>
      </c>
      <c r="Q24" s="258">
        <f>SUMIF('Antelope Bailey Split BA'!$B$7:$B$29,B24,'Antelope Bailey Split BA'!$C$7:$C$29)</f>
        <v>0</v>
      </c>
      <c r="R24" s="258" t="str">
        <f>IF(AND(Q24=1,'Plant Total by Account'!$J$1=2),"EKWRA","")</f>
        <v/>
      </c>
    </row>
    <row r="25" spans="1:18" ht="12.75" customHeight="1" x14ac:dyDescent="0.2">
      <c r="A25" s="249" t="s">
        <v>2407</v>
      </c>
      <c r="B25" s="252" t="s">
        <v>1165</v>
      </c>
      <c r="C25" s="252" t="s">
        <v>3350</v>
      </c>
      <c r="D25" s="253">
        <v>1444.25</v>
      </c>
      <c r="E25" s="253">
        <v>611.41999999999996</v>
      </c>
      <c r="F25" s="253">
        <v>3434717.7000000007</v>
      </c>
      <c r="G25" s="546">
        <f t="shared" si="0"/>
        <v>3436773.3700000006</v>
      </c>
      <c r="H25" s="259">
        <f t="shared" si="1"/>
        <v>1444.25</v>
      </c>
      <c r="I25" s="259">
        <f t="shared" si="2"/>
        <v>611.41999999999996</v>
      </c>
      <c r="J25" s="259">
        <f t="shared" si="3"/>
        <v>3434717.7000000007</v>
      </c>
      <c r="K25" s="254">
        <v>0</v>
      </c>
      <c r="L25" s="254">
        <v>0</v>
      </c>
      <c r="M25" s="254">
        <v>0</v>
      </c>
      <c r="N25" s="255">
        <f t="shared" si="4"/>
        <v>0</v>
      </c>
      <c r="O25" s="252" t="s">
        <v>3326</v>
      </c>
      <c r="P25" s="252" t="s">
        <v>1477</v>
      </c>
      <c r="Q25" s="258">
        <f>SUMIF('Antelope Bailey Split BA'!$B$7:$B$29,B25,'Antelope Bailey Split BA'!$C$7:$C$29)</f>
        <v>0</v>
      </c>
      <c r="R25" s="258" t="str">
        <f>IF(AND(Q25=1,'Plant Total by Account'!$J$1=2),"EKWRA","")</f>
        <v/>
      </c>
    </row>
    <row r="26" spans="1:18" ht="12.75" customHeight="1" x14ac:dyDescent="0.2">
      <c r="A26" s="249" t="s">
        <v>2408</v>
      </c>
      <c r="B26" s="252" t="s">
        <v>1166</v>
      </c>
      <c r="C26" s="252" t="s">
        <v>3349</v>
      </c>
      <c r="D26" s="253">
        <v>13182.65</v>
      </c>
      <c r="E26" s="253">
        <v>2756644.5100000002</v>
      </c>
      <c r="F26" s="253">
        <v>64092925.969999991</v>
      </c>
      <c r="G26" s="546">
        <f t="shared" si="0"/>
        <v>66862753.129999995</v>
      </c>
      <c r="H26" s="254">
        <f t="shared" si="1"/>
        <v>13182.65</v>
      </c>
      <c r="I26" s="254">
        <f t="shared" si="2"/>
        <v>2756644.5100000002</v>
      </c>
      <c r="J26" s="254">
        <f t="shared" si="3"/>
        <v>64092925.969999991</v>
      </c>
      <c r="K26" s="254">
        <v>0</v>
      </c>
      <c r="L26" s="254">
        <v>0</v>
      </c>
      <c r="M26" s="254">
        <v>0</v>
      </c>
      <c r="N26" s="255">
        <f t="shared" si="4"/>
        <v>0</v>
      </c>
      <c r="O26" s="252" t="s">
        <v>3326</v>
      </c>
      <c r="P26" s="252" t="s">
        <v>1723</v>
      </c>
      <c r="Q26" s="258">
        <f>SUMIF('Antelope Bailey Split BA'!$B$7:$B$29,B26,'Antelope Bailey Split BA'!$C$7:$C$29)</f>
        <v>0</v>
      </c>
      <c r="R26" s="258" t="str">
        <f>IF(AND(Q26=1,'Plant Total by Account'!$J$1=2),"EKWRA","")</f>
        <v/>
      </c>
    </row>
    <row r="27" spans="1:18" ht="12.75" customHeight="1" x14ac:dyDescent="0.2">
      <c r="A27" s="249" t="s">
        <v>2409</v>
      </c>
      <c r="B27" s="252" t="s">
        <v>1167</v>
      </c>
      <c r="C27" s="252" t="s">
        <v>3349</v>
      </c>
      <c r="D27" s="253">
        <v>0</v>
      </c>
      <c r="E27" s="253">
        <v>0</v>
      </c>
      <c r="F27" s="253">
        <v>12305.99</v>
      </c>
      <c r="G27" s="546">
        <f t="shared" si="0"/>
        <v>12305.99</v>
      </c>
      <c r="H27" s="259">
        <f t="shared" si="1"/>
        <v>0</v>
      </c>
      <c r="I27" s="259">
        <f t="shared" si="2"/>
        <v>0</v>
      </c>
      <c r="J27" s="259">
        <f t="shared" si="3"/>
        <v>12305.99</v>
      </c>
      <c r="K27" s="254">
        <v>0</v>
      </c>
      <c r="L27" s="254">
        <v>0</v>
      </c>
      <c r="M27" s="254">
        <v>0</v>
      </c>
      <c r="N27" s="255">
        <f t="shared" si="4"/>
        <v>0</v>
      </c>
      <c r="O27" s="252" t="s">
        <v>3326</v>
      </c>
      <c r="P27" s="252" t="s">
        <v>1477</v>
      </c>
      <c r="Q27" s="258">
        <f>SUMIF('Antelope Bailey Split BA'!$B$7:$B$29,B27,'Antelope Bailey Split BA'!$C$7:$C$29)</f>
        <v>0</v>
      </c>
      <c r="R27" s="258" t="str">
        <f>IF(AND(Q27=1,'Plant Total by Account'!$J$1=2),"EKWRA","")</f>
        <v/>
      </c>
    </row>
    <row r="28" spans="1:18" ht="12.75" customHeight="1" x14ac:dyDescent="0.2">
      <c r="A28" s="249" t="s">
        <v>2410</v>
      </c>
      <c r="B28" s="252" t="s">
        <v>1168</v>
      </c>
      <c r="C28" s="252" t="s">
        <v>3349</v>
      </c>
      <c r="D28" s="253">
        <v>0</v>
      </c>
      <c r="E28" s="253">
        <v>0</v>
      </c>
      <c r="F28" s="253">
        <v>1516885.03</v>
      </c>
      <c r="G28" s="546">
        <f t="shared" si="0"/>
        <v>1516885.03</v>
      </c>
      <c r="H28" s="259">
        <f t="shared" si="1"/>
        <v>0</v>
      </c>
      <c r="I28" s="259">
        <f t="shared" si="2"/>
        <v>0</v>
      </c>
      <c r="J28" s="259">
        <f t="shared" si="3"/>
        <v>1516885.03</v>
      </c>
      <c r="K28" s="254">
        <v>0</v>
      </c>
      <c r="L28" s="254">
        <v>0</v>
      </c>
      <c r="M28" s="254">
        <v>0</v>
      </c>
      <c r="N28" s="255">
        <f t="shared" si="4"/>
        <v>0</v>
      </c>
      <c r="O28" s="252" t="s">
        <v>3326</v>
      </c>
      <c r="P28" s="252" t="s">
        <v>1477</v>
      </c>
      <c r="Q28" s="258">
        <f>SUMIF('Antelope Bailey Split BA'!$B$7:$B$29,B28,'Antelope Bailey Split BA'!$C$7:$C$29)</f>
        <v>0</v>
      </c>
      <c r="R28" s="258" t="str">
        <f>IF(AND(Q28=1,'Plant Total by Account'!$J$1=2),"EKWRA","")</f>
        <v/>
      </c>
    </row>
    <row r="29" spans="1:18" ht="12.75" customHeight="1" x14ac:dyDescent="0.2">
      <c r="A29" s="249" t="s">
        <v>2411</v>
      </c>
      <c r="B29" s="252" t="s">
        <v>1169</v>
      </c>
      <c r="C29" s="252" t="s">
        <v>3349</v>
      </c>
      <c r="D29" s="253">
        <v>0</v>
      </c>
      <c r="E29" s="253">
        <v>738553.6100000001</v>
      </c>
      <c r="F29" s="253">
        <v>13375735.110000001</v>
      </c>
      <c r="G29" s="546">
        <f t="shared" si="0"/>
        <v>14114288.720000001</v>
      </c>
      <c r="H29" s="259">
        <f t="shared" si="1"/>
        <v>0</v>
      </c>
      <c r="I29" s="259">
        <f t="shared" si="2"/>
        <v>738553.6100000001</v>
      </c>
      <c r="J29" s="259">
        <f t="shared" si="3"/>
        <v>13375735.110000001</v>
      </c>
      <c r="K29" s="254">
        <v>0</v>
      </c>
      <c r="L29" s="254">
        <v>0</v>
      </c>
      <c r="M29" s="254">
        <v>0</v>
      </c>
      <c r="N29" s="255">
        <f t="shared" si="4"/>
        <v>0</v>
      </c>
      <c r="O29" s="252" t="s">
        <v>3326</v>
      </c>
      <c r="P29" s="252" t="s">
        <v>1477</v>
      </c>
      <c r="Q29" s="258">
        <f>SUMIF('Antelope Bailey Split BA'!$B$7:$B$29,B29,'Antelope Bailey Split BA'!$C$7:$C$29)</f>
        <v>0</v>
      </c>
      <c r="R29" s="258" t="str">
        <f>IF(AND(Q29=1,'Plant Total by Account'!$J$1=2),"EKWRA","")</f>
        <v/>
      </c>
    </row>
    <row r="30" spans="1:18" ht="12.75" customHeight="1" x14ac:dyDescent="0.2">
      <c r="A30" s="249" t="s">
        <v>2412</v>
      </c>
      <c r="B30" s="252" t="s">
        <v>1170</v>
      </c>
      <c r="C30" s="252" t="s">
        <v>3349</v>
      </c>
      <c r="D30" s="253">
        <v>0</v>
      </c>
      <c r="E30" s="253">
        <v>852828.17000000016</v>
      </c>
      <c r="F30" s="253">
        <v>8168259.580000001</v>
      </c>
      <c r="G30" s="546">
        <f t="shared" si="0"/>
        <v>9021087.7500000019</v>
      </c>
      <c r="H30" s="259">
        <f t="shared" si="1"/>
        <v>0</v>
      </c>
      <c r="I30" s="259">
        <f t="shared" si="2"/>
        <v>852828.17000000016</v>
      </c>
      <c r="J30" s="259">
        <f t="shared" si="3"/>
        <v>8168259.580000001</v>
      </c>
      <c r="K30" s="254">
        <v>0</v>
      </c>
      <c r="L30" s="254">
        <v>0</v>
      </c>
      <c r="M30" s="254">
        <v>0</v>
      </c>
      <c r="N30" s="255">
        <f t="shared" si="4"/>
        <v>0</v>
      </c>
      <c r="O30" s="252" t="s">
        <v>3326</v>
      </c>
      <c r="P30" s="252" t="s">
        <v>1477</v>
      </c>
      <c r="Q30" s="258">
        <f>SUMIF('Antelope Bailey Split BA'!$B$7:$B$29,B30,'Antelope Bailey Split BA'!$C$7:$C$29)</f>
        <v>0</v>
      </c>
      <c r="R30" s="258" t="str">
        <f>IF(AND(Q30=1,'Plant Total by Account'!$J$1=2),"EKWRA","")</f>
        <v/>
      </c>
    </row>
    <row r="31" spans="1:18" ht="12.75" customHeight="1" x14ac:dyDescent="0.2">
      <c r="A31" s="249" t="s">
        <v>1964</v>
      </c>
      <c r="B31" s="252" t="s">
        <v>1171</v>
      </c>
      <c r="C31" s="252" t="s">
        <v>3349</v>
      </c>
      <c r="D31" s="253">
        <v>0</v>
      </c>
      <c r="E31" s="253">
        <v>4629.17</v>
      </c>
      <c r="F31" s="253">
        <v>2445247.3399999994</v>
      </c>
      <c r="G31" s="546">
        <f t="shared" si="0"/>
        <v>2449876.5099999993</v>
      </c>
      <c r="H31" s="259">
        <f t="shared" si="1"/>
        <v>0</v>
      </c>
      <c r="I31" s="259">
        <f t="shared" si="2"/>
        <v>4629.17</v>
      </c>
      <c r="J31" s="259">
        <f t="shared" si="3"/>
        <v>2445247.3399999994</v>
      </c>
      <c r="K31" s="254">
        <v>0</v>
      </c>
      <c r="L31" s="254">
        <v>0</v>
      </c>
      <c r="M31" s="254">
        <v>0</v>
      </c>
      <c r="N31" s="255">
        <f t="shared" si="4"/>
        <v>0</v>
      </c>
      <c r="O31" s="252" t="s">
        <v>3326</v>
      </c>
      <c r="P31" s="252" t="s">
        <v>1477</v>
      </c>
      <c r="Q31" s="258">
        <f>SUMIF('Antelope Bailey Split BA'!$B$7:$B$29,B31,'Antelope Bailey Split BA'!$C$7:$C$29)</f>
        <v>0</v>
      </c>
      <c r="R31" s="258" t="str">
        <f>IF(AND(Q31=1,'Plant Total by Account'!$J$1=2),"EKWRA","")</f>
        <v/>
      </c>
    </row>
    <row r="32" spans="1:18" ht="12.75" customHeight="1" x14ac:dyDescent="0.2">
      <c r="A32" s="249" t="s">
        <v>2625</v>
      </c>
      <c r="B32" s="252" t="s">
        <v>1257</v>
      </c>
      <c r="C32" s="252" t="s">
        <v>3349</v>
      </c>
      <c r="D32" s="253">
        <v>0</v>
      </c>
      <c r="E32" s="253">
        <v>162585.25</v>
      </c>
      <c r="F32" s="253">
        <v>13930692.689999999</v>
      </c>
      <c r="G32" s="546">
        <f t="shared" si="0"/>
        <v>14093277.939999999</v>
      </c>
      <c r="H32" s="259">
        <f t="shared" si="1"/>
        <v>0</v>
      </c>
      <c r="I32" s="259">
        <f t="shared" si="2"/>
        <v>162585.25</v>
      </c>
      <c r="J32" s="259">
        <f t="shared" si="3"/>
        <v>13930692.689999999</v>
      </c>
      <c r="K32" s="254">
        <v>0</v>
      </c>
      <c r="L32" s="254">
        <v>0</v>
      </c>
      <c r="M32" s="254">
        <v>0</v>
      </c>
      <c r="N32" s="255">
        <f t="shared" si="4"/>
        <v>0</v>
      </c>
      <c r="O32" s="252" t="s">
        <v>3326</v>
      </c>
      <c r="P32" s="252" t="s">
        <v>1477</v>
      </c>
      <c r="Q32" s="258">
        <f>SUMIF('Antelope Bailey Split BA'!$B$7:$B$29,B32,'Antelope Bailey Split BA'!$C$7:$C$29)</f>
        <v>0</v>
      </c>
      <c r="R32" s="258" t="str">
        <f>IF(AND(Q32=1,'Plant Total by Account'!$J$1=2),"EKWRA","")</f>
        <v/>
      </c>
    </row>
    <row r="33" spans="1:18" ht="12.75" customHeight="1" x14ac:dyDescent="0.2">
      <c r="A33" s="249" t="s">
        <v>2626</v>
      </c>
      <c r="B33" s="252" t="s">
        <v>1258</v>
      </c>
      <c r="C33" s="252" t="s">
        <v>3350</v>
      </c>
      <c r="D33" s="253">
        <v>0</v>
      </c>
      <c r="E33" s="253">
        <v>55268.53</v>
      </c>
      <c r="F33" s="253">
        <v>942130.02</v>
      </c>
      <c r="G33" s="546">
        <f t="shared" si="0"/>
        <v>997398.55</v>
      </c>
      <c r="H33" s="259">
        <f t="shared" si="1"/>
        <v>0</v>
      </c>
      <c r="I33" s="259">
        <f t="shared" si="2"/>
        <v>55268.53</v>
      </c>
      <c r="J33" s="259">
        <f t="shared" si="3"/>
        <v>942130.02</v>
      </c>
      <c r="K33" s="254">
        <v>0</v>
      </c>
      <c r="L33" s="254">
        <v>0</v>
      </c>
      <c r="M33" s="254">
        <v>0</v>
      </c>
      <c r="N33" s="255">
        <f t="shared" si="4"/>
        <v>0</v>
      </c>
      <c r="O33" s="252" t="s">
        <v>3326</v>
      </c>
      <c r="P33" s="252" t="s">
        <v>1477</v>
      </c>
      <c r="Q33" s="258">
        <f>SUMIF('Antelope Bailey Split BA'!$B$7:$B$29,B33,'Antelope Bailey Split BA'!$C$7:$C$29)</f>
        <v>0</v>
      </c>
      <c r="R33" s="258" t="str">
        <f>IF(AND(Q33=1,'Plant Total by Account'!$J$1=2),"EKWRA","")</f>
        <v/>
      </c>
    </row>
    <row r="34" spans="1:18" ht="12.75" customHeight="1" x14ac:dyDescent="0.2">
      <c r="A34" s="262" t="s">
        <v>2627</v>
      </c>
      <c r="B34" s="252" t="s">
        <v>1259</v>
      </c>
      <c r="C34" s="252" t="s">
        <v>3351</v>
      </c>
      <c r="D34" s="253">
        <v>51663.37</v>
      </c>
      <c r="E34" s="253">
        <v>7731152.7600000016</v>
      </c>
      <c r="F34" s="253">
        <v>119338885.57999998</v>
      </c>
      <c r="G34" s="546">
        <f t="shared" si="0"/>
        <v>127121701.70999998</v>
      </c>
      <c r="H34" s="259">
        <f t="shared" si="1"/>
        <v>51663.37</v>
      </c>
      <c r="I34" s="259">
        <f t="shared" si="2"/>
        <v>7731152.7600000016</v>
      </c>
      <c r="J34" s="259">
        <f t="shared" si="3"/>
        <v>119338885.57999998</v>
      </c>
      <c r="K34" s="254">
        <v>0</v>
      </c>
      <c r="L34" s="254">
        <v>0</v>
      </c>
      <c r="M34" s="254">
        <v>0</v>
      </c>
      <c r="N34" s="255">
        <f t="shared" si="4"/>
        <v>0</v>
      </c>
      <c r="O34" s="252" t="s">
        <v>3326</v>
      </c>
      <c r="P34" s="252" t="s">
        <v>1477</v>
      </c>
      <c r="Q34" s="258">
        <f>SUMIF('Antelope Bailey Split BA'!$B$7:$B$29,B34,'Antelope Bailey Split BA'!$C$7:$C$29)</f>
        <v>0</v>
      </c>
      <c r="R34" s="258" t="str">
        <f>IF(AND(Q34=1,'Plant Total by Account'!$J$1=2),"EKWRA","")</f>
        <v/>
      </c>
    </row>
    <row r="35" spans="1:18" ht="12.75" customHeight="1" x14ac:dyDescent="0.2">
      <c r="A35" s="249" t="s">
        <v>2630</v>
      </c>
      <c r="B35" s="252" t="s">
        <v>1263</v>
      </c>
      <c r="C35" s="252" t="s">
        <v>2629</v>
      </c>
      <c r="D35" s="253">
        <v>24094283.82</v>
      </c>
      <c r="E35" s="253">
        <v>0</v>
      </c>
      <c r="F35" s="253">
        <v>0</v>
      </c>
      <c r="G35" s="546">
        <f t="shared" si="0"/>
        <v>24094283.82</v>
      </c>
      <c r="H35" s="259">
        <f t="shared" si="1"/>
        <v>24094283.82</v>
      </c>
      <c r="I35" s="259">
        <f t="shared" si="2"/>
        <v>0</v>
      </c>
      <c r="J35" s="259">
        <f t="shared" si="3"/>
        <v>0</v>
      </c>
      <c r="K35" s="254">
        <v>0</v>
      </c>
      <c r="L35" s="254">
        <v>0</v>
      </c>
      <c r="M35" s="254">
        <v>0</v>
      </c>
      <c r="N35" s="255">
        <f t="shared" si="4"/>
        <v>0</v>
      </c>
      <c r="O35" s="252" t="s">
        <v>3326</v>
      </c>
      <c r="P35" s="252" t="s">
        <v>1477</v>
      </c>
      <c r="Q35" s="258">
        <f>SUMIF('Antelope Bailey Split BA'!$B$7:$B$29,B35,'Antelope Bailey Split BA'!$C$7:$C$29)</f>
        <v>0</v>
      </c>
      <c r="R35" s="258" t="str">
        <f>IF(AND(Q35=1,'Plant Total by Account'!$J$1=2),"EKWRA","")</f>
        <v/>
      </c>
    </row>
    <row r="36" spans="1:18" ht="12.75" customHeight="1" x14ac:dyDescent="0.2">
      <c r="A36" s="249" t="s">
        <v>2268</v>
      </c>
      <c r="B36" s="252" t="s">
        <v>1039</v>
      </c>
      <c r="C36" s="252" t="s">
        <v>3349</v>
      </c>
      <c r="D36" s="253">
        <v>0</v>
      </c>
      <c r="E36" s="253">
        <v>56059.859999999993</v>
      </c>
      <c r="F36" s="253">
        <v>5136141.97</v>
      </c>
      <c r="G36" s="546">
        <f t="shared" si="0"/>
        <v>5192201.83</v>
      </c>
      <c r="H36" s="254">
        <v>0</v>
      </c>
      <c r="I36" s="254">
        <v>0</v>
      </c>
      <c r="J36" s="254">
        <v>0</v>
      </c>
      <c r="K36" s="260">
        <f t="shared" ref="K36:K99" si="5">D36</f>
        <v>0</v>
      </c>
      <c r="L36" s="260">
        <f t="shared" ref="L36:L99" si="6">E36</f>
        <v>56059.859999999993</v>
      </c>
      <c r="M36" s="260">
        <f t="shared" ref="M36:M99" si="7">F36</f>
        <v>5136141.97</v>
      </c>
      <c r="N36" s="255">
        <f t="shared" si="4"/>
        <v>0</v>
      </c>
      <c r="O36" s="252" t="s">
        <v>3327</v>
      </c>
      <c r="P36" s="252"/>
      <c r="Q36" s="258">
        <f>SUMIF('Antelope Bailey Split BA'!$B$7:$B$29,B36,'Antelope Bailey Split BA'!$C$7:$C$29)</f>
        <v>0</v>
      </c>
      <c r="R36" s="258" t="str">
        <f>IF(AND(Q36=1,'Plant Total by Account'!$J$1=2),"EKWRA","")</f>
        <v/>
      </c>
    </row>
    <row r="37" spans="1:18" ht="12.75" customHeight="1" x14ac:dyDescent="0.2">
      <c r="A37" s="249" t="s">
        <v>2269</v>
      </c>
      <c r="B37" s="252" t="s">
        <v>1040</v>
      </c>
      <c r="C37" s="252" t="s">
        <v>2270</v>
      </c>
      <c r="D37" s="253">
        <v>0</v>
      </c>
      <c r="E37" s="253">
        <v>0</v>
      </c>
      <c r="F37" s="253">
        <v>35854.54</v>
      </c>
      <c r="G37" s="546">
        <f t="shared" si="0"/>
        <v>35854.54</v>
      </c>
      <c r="H37" s="254">
        <v>0</v>
      </c>
      <c r="I37" s="254">
        <v>0</v>
      </c>
      <c r="J37" s="254">
        <v>0</v>
      </c>
      <c r="K37" s="260">
        <f t="shared" si="5"/>
        <v>0</v>
      </c>
      <c r="L37" s="260">
        <f t="shared" si="6"/>
        <v>0</v>
      </c>
      <c r="M37" s="260">
        <f t="shared" si="7"/>
        <v>35854.54</v>
      </c>
      <c r="N37" s="255">
        <f t="shared" si="4"/>
        <v>0</v>
      </c>
      <c r="O37" s="252" t="s">
        <v>3327</v>
      </c>
      <c r="P37" s="252"/>
      <c r="Q37" s="258">
        <f>SUMIF('Antelope Bailey Split BA'!$B$7:$B$29,B37,'Antelope Bailey Split BA'!$C$7:$C$29)</f>
        <v>0</v>
      </c>
      <c r="R37" s="258" t="str">
        <f>IF(AND(Q37=1,'Plant Total by Account'!$J$1=2),"EKWRA","")</f>
        <v/>
      </c>
    </row>
    <row r="38" spans="1:18" ht="12.75" customHeight="1" x14ac:dyDescent="0.2">
      <c r="A38" s="249" t="s">
        <v>2271</v>
      </c>
      <c r="B38" s="252" t="s">
        <v>1041</v>
      </c>
      <c r="C38" s="252" t="s">
        <v>3350</v>
      </c>
      <c r="D38" s="253">
        <v>88852.1</v>
      </c>
      <c r="E38" s="253">
        <v>0</v>
      </c>
      <c r="F38" s="253">
        <v>111471.51000000001</v>
      </c>
      <c r="G38" s="546">
        <f t="shared" si="0"/>
        <v>200323.61000000002</v>
      </c>
      <c r="H38" s="254">
        <v>0</v>
      </c>
      <c r="I38" s="254">
        <v>0</v>
      </c>
      <c r="J38" s="254">
        <v>0</v>
      </c>
      <c r="K38" s="260">
        <f t="shared" si="5"/>
        <v>88852.1</v>
      </c>
      <c r="L38" s="260">
        <f t="shared" si="6"/>
        <v>0</v>
      </c>
      <c r="M38" s="260">
        <f t="shared" si="7"/>
        <v>111471.51000000001</v>
      </c>
      <c r="N38" s="255">
        <f t="shared" si="4"/>
        <v>0</v>
      </c>
      <c r="O38" s="252" t="s">
        <v>3327</v>
      </c>
      <c r="P38" s="252"/>
      <c r="Q38" s="258">
        <f>SUMIF('Antelope Bailey Split BA'!$B$7:$B$29,B38,'Antelope Bailey Split BA'!$C$7:$C$29)</f>
        <v>0</v>
      </c>
      <c r="R38" s="258" t="str">
        <f>IF(AND(Q38=1,'Plant Total by Account'!$J$1=2),"EKWRA","")</f>
        <v/>
      </c>
    </row>
    <row r="39" spans="1:18" ht="12.75" customHeight="1" x14ac:dyDescent="0.2">
      <c r="A39" s="249" t="s">
        <v>2272</v>
      </c>
      <c r="B39" s="252" t="s">
        <v>1042</v>
      </c>
      <c r="C39" s="252" t="s">
        <v>3350</v>
      </c>
      <c r="D39" s="253">
        <v>0</v>
      </c>
      <c r="E39" s="253">
        <v>0</v>
      </c>
      <c r="F39" s="253">
        <v>6062348.1800000006</v>
      </c>
      <c r="G39" s="546">
        <f t="shared" si="0"/>
        <v>6062348.1800000006</v>
      </c>
      <c r="H39" s="254">
        <v>0</v>
      </c>
      <c r="I39" s="254">
        <v>0</v>
      </c>
      <c r="J39" s="254">
        <v>0</v>
      </c>
      <c r="K39" s="260">
        <f t="shared" si="5"/>
        <v>0</v>
      </c>
      <c r="L39" s="260">
        <f t="shared" si="6"/>
        <v>0</v>
      </c>
      <c r="M39" s="260">
        <f t="shared" si="7"/>
        <v>6062348.1800000006</v>
      </c>
      <c r="N39" s="255">
        <f t="shared" si="4"/>
        <v>0</v>
      </c>
      <c r="O39" s="252" t="s">
        <v>3327</v>
      </c>
      <c r="P39" s="252"/>
      <c r="Q39" s="258">
        <f>SUMIF('Antelope Bailey Split BA'!$B$7:$B$29,B39,'Antelope Bailey Split BA'!$C$7:$C$29)</f>
        <v>0</v>
      </c>
      <c r="R39" s="258" t="str">
        <f>IF(AND(Q39=1,'Plant Total by Account'!$J$1=2),"EKWRA","")</f>
        <v/>
      </c>
    </row>
    <row r="40" spans="1:18" ht="12.75" customHeight="1" x14ac:dyDescent="0.2">
      <c r="A40" s="249" t="s">
        <v>2273</v>
      </c>
      <c r="B40" s="252" t="s">
        <v>1043</v>
      </c>
      <c r="C40" s="252" t="s">
        <v>3350</v>
      </c>
      <c r="D40" s="253">
        <v>0</v>
      </c>
      <c r="E40" s="253">
        <v>43553.960000000006</v>
      </c>
      <c r="F40" s="253">
        <v>678988.66</v>
      </c>
      <c r="G40" s="546">
        <f t="shared" si="0"/>
        <v>722542.62</v>
      </c>
      <c r="H40" s="254">
        <v>0</v>
      </c>
      <c r="I40" s="254">
        <v>0</v>
      </c>
      <c r="J40" s="254">
        <v>0</v>
      </c>
      <c r="K40" s="260">
        <f t="shared" si="5"/>
        <v>0</v>
      </c>
      <c r="L40" s="260">
        <f t="shared" si="6"/>
        <v>43553.960000000006</v>
      </c>
      <c r="M40" s="260">
        <f t="shared" si="7"/>
        <v>678988.66</v>
      </c>
      <c r="N40" s="255">
        <f t="shared" si="4"/>
        <v>0</v>
      </c>
      <c r="O40" s="252" t="s">
        <v>3327</v>
      </c>
      <c r="P40" s="252"/>
      <c r="Q40" s="258">
        <f>SUMIF('Antelope Bailey Split BA'!$B$7:$B$29,B40,'Antelope Bailey Split BA'!$C$7:$C$29)</f>
        <v>0</v>
      </c>
      <c r="R40" s="258" t="str">
        <f>IF(AND(Q40=1,'Plant Total by Account'!$J$1=2),"EKWRA","")</f>
        <v/>
      </c>
    </row>
    <row r="41" spans="1:18" ht="12.75" customHeight="1" x14ac:dyDescent="0.2">
      <c r="A41" s="249" t="s">
        <v>2274</v>
      </c>
      <c r="B41" s="252" t="s">
        <v>1044</v>
      </c>
      <c r="C41" s="252" t="s">
        <v>3350</v>
      </c>
      <c r="D41" s="253">
        <v>0</v>
      </c>
      <c r="E41" s="253">
        <v>0</v>
      </c>
      <c r="F41" s="253">
        <v>8680666.4199999981</v>
      </c>
      <c r="G41" s="546">
        <f t="shared" si="0"/>
        <v>8680666.4199999981</v>
      </c>
      <c r="H41" s="254">
        <v>0</v>
      </c>
      <c r="I41" s="254">
        <v>0</v>
      </c>
      <c r="J41" s="254">
        <v>0</v>
      </c>
      <c r="K41" s="260">
        <f t="shared" si="5"/>
        <v>0</v>
      </c>
      <c r="L41" s="260">
        <f t="shared" si="6"/>
        <v>0</v>
      </c>
      <c r="M41" s="260">
        <f t="shared" si="7"/>
        <v>8680666.4199999981</v>
      </c>
      <c r="N41" s="255">
        <f t="shared" si="4"/>
        <v>0</v>
      </c>
      <c r="O41" s="252" t="s">
        <v>3327</v>
      </c>
      <c r="P41" s="252"/>
      <c r="Q41" s="258">
        <f>SUMIF('Antelope Bailey Split BA'!$B$7:$B$29,B41,'Antelope Bailey Split BA'!$C$7:$C$29)</f>
        <v>0</v>
      </c>
      <c r="R41" s="258" t="str">
        <f>IF(AND(Q41=1,'Plant Total by Account'!$J$1=2),"EKWRA","")</f>
        <v/>
      </c>
    </row>
    <row r="42" spans="1:18" ht="12.75" customHeight="1" x14ac:dyDescent="0.2">
      <c r="A42" s="249" t="s">
        <v>2275</v>
      </c>
      <c r="B42" s="252" t="s">
        <v>1045</v>
      </c>
      <c r="C42" s="252" t="s">
        <v>3350</v>
      </c>
      <c r="D42" s="253">
        <v>0</v>
      </c>
      <c r="E42" s="253">
        <v>0</v>
      </c>
      <c r="F42" s="253">
        <v>7851647.5099999979</v>
      </c>
      <c r="G42" s="546">
        <f t="shared" si="0"/>
        <v>7851647.5099999979</v>
      </c>
      <c r="H42" s="254">
        <v>0</v>
      </c>
      <c r="I42" s="254">
        <v>0</v>
      </c>
      <c r="J42" s="254">
        <v>0</v>
      </c>
      <c r="K42" s="260">
        <f t="shared" si="5"/>
        <v>0</v>
      </c>
      <c r="L42" s="260">
        <f t="shared" si="6"/>
        <v>0</v>
      </c>
      <c r="M42" s="260">
        <f t="shared" si="7"/>
        <v>7851647.5099999979</v>
      </c>
      <c r="N42" s="255">
        <f t="shared" si="4"/>
        <v>0</v>
      </c>
      <c r="O42" s="252" t="s">
        <v>3327</v>
      </c>
      <c r="P42" s="252"/>
      <c r="Q42" s="258">
        <f>SUMIF('Antelope Bailey Split BA'!$B$7:$B$29,B42,'Antelope Bailey Split BA'!$C$7:$C$29)</f>
        <v>0</v>
      </c>
      <c r="R42" s="258" t="str">
        <f>IF(AND(Q42=1,'Plant Total by Account'!$J$1=2),"EKWRA","")</f>
        <v/>
      </c>
    </row>
    <row r="43" spans="1:18" ht="12.75" customHeight="1" x14ac:dyDescent="0.2">
      <c r="A43" s="249" t="s">
        <v>2276</v>
      </c>
      <c r="B43" s="252" t="s">
        <v>1046</v>
      </c>
      <c r="C43" s="252" t="s">
        <v>3350</v>
      </c>
      <c r="D43" s="253">
        <v>0</v>
      </c>
      <c r="E43" s="253">
        <v>0</v>
      </c>
      <c r="F43" s="253">
        <v>756927.72</v>
      </c>
      <c r="G43" s="546">
        <f t="shared" si="0"/>
        <v>756927.72</v>
      </c>
      <c r="H43" s="254">
        <v>0</v>
      </c>
      <c r="I43" s="254">
        <v>0</v>
      </c>
      <c r="J43" s="254">
        <v>0</v>
      </c>
      <c r="K43" s="260">
        <f t="shared" si="5"/>
        <v>0</v>
      </c>
      <c r="L43" s="260">
        <f t="shared" si="6"/>
        <v>0</v>
      </c>
      <c r="M43" s="260">
        <f t="shared" si="7"/>
        <v>756927.72</v>
      </c>
      <c r="N43" s="255">
        <f t="shared" si="4"/>
        <v>0</v>
      </c>
      <c r="O43" s="252" t="s">
        <v>3327</v>
      </c>
      <c r="P43" s="252"/>
      <c r="Q43" s="258">
        <f>SUMIF('Antelope Bailey Split BA'!$B$7:$B$29,B43,'Antelope Bailey Split BA'!$C$7:$C$29)</f>
        <v>0</v>
      </c>
      <c r="R43" s="258" t="str">
        <f>IF(AND(Q43=1,'Plant Total by Account'!$J$1=2),"EKWRA","")</f>
        <v/>
      </c>
    </row>
    <row r="44" spans="1:18" ht="12.75" customHeight="1" x14ac:dyDescent="0.2">
      <c r="A44" s="249" t="s">
        <v>1839</v>
      </c>
      <c r="B44" s="252" t="s">
        <v>1047</v>
      </c>
      <c r="C44" s="252" t="s">
        <v>3350</v>
      </c>
      <c r="D44" s="253">
        <v>0</v>
      </c>
      <c r="E44" s="253">
        <v>0</v>
      </c>
      <c r="F44" s="253">
        <v>476646.98</v>
      </c>
      <c r="G44" s="546">
        <f t="shared" si="0"/>
        <v>476646.98</v>
      </c>
      <c r="H44" s="254">
        <v>0</v>
      </c>
      <c r="I44" s="254">
        <v>0</v>
      </c>
      <c r="J44" s="254">
        <v>0</v>
      </c>
      <c r="K44" s="260">
        <f t="shared" si="5"/>
        <v>0</v>
      </c>
      <c r="L44" s="260">
        <f t="shared" si="6"/>
        <v>0</v>
      </c>
      <c r="M44" s="260">
        <f t="shared" si="7"/>
        <v>476646.98</v>
      </c>
      <c r="N44" s="255">
        <f t="shared" si="4"/>
        <v>0</v>
      </c>
      <c r="O44" s="252" t="s">
        <v>3327</v>
      </c>
      <c r="P44" s="252"/>
      <c r="Q44" s="258">
        <f>SUMIF('Antelope Bailey Split BA'!$B$7:$B$29,B44,'Antelope Bailey Split BA'!$C$7:$C$29)</f>
        <v>0</v>
      </c>
      <c r="R44" s="258" t="str">
        <f>IF(AND(Q44=1,'Plant Total by Account'!$J$1=2),"EKWRA","")</f>
        <v/>
      </c>
    </row>
    <row r="45" spans="1:18" ht="12.75" customHeight="1" x14ac:dyDescent="0.2">
      <c r="A45" s="249" t="s">
        <v>839</v>
      </c>
      <c r="B45" s="252" t="s">
        <v>1048</v>
      </c>
      <c r="C45" s="252" t="s">
        <v>3349</v>
      </c>
      <c r="D45" s="253">
        <v>0</v>
      </c>
      <c r="E45" s="253">
        <v>0</v>
      </c>
      <c r="F45" s="253">
        <v>2556898.4</v>
      </c>
      <c r="G45" s="546">
        <f t="shared" si="0"/>
        <v>2556898.4</v>
      </c>
      <c r="H45" s="254">
        <v>0</v>
      </c>
      <c r="I45" s="254">
        <v>0</v>
      </c>
      <c r="J45" s="254">
        <v>0</v>
      </c>
      <c r="K45" s="260">
        <f t="shared" si="5"/>
        <v>0</v>
      </c>
      <c r="L45" s="260">
        <f t="shared" si="6"/>
        <v>0</v>
      </c>
      <c r="M45" s="260">
        <f t="shared" si="7"/>
        <v>2556898.4</v>
      </c>
      <c r="N45" s="255">
        <f t="shared" si="4"/>
        <v>0</v>
      </c>
      <c r="O45" s="252" t="s">
        <v>3327</v>
      </c>
      <c r="P45" s="252"/>
      <c r="Q45" s="258">
        <f>SUMIF('Antelope Bailey Split BA'!$B$7:$B$29,B45,'Antelope Bailey Split BA'!$C$7:$C$29)</f>
        <v>0</v>
      </c>
      <c r="R45" s="258" t="str">
        <f>IF(AND(Q45=1,'Plant Total by Account'!$J$1=2),"EKWRA","")</f>
        <v/>
      </c>
    </row>
    <row r="46" spans="1:18" ht="12.75" customHeight="1" x14ac:dyDescent="0.2">
      <c r="A46" s="249" t="s">
        <v>2277</v>
      </c>
      <c r="B46" s="252" t="s">
        <v>1049</v>
      </c>
      <c r="C46" s="252" t="s">
        <v>3349</v>
      </c>
      <c r="D46" s="253">
        <v>0</v>
      </c>
      <c r="E46" s="253">
        <v>0</v>
      </c>
      <c r="F46" s="253">
        <v>2577161.1700000004</v>
      </c>
      <c r="G46" s="546">
        <f t="shared" si="0"/>
        <v>2577161.1700000004</v>
      </c>
      <c r="H46" s="254">
        <v>0</v>
      </c>
      <c r="I46" s="254">
        <v>0</v>
      </c>
      <c r="J46" s="254">
        <v>0</v>
      </c>
      <c r="K46" s="260">
        <f t="shared" si="5"/>
        <v>0</v>
      </c>
      <c r="L46" s="260">
        <f t="shared" si="6"/>
        <v>0</v>
      </c>
      <c r="M46" s="260">
        <f t="shared" si="7"/>
        <v>2577161.1700000004</v>
      </c>
      <c r="N46" s="255">
        <f t="shared" si="4"/>
        <v>0</v>
      </c>
      <c r="O46" s="252" t="s">
        <v>3327</v>
      </c>
      <c r="P46" s="252"/>
      <c r="Q46" s="258">
        <f>SUMIF('Antelope Bailey Split BA'!$B$7:$B$29,B46,'Antelope Bailey Split BA'!$C$7:$C$29)</f>
        <v>0</v>
      </c>
      <c r="R46" s="258" t="str">
        <f>IF(AND(Q46=1,'Plant Total by Account'!$J$1=2),"EKWRA","")</f>
        <v/>
      </c>
    </row>
    <row r="47" spans="1:18" ht="12.75" customHeight="1" x14ac:dyDescent="0.2">
      <c r="A47" s="249" t="s">
        <v>2278</v>
      </c>
      <c r="B47" s="252" t="s">
        <v>1050</v>
      </c>
      <c r="C47" s="252" t="s">
        <v>3349</v>
      </c>
      <c r="D47" s="253">
        <v>0</v>
      </c>
      <c r="E47" s="253">
        <v>0</v>
      </c>
      <c r="F47" s="253">
        <v>2755188.2300000004</v>
      </c>
      <c r="G47" s="546">
        <f t="shared" si="0"/>
        <v>2755188.2300000004</v>
      </c>
      <c r="H47" s="254">
        <v>0</v>
      </c>
      <c r="I47" s="254">
        <v>0</v>
      </c>
      <c r="J47" s="254">
        <v>0</v>
      </c>
      <c r="K47" s="260">
        <f t="shared" si="5"/>
        <v>0</v>
      </c>
      <c r="L47" s="260">
        <f t="shared" si="6"/>
        <v>0</v>
      </c>
      <c r="M47" s="260">
        <f t="shared" si="7"/>
        <v>2755188.2300000004</v>
      </c>
      <c r="N47" s="255">
        <f t="shared" si="4"/>
        <v>0</v>
      </c>
      <c r="O47" s="252" t="s">
        <v>3327</v>
      </c>
      <c r="P47" s="252"/>
      <c r="Q47" s="258">
        <f>SUMIF('Antelope Bailey Split BA'!$B$7:$B$29,B47,'Antelope Bailey Split BA'!$C$7:$C$29)</f>
        <v>0</v>
      </c>
      <c r="R47" s="258" t="str">
        <f>IF(AND(Q47=1,'Plant Total by Account'!$J$1=2),"EKWRA","")</f>
        <v/>
      </c>
    </row>
    <row r="48" spans="1:18" ht="12.75" customHeight="1" x14ac:dyDescent="0.2">
      <c r="A48" s="249" t="s">
        <v>2279</v>
      </c>
      <c r="B48" s="252" t="s">
        <v>1051</v>
      </c>
      <c r="C48" s="252" t="s">
        <v>3349</v>
      </c>
      <c r="D48" s="253">
        <v>7766</v>
      </c>
      <c r="E48" s="253">
        <v>0</v>
      </c>
      <c r="F48" s="253">
        <v>1218283.48</v>
      </c>
      <c r="G48" s="546">
        <f t="shared" si="0"/>
        <v>1226049.48</v>
      </c>
      <c r="H48" s="254">
        <v>0</v>
      </c>
      <c r="I48" s="254">
        <v>0</v>
      </c>
      <c r="J48" s="254">
        <v>0</v>
      </c>
      <c r="K48" s="260">
        <f t="shared" si="5"/>
        <v>7766</v>
      </c>
      <c r="L48" s="260">
        <f t="shared" si="6"/>
        <v>0</v>
      </c>
      <c r="M48" s="260">
        <f t="shared" si="7"/>
        <v>1218283.48</v>
      </c>
      <c r="N48" s="255">
        <f t="shared" si="4"/>
        <v>0</v>
      </c>
      <c r="O48" s="252" t="s">
        <v>3327</v>
      </c>
      <c r="P48" s="252"/>
      <c r="Q48" s="258">
        <f>SUMIF('Antelope Bailey Split BA'!$B$7:$B$29,B48,'Antelope Bailey Split BA'!$C$7:$C$29)</f>
        <v>0</v>
      </c>
      <c r="R48" s="258" t="str">
        <f>IF(AND(Q48=1,'Plant Total by Account'!$J$1=2),"EKWRA","")</f>
        <v/>
      </c>
    </row>
    <row r="49" spans="1:18" ht="12.75" customHeight="1" x14ac:dyDescent="0.2">
      <c r="A49" s="249" t="s">
        <v>1843</v>
      </c>
      <c r="B49" s="252" t="s">
        <v>1035</v>
      </c>
      <c r="C49" s="252" t="s">
        <v>3350</v>
      </c>
      <c r="D49" s="253">
        <v>0</v>
      </c>
      <c r="E49" s="253">
        <v>0</v>
      </c>
      <c r="F49" s="253">
        <v>24015.599999999999</v>
      </c>
      <c r="G49" s="546">
        <f t="shared" si="0"/>
        <v>24015.599999999999</v>
      </c>
      <c r="H49" s="254">
        <v>0</v>
      </c>
      <c r="I49" s="254">
        <v>0</v>
      </c>
      <c r="J49" s="254">
        <v>0</v>
      </c>
      <c r="K49" s="260">
        <f t="shared" si="5"/>
        <v>0</v>
      </c>
      <c r="L49" s="260">
        <f t="shared" si="6"/>
        <v>0</v>
      </c>
      <c r="M49" s="260">
        <f t="shared" si="7"/>
        <v>24015.599999999999</v>
      </c>
      <c r="N49" s="255">
        <f t="shared" si="4"/>
        <v>0</v>
      </c>
      <c r="O49" s="252" t="s">
        <v>3327</v>
      </c>
      <c r="P49" s="252"/>
      <c r="Q49" s="258">
        <f>SUMIF('Antelope Bailey Split BA'!$B$7:$B$29,B49,'Antelope Bailey Split BA'!$C$7:$C$29)</f>
        <v>0</v>
      </c>
      <c r="R49" s="258" t="str">
        <f>IF(AND(Q49=1,'Plant Total by Account'!$J$1=2),"EKWRA","")</f>
        <v/>
      </c>
    </row>
    <row r="50" spans="1:18" ht="12.75" customHeight="1" x14ac:dyDescent="0.2">
      <c r="A50" s="249" t="s">
        <v>2280</v>
      </c>
      <c r="B50" s="252" t="s">
        <v>143</v>
      </c>
      <c r="C50" s="252" t="s">
        <v>3352</v>
      </c>
      <c r="D50" s="253">
        <v>0</v>
      </c>
      <c r="E50" s="253">
        <v>0</v>
      </c>
      <c r="F50" s="253">
        <v>1641021.78</v>
      </c>
      <c r="G50" s="546">
        <f t="shared" si="0"/>
        <v>1641021.78</v>
      </c>
      <c r="H50" s="254">
        <v>0</v>
      </c>
      <c r="I50" s="254">
        <v>0</v>
      </c>
      <c r="J50" s="254">
        <v>0</v>
      </c>
      <c r="K50" s="260">
        <f t="shared" si="5"/>
        <v>0</v>
      </c>
      <c r="L50" s="260">
        <f t="shared" si="6"/>
        <v>0</v>
      </c>
      <c r="M50" s="260">
        <f t="shared" si="7"/>
        <v>1641021.78</v>
      </c>
      <c r="N50" s="255">
        <f t="shared" si="4"/>
        <v>0</v>
      </c>
      <c r="O50" s="252" t="s">
        <v>3327</v>
      </c>
      <c r="P50" s="252"/>
      <c r="Q50" s="258">
        <f>SUMIF('Antelope Bailey Split BA'!$B$7:$B$29,B50,'Antelope Bailey Split BA'!$C$7:$C$29)</f>
        <v>0</v>
      </c>
      <c r="R50" s="258" t="str">
        <f>IF(AND(Q50=1,'Plant Total by Account'!$J$1=2),"EKWRA","")</f>
        <v/>
      </c>
    </row>
    <row r="51" spans="1:18" ht="12.75" customHeight="1" x14ac:dyDescent="0.2">
      <c r="A51" s="249" t="s">
        <v>2287</v>
      </c>
      <c r="B51" s="252" t="s">
        <v>124</v>
      </c>
      <c r="C51" s="252" t="s">
        <v>3352</v>
      </c>
      <c r="D51" s="253">
        <v>0</v>
      </c>
      <c r="E51" s="253">
        <v>0</v>
      </c>
      <c r="F51" s="253">
        <v>68245.700000000012</v>
      </c>
      <c r="G51" s="546">
        <f t="shared" si="0"/>
        <v>68245.700000000012</v>
      </c>
      <c r="H51" s="254">
        <v>0</v>
      </c>
      <c r="I51" s="254">
        <v>0</v>
      </c>
      <c r="J51" s="254">
        <v>0</v>
      </c>
      <c r="K51" s="260">
        <f t="shared" si="5"/>
        <v>0</v>
      </c>
      <c r="L51" s="260">
        <f t="shared" si="6"/>
        <v>0</v>
      </c>
      <c r="M51" s="260">
        <f t="shared" si="7"/>
        <v>68245.700000000012</v>
      </c>
      <c r="N51" s="255">
        <f t="shared" si="4"/>
        <v>0</v>
      </c>
      <c r="O51" s="252" t="s">
        <v>3327</v>
      </c>
      <c r="P51" s="252"/>
      <c r="Q51" s="258">
        <f>SUMIF('Antelope Bailey Split BA'!$B$7:$B$29,B51,'Antelope Bailey Split BA'!$C$7:$C$29)</f>
        <v>0</v>
      </c>
      <c r="R51" s="258" t="str">
        <f>IF(AND(Q51=1,'Plant Total by Account'!$J$1=2),"EKWRA","")</f>
        <v/>
      </c>
    </row>
    <row r="52" spans="1:18" ht="12.75" customHeight="1" x14ac:dyDescent="0.2">
      <c r="A52" s="249" t="s">
        <v>2288</v>
      </c>
      <c r="B52" s="252" t="s">
        <v>147</v>
      </c>
      <c r="C52" s="252" t="s">
        <v>3350</v>
      </c>
      <c r="D52" s="253">
        <v>0</v>
      </c>
      <c r="E52" s="253">
        <v>0</v>
      </c>
      <c r="F52" s="253">
        <v>2839490.9599999995</v>
      </c>
      <c r="G52" s="546">
        <f t="shared" si="0"/>
        <v>2839490.9599999995</v>
      </c>
      <c r="H52" s="254">
        <v>0</v>
      </c>
      <c r="I52" s="254">
        <v>0</v>
      </c>
      <c r="J52" s="254">
        <v>0</v>
      </c>
      <c r="K52" s="260">
        <f t="shared" si="5"/>
        <v>0</v>
      </c>
      <c r="L52" s="260">
        <f t="shared" si="6"/>
        <v>0</v>
      </c>
      <c r="M52" s="260">
        <f t="shared" si="7"/>
        <v>2839490.9599999995</v>
      </c>
      <c r="N52" s="255">
        <f t="shared" si="4"/>
        <v>0</v>
      </c>
      <c r="O52" s="252" t="s">
        <v>3327</v>
      </c>
      <c r="P52" s="252"/>
      <c r="Q52" s="258">
        <f>SUMIF('Antelope Bailey Split BA'!$B$7:$B$29,B52,'Antelope Bailey Split BA'!$C$7:$C$29)</f>
        <v>0</v>
      </c>
      <c r="R52" s="258" t="str">
        <f>IF(AND(Q52=1,'Plant Total by Account'!$J$1=2),"EKWRA","")</f>
        <v/>
      </c>
    </row>
    <row r="53" spans="1:18" ht="12.75" customHeight="1" x14ac:dyDescent="0.2">
      <c r="A53" s="249" t="s">
        <v>2289</v>
      </c>
      <c r="B53" s="252" t="s">
        <v>1056</v>
      </c>
      <c r="C53" s="252" t="s">
        <v>3350</v>
      </c>
      <c r="D53" s="253">
        <v>0</v>
      </c>
      <c r="E53" s="253">
        <v>627754</v>
      </c>
      <c r="F53" s="253">
        <v>4435235.71</v>
      </c>
      <c r="G53" s="546">
        <f t="shared" si="0"/>
        <v>5062989.71</v>
      </c>
      <c r="H53" s="254">
        <v>0</v>
      </c>
      <c r="I53" s="254">
        <v>0</v>
      </c>
      <c r="J53" s="254">
        <v>0</v>
      </c>
      <c r="K53" s="260">
        <f t="shared" si="5"/>
        <v>0</v>
      </c>
      <c r="L53" s="260">
        <f t="shared" si="6"/>
        <v>627754</v>
      </c>
      <c r="M53" s="260">
        <f t="shared" si="7"/>
        <v>4435235.71</v>
      </c>
      <c r="N53" s="255">
        <f t="shared" si="4"/>
        <v>0</v>
      </c>
      <c r="O53" s="252" t="s">
        <v>3327</v>
      </c>
      <c r="P53" s="252"/>
      <c r="Q53" s="258">
        <f>SUMIF('Antelope Bailey Split BA'!$B$7:$B$29,B53,'Antelope Bailey Split BA'!$C$7:$C$29)</f>
        <v>0</v>
      </c>
      <c r="R53" s="258" t="str">
        <f>IF(AND(Q53=1,'Plant Total by Account'!$J$1=2),"EKWRA","")</f>
        <v/>
      </c>
    </row>
    <row r="54" spans="1:18" ht="12.75" customHeight="1" x14ac:dyDescent="0.2">
      <c r="A54" s="249" t="s">
        <v>2290</v>
      </c>
      <c r="B54" s="252" t="s">
        <v>1057</v>
      </c>
      <c r="C54" s="252" t="s">
        <v>2270</v>
      </c>
      <c r="D54" s="253">
        <v>0</v>
      </c>
      <c r="E54" s="253">
        <v>0</v>
      </c>
      <c r="F54" s="253">
        <v>10366.790000000001</v>
      </c>
      <c r="G54" s="546">
        <f t="shared" si="0"/>
        <v>10366.790000000001</v>
      </c>
      <c r="H54" s="254">
        <v>0</v>
      </c>
      <c r="I54" s="254">
        <v>0</v>
      </c>
      <c r="J54" s="254">
        <v>0</v>
      </c>
      <c r="K54" s="260">
        <f t="shared" si="5"/>
        <v>0</v>
      </c>
      <c r="L54" s="260">
        <f t="shared" si="6"/>
        <v>0</v>
      </c>
      <c r="M54" s="260">
        <f t="shared" si="7"/>
        <v>10366.790000000001</v>
      </c>
      <c r="N54" s="255">
        <f t="shared" si="4"/>
        <v>0</v>
      </c>
      <c r="O54" s="252" t="s">
        <v>3327</v>
      </c>
      <c r="P54" s="252"/>
      <c r="Q54" s="258">
        <f>SUMIF('Antelope Bailey Split BA'!$B$7:$B$29,B54,'Antelope Bailey Split BA'!$C$7:$C$29)</f>
        <v>0</v>
      </c>
      <c r="R54" s="258" t="str">
        <f>IF(AND(Q54=1,'Plant Total by Account'!$J$1=2),"EKWRA","")</f>
        <v/>
      </c>
    </row>
    <row r="55" spans="1:18" ht="12.75" customHeight="1" x14ac:dyDescent="0.2">
      <c r="A55" s="249" t="s">
        <v>1855</v>
      </c>
      <c r="B55" s="252" t="s">
        <v>1058</v>
      </c>
      <c r="C55" s="252" t="s">
        <v>3352</v>
      </c>
      <c r="D55" s="253">
        <v>0</v>
      </c>
      <c r="E55" s="253">
        <v>0</v>
      </c>
      <c r="F55" s="253">
        <v>421923.88</v>
      </c>
      <c r="G55" s="546">
        <f t="shared" si="0"/>
        <v>421923.88</v>
      </c>
      <c r="H55" s="254">
        <v>0</v>
      </c>
      <c r="I55" s="254">
        <v>0</v>
      </c>
      <c r="J55" s="254">
        <v>0</v>
      </c>
      <c r="K55" s="260">
        <f t="shared" si="5"/>
        <v>0</v>
      </c>
      <c r="L55" s="260">
        <f t="shared" si="6"/>
        <v>0</v>
      </c>
      <c r="M55" s="260">
        <f t="shared" si="7"/>
        <v>421923.88</v>
      </c>
      <c r="N55" s="255">
        <f t="shared" si="4"/>
        <v>0</v>
      </c>
      <c r="O55" s="252" t="s">
        <v>3327</v>
      </c>
      <c r="P55" s="252"/>
      <c r="Q55" s="258">
        <f>SUMIF('Antelope Bailey Split BA'!$B$7:$B$29,B55,'Antelope Bailey Split BA'!$C$7:$C$29)</f>
        <v>0</v>
      </c>
      <c r="R55" s="258" t="str">
        <f>IF(AND(Q55=1,'Plant Total by Account'!$J$1=2),"EKWRA","")</f>
        <v/>
      </c>
    </row>
    <row r="56" spans="1:18" ht="12.75" customHeight="1" x14ac:dyDescent="0.2">
      <c r="A56" s="249" t="s">
        <v>1856</v>
      </c>
      <c r="B56" s="252" t="s">
        <v>1059</v>
      </c>
      <c r="C56" s="252" t="s">
        <v>3352</v>
      </c>
      <c r="D56" s="253">
        <v>0</v>
      </c>
      <c r="E56" s="253">
        <v>0</v>
      </c>
      <c r="F56" s="253">
        <v>140225.87</v>
      </c>
      <c r="G56" s="546">
        <f t="shared" si="0"/>
        <v>140225.87</v>
      </c>
      <c r="H56" s="254">
        <v>0</v>
      </c>
      <c r="I56" s="254">
        <v>0</v>
      </c>
      <c r="J56" s="254">
        <v>0</v>
      </c>
      <c r="K56" s="260">
        <f t="shared" si="5"/>
        <v>0</v>
      </c>
      <c r="L56" s="260">
        <f t="shared" si="6"/>
        <v>0</v>
      </c>
      <c r="M56" s="260">
        <f t="shared" si="7"/>
        <v>140225.87</v>
      </c>
      <c r="N56" s="255">
        <f t="shared" si="4"/>
        <v>0</v>
      </c>
      <c r="O56" s="252" t="s">
        <v>3327</v>
      </c>
      <c r="P56" s="252"/>
      <c r="Q56" s="258">
        <f>SUMIF('Antelope Bailey Split BA'!$B$7:$B$29,B56,'Antelope Bailey Split BA'!$C$7:$C$29)</f>
        <v>0</v>
      </c>
      <c r="R56" s="258" t="str">
        <f>IF(AND(Q56=1,'Plant Total by Account'!$J$1=2),"EKWRA","")</f>
        <v/>
      </c>
    </row>
    <row r="57" spans="1:18" ht="12.75" customHeight="1" x14ac:dyDescent="0.2">
      <c r="A57" s="249" t="s">
        <v>2291</v>
      </c>
      <c r="B57" s="252" t="s">
        <v>1060</v>
      </c>
      <c r="C57" s="252" t="s">
        <v>3353</v>
      </c>
      <c r="D57" s="253">
        <v>0</v>
      </c>
      <c r="E57" s="253">
        <v>0</v>
      </c>
      <c r="F57" s="253">
        <v>692139.9</v>
      </c>
      <c r="G57" s="546">
        <f t="shared" si="0"/>
        <v>692139.9</v>
      </c>
      <c r="H57" s="254">
        <v>0</v>
      </c>
      <c r="I57" s="254">
        <v>0</v>
      </c>
      <c r="J57" s="254">
        <v>0</v>
      </c>
      <c r="K57" s="260">
        <f t="shared" si="5"/>
        <v>0</v>
      </c>
      <c r="L57" s="260">
        <f t="shared" si="6"/>
        <v>0</v>
      </c>
      <c r="M57" s="260">
        <f t="shared" si="7"/>
        <v>692139.9</v>
      </c>
      <c r="N57" s="255">
        <f t="shared" si="4"/>
        <v>0</v>
      </c>
      <c r="O57" s="252" t="s">
        <v>3327</v>
      </c>
      <c r="P57" s="252"/>
      <c r="Q57" s="258">
        <f>SUMIF('Antelope Bailey Split BA'!$B$7:$B$29,B57,'Antelope Bailey Split BA'!$C$7:$C$29)</f>
        <v>0</v>
      </c>
      <c r="R57" s="258" t="str">
        <f>IF(AND(Q57=1,'Plant Total by Account'!$J$1=2),"EKWRA","")</f>
        <v/>
      </c>
    </row>
    <row r="58" spans="1:18" ht="12.75" customHeight="1" x14ac:dyDescent="0.2">
      <c r="A58" s="249" t="s">
        <v>2292</v>
      </c>
      <c r="B58" s="252" t="s">
        <v>1061</v>
      </c>
      <c r="C58" s="252" t="s">
        <v>3353</v>
      </c>
      <c r="D58" s="253">
        <v>0</v>
      </c>
      <c r="E58" s="253">
        <v>0</v>
      </c>
      <c r="F58" s="253">
        <v>572929.49</v>
      </c>
      <c r="G58" s="546">
        <f t="shared" si="0"/>
        <v>572929.49</v>
      </c>
      <c r="H58" s="254">
        <v>0</v>
      </c>
      <c r="I58" s="254">
        <v>0</v>
      </c>
      <c r="J58" s="254">
        <v>0</v>
      </c>
      <c r="K58" s="260">
        <f t="shared" si="5"/>
        <v>0</v>
      </c>
      <c r="L58" s="260">
        <f t="shared" si="6"/>
        <v>0</v>
      </c>
      <c r="M58" s="260">
        <f t="shared" si="7"/>
        <v>572929.49</v>
      </c>
      <c r="N58" s="255">
        <f t="shared" si="4"/>
        <v>0</v>
      </c>
      <c r="O58" s="252" t="s">
        <v>3327</v>
      </c>
      <c r="P58" s="252"/>
      <c r="Q58" s="258">
        <f>SUMIF('Antelope Bailey Split BA'!$B$7:$B$29,B58,'Antelope Bailey Split BA'!$C$7:$C$29)</f>
        <v>0</v>
      </c>
      <c r="R58" s="258" t="str">
        <f>IF(AND(Q58=1,'Plant Total by Account'!$J$1=2),"EKWRA","")</f>
        <v/>
      </c>
    </row>
    <row r="59" spans="1:18" ht="12.75" customHeight="1" x14ac:dyDescent="0.2">
      <c r="A59" s="249" t="s">
        <v>2293</v>
      </c>
      <c r="B59" s="252" t="s">
        <v>1062</v>
      </c>
      <c r="C59" s="252" t="s">
        <v>3352</v>
      </c>
      <c r="D59" s="253">
        <v>0</v>
      </c>
      <c r="E59" s="253">
        <v>0</v>
      </c>
      <c r="F59" s="253">
        <v>193975.41</v>
      </c>
      <c r="G59" s="546">
        <f t="shared" si="0"/>
        <v>193975.41</v>
      </c>
      <c r="H59" s="254">
        <v>0</v>
      </c>
      <c r="I59" s="254">
        <v>0</v>
      </c>
      <c r="J59" s="254">
        <v>0</v>
      </c>
      <c r="K59" s="260">
        <f t="shared" si="5"/>
        <v>0</v>
      </c>
      <c r="L59" s="260">
        <f t="shared" si="6"/>
        <v>0</v>
      </c>
      <c r="M59" s="260">
        <f t="shared" si="7"/>
        <v>193975.41</v>
      </c>
      <c r="N59" s="255">
        <f t="shared" si="4"/>
        <v>0</v>
      </c>
      <c r="O59" s="252" t="s">
        <v>3327</v>
      </c>
      <c r="P59" s="252"/>
      <c r="Q59" s="258">
        <f>SUMIF('Antelope Bailey Split BA'!$B$7:$B$29,B59,'Antelope Bailey Split BA'!$C$7:$C$29)</f>
        <v>0</v>
      </c>
      <c r="R59" s="258" t="str">
        <f>IF(AND(Q59=1,'Plant Total by Account'!$J$1=2),"EKWRA","")</f>
        <v/>
      </c>
    </row>
    <row r="60" spans="1:18" ht="12.75" customHeight="1" x14ac:dyDescent="0.2">
      <c r="A60" s="249" t="s">
        <v>2295</v>
      </c>
      <c r="B60" s="252" t="s">
        <v>1064</v>
      </c>
      <c r="C60" s="252" t="s">
        <v>3353</v>
      </c>
      <c r="D60" s="253">
        <v>0</v>
      </c>
      <c r="E60" s="253">
        <v>1382.76</v>
      </c>
      <c r="F60" s="253">
        <v>259608.76</v>
      </c>
      <c r="G60" s="546">
        <f t="shared" si="0"/>
        <v>260991.52000000002</v>
      </c>
      <c r="H60" s="254">
        <v>0</v>
      </c>
      <c r="I60" s="254">
        <v>0</v>
      </c>
      <c r="J60" s="254">
        <v>0</v>
      </c>
      <c r="K60" s="260">
        <f t="shared" si="5"/>
        <v>0</v>
      </c>
      <c r="L60" s="260">
        <f t="shared" si="6"/>
        <v>1382.76</v>
      </c>
      <c r="M60" s="260">
        <f t="shared" si="7"/>
        <v>259608.76</v>
      </c>
      <c r="N60" s="255">
        <f t="shared" si="4"/>
        <v>0</v>
      </c>
      <c r="O60" s="252" t="s">
        <v>3327</v>
      </c>
      <c r="P60" s="252"/>
      <c r="Q60" s="258">
        <f>SUMIF('Antelope Bailey Split BA'!$B$7:$B$29,B60,'Antelope Bailey Split BA'!$C$7:$C$29)</f>
        <v>0</v>
      </c>
      <c r="R60" s="258" t="str">
        <f>IF(AND(Q60=1,'Plant Total by Account'!$J$1=2),"EKWRA","")</f>
        <v/>
      </c>
    </row>
    <row r="61" spans="1:18" ht="12.75" customHeight="1" x14ac:dyDescent="0.2">
      <c r="A61" s="249" t="s">
        <v>2296</v>
      </c>
      <c r="B61" s="252" t="s">
        <v>1065</v>
      </c>
      <c r="C61" s="252" t="s">
        <v>3352</v>
      </c>
      <c r="D61" s="253">
        <v>0</v>
      </c>
      <c r="E61" s="253">
        <v>0</v>
      </c>
      <c r="F61" s="253">
        <v>36406.199999999997</v>
      </c>
      <c r="G61" s="546">
        <f t="shared" si="0"/>
        <v>36406.199999999997</v>
      </c>
      <c r="H61" s="254">
        <v>0</v>
      </c>
      <c r="I61" s="254">
        <v>0</v>
      </c>
      <c r="J61" s="254">
        <v>0</v>
      </c>
      <c r="K61" s="260">
        <f t="shared" si="5"/>
        <v>0</v>
      </c>
      <c r="L61" s="260">
        <f t="shared" si="6"/>
        <v>0</v>
      </c>
      <c r="M61" s="260">
        <f t="shared" si="7"/>
        <v>36406.199999999997</v>
      </c>
      <c r="N61" s="255">
        <f t="shared" si="4"/>
        <v>0</v>
      </c>
      <c r="O61" s="252" t="s">
        <v>3327</v>
      </c>
      <c r="P61" s="252"/>
      <c r="Q61" s="258">
        <f>SUMIF('Antelope Bailey Split BA'!$B$7:$B$29,B61,'Antelope Bailey Split BA'!$C$7:$C$29)</f>
        <v>0</v>
      </c>
      <c r="R61" s="258" t="str">
        <f>IF(AND(Q61=1,'Plant Total by Account'!$J$1=2),"EKWRA","")</f>
        <v/>
      </c>
    </row>
    <row r="62" spans="1:18" ht="12.75" customHeight="1" x14ac:dyDescent="0.2">
      <c r="A62" s="249" t="s">
        <v>2297</v>
      </c>
      <c r="B62" s="252" t="s">
        <v>148</v>
      </c>
      <c r="C62" s="252" t="s">
        <v>3352</v>
      </c>
      <c r="D62" s="253">
        <v>0</v>
      </c>
      <c r="E62" s="253">
        <v>0</v>
      </c>
      <c r="F62" s="253">
        <v>14929.960000000001</v>
      </c>
      <c r="G62" s="546">
        <f t="shared" si="0"/>
        <v>14929.960000000001</v>
      </c>
      <c r="H62" s="254">
        <v>0</v>
      </c>
      <c r="I62" s="254">
        <v>0</v>
      </c>
      <c r="J62" s="254">
        <v>0</v>
      </c>
      <c r="K62" s="260">
        <f t="shared" si="5"/>
        <v>0</v>
      </c>
      <c r="L62" s="260">
        <f t="shared" si="6"/>
        <v>0</v>
      </c>
      <c r="M62" s="260">
        <f t="shared" si="7"/>
        <v>14929.960000000001</v>
      </c>
      <c r="N62" s="255">
        <f t="shared" si="4"/>
        <v>0</v>
      </c>
      <c r="O62" s="252" t="s">
        <v>3327</v>
      </c>
      <c r="P62" s="252"/>
      <c r="Q62" s="258">
        <f>SUMIF('Antelope Bailey Split BA'!$B$7:$B$29,B62,'Antelope Bailey Split BA'!$C$7:$C$29)</f>
        <v>0</v>
      </c>
      <c r="R62" s="258" t="str">
        <f>IF(AND(Q62=1,'Plant Total by Account'!$J$1=2),"EKWRA","")</f>
        <v/>
      </c>
    </row>
    <row r="63" spans="1:18" ht="12.75" customHeight="1" x14ac:dyDescent="0.2">
      <c r="A63" s="249" t="s">
        <v>2298</v>
      </c>
      <c r="B63" s="252" t="s">
        <v>1066</v>
      </c>
      <c r="C63" s="252" t="s">
        <v>3352</v>
      </c>
      <c r="D63" s="253">
        <v>1463.92</v>
      </c>
      <c r="E63" s="253">
        <v>0</v>
      </c>
      <c r="F63" s="253">
        <v>7315.87</v>
      </c>
      <c r="G63" s="546">
        <f t="shared" si="0"/>
        <v>8779.7900000000009</v>
      </c>
      <c r="H63" s="254">
        <v>0</v>
      </c>
      <c r="I63" s="254">
        <v>0</v>
      </c>
      <c r="J63" s="254">
        <v>0</v>
      </c>
      <c r="K63" s="260">
        <f t="shared" si="5"/>
        <v>1463.92</v>
      </c>
      <c r="L63" s="260">
        <f t="shared" si="6"/>
        <v>0</v>
      </c>
      <c r="M63" s="260">
        <f t="shared" si="7"/>
        <v>7315.87</v>
      </c>
      <c r="N63" s="255">
        <f t="shared" si="4"/>
        <v>0</v>
      </c>
      <c r="O63" s="252" t="s">
        <v>3327</v>
      </c>
      <c r="P63" s="252"/>
      <c r="Q63" s="258">
        <f>SUMIF('Antelope Bailey Split BA'!$B$7:$B$29,B63,'Antelope Bailey Split BA'!$C$7:$C$29)</f>
        <v>0</v>
      </c>
      <c r="R63" s="258" t="str">
        <f>IF(AND(Q63=1,'Plant Total by Account'!$J$1=2),"EKWRA","")</f>
        <v/>
      </c>
    </row>
    <row r="64" spans="1:18" ht="12.75" customHeight="1" x14ac:dyDescent="0.2">
      <c r="A64" s="249" t="s">
        <v>2299</v>
      </c>
      <c r="B64" s="252" t="s">
        <v>149</v>
      </c>
      <c r="C64" s="252" t="s">
        <v>3352</v>
      </c>
      <c r="D64" s="253">
        <v>0</v>
      </c>
      <c r="E64" s="253">
        <v>0</v>
      </c>
      <c r="F64" s="253">
        <v>52080.43</v>
      </c>
      <c r="G64" s="546">
        <f t="shared" si="0"/>
        <v>52080.43</v>
      </c>
      <c r="H64" s="254">
        <v>0</v>
      </c>
      <c r="I64" s="254">
        <v>0</v>
      </c>
      <c r="J64" s="254">
        <v>0</v>
      </c>
      <c r="K64" s="260">
        <f t="shared" si="5"/>
        <v>0</v>
      </c>
      <c r="L64" s="260">
        <f t="shared" si="6"/>
        <v>0</v>
      </c>
      <c r="M64" s="260">
        <f t="shared" si="7"/>
        <v>52080.43</v>
      </c>
      <c r="N64" s="255">
        <f t="shared" si="4"/>
        <v>0</v>
      </c>
      <c r="O64" s="252" t="s">
        <v>3327</v>
      </c>
      <c r="P64" s="252"/>
      <c r="Q64" s="258">
        <f>SUMIF('Antelope Bailey Split BA'!$B$7:$B$29,B64,'Antelope Bailey Split BA'!$C$7:$C$29)</f>
        <v>0</v>
      </c>
      <c r="R64" s="258" t="str">
        <f>IF(AND(Q64=1,'Plant Total by Account'!$J$1=2),"EKWRA","")</f>
        <v/>
      </c>
    </row>
    <row r="65" spans="1:18" ht="12.75" customHeight="1" x14ac:dyDescent="0.2">
      <c r="A65" s="249" t="s">
        <v>2300</v>
      </c>
      <c r="B65" s="252" t="s">
        <v>1067</v>
      </c>
      <c r="C65" s="252" t="s">
        <v>3353</v>
      </c>
      <c r="D65" s="253">
        <v>0</v>
      </c>
      <c r="E65" s="253">
        <v>0</v>
      </c>
      <c r="F65" s="253">
        <v>48506.83</v>
      </c>
      <c r="G65" s="546">
        <f t="shared" si="0"/>
        <v>48506.83</v>
      </c>
      <c r="H65" s="254">
        <v>0</v>
      </c>
      <c r="I65" s="254">
        <v>0</v>
      </c>
      <c r="J65" s="254">
        <v>0</v>
      </c>
      <c r="K65" s="260">
        <f t="shared" si="5"/>
        <v>0</v>
      </c>
      <c r="L65" s="260">
        <f t="shared" si="6"/>
        <v>0</v>
      </c>
      <c r="M65" s="260">
        <f t="shared" si="7"/>
        <v>48506.83</v>
      </c>
      <c r="N65" s="255">
        <f t="shared" si="4"/>
        <v>0</v>
      </c>
      <c r="O65" s="252" t="s">
        <v>3327</v>
      </c>
      <c r="P65" s="252"/>
      <c r="Q65" s="258">
        <f>SUMIF('Antelope Bailey Split BA'!$B$7:$B$29,B65,'Antelope Bailey Split BA'!$C$7:$C$29)</f>
        <v>0</v>
      </c>
      <c r="R65" s="258" t="str">
        <f>IF(AND(Q65=1,'Plant Total by Account'!$J$1=2),"EKWRA","")</f>
        <v/>
      </c>
    </row>
    <row r="66" spans="1:18" ht="12.75" customHeight="1" x14ac:dyDescent="0.2">
      <c r="A66" s="249" t="s">
        <v>2301</v>
      </c>
      <c r="B66" s="252" t="s">
        <v>1068</v>
      </c>
      <c r="C66" s="252" t="s">
        <v>3353</v>
      </c>
      <c r="D66" s="253">
        <v>0</v>
      </c>
      <c r="E66" s="253">
        <v>2694.37</v>
      </c>
      <c r="F66" s="253">
        <v>49125.880000000005</v>
      </c>
      <c r="G66" s="546">
        <f t="shared" si="0"/>
        <v>51820.250000000007</v>
      </c>
      <c r="H66" s="254">
        <v>0</v>
      </c>
      <c r="I66" s="254">
        <v>0</v>
      </c>
      <c r="J66" s="254">
        <v>0</v>
      </c>
      <c r="K66" s="260">
        <f t="shared" si="5"/>
        <v>0</v>
      </c>
      <c r="L66" s="260">
        <f t="shared" si="6"/>
        <v>2694.37</v>
      </c>
      <c r="M66" s="260">
        <f t="shared" si="7"/>
        <v>49125.880000000005</v>
      </c>
      <c r="N66" s="255">
        <f t="shared" si="4"/>
        <v>0</v>
      </c>
      <c r="O66" s="252" t="s">
        <v>3327</v>
      </c>
      <c r="P66" s="252"/>
      <c r="Q66" s="258">
        <f>SUMIF('Antelope Bailey Split BA'!$B$7:$B$29,B66,'Antelope Bailey Split BA'!$C$7:$C$29)</f>
        <v>0</v>
      </c>
      <c r="R66" s="258" t="str">
        <f>IF(AND(Q66=1,'Plant Total by Account'!$J$1=2),"EKWRA","")</f>
        <v/>
      </c>
    </row>
    <row r="67" spans="1:18" ht="12.75" customHeight="1" x14ac:dyDescent="0.2">
      <c r="A67" s="249" t="s">
        <v>2302</v>
      </c>
      <c r="B67" s="252" t="s">
        <v>1069</v>
      </c>
      <c r="C67" s="252" t="s">
        <v>3353</v>
      </c>
      <c r="D67" s="253">
        <v>0</v>
      </c>
      <c r="E67" s="253">
        <v>0</v>
      </c>
      <c r="F67" s="253">
        <v>57268.82</v>
      </c>
      <c r="G67" s="546">
        <f t="shared" si="0"/>
        <v>57268.82</v>
      </c>
      <c r="H67" s="254">
        <v>0</v>
      </c>
      <c r="I67" s="254">
        <v>0</v>
      </c>
      <c r="J67" s="254">
        <v>0</v>
      </c>
      <c r="K67" s="260">
        <f t="shared" si="5"/>
        <v>0</v>
      </c>
      <c r="L67" s="260">
        <f t="shared" si="6"/>
        <v>0</v>
      </c>
      <c r="M67" s="260">
        <f t="shared" si="7"/>
        <v>57268.82</v>
      </c>
      <c r="N67" s="255">
        <f t="shared" si="4"/>
        <v>0</v>
      </c>
      <c r="O67" s="252" t="s">
        <v>3327</v>
      </c>
      <c r="P67" s="252"/>
      <c r="Q67" s="258">
        <f>SUMIF('Antelope Bailey Split BA'!$B$7:$B$29,B67,'Antelope Bailey Split BA'!$C$7:$C$29)</f>
        <v>0</v>
      </c>
      <c r="R67" s="258" t="str">
        <f>IF(AND(Q67=1,'Plant Total by Account'!$J$1=2),"EKWRA","")</f>
        <v/>
      </c>
    </row>
    <row r="68" spans="1:18" s="263" customFormat="1" ht="12.75" customHeight="1" collapsed="1" x14ac:dyDescent="0.2">
      <c r="A68" s="249" t="s">
        <v>2303</v>
      </c>
      <c r="B68" s="252" t="s">
        <v>1070</v>
      </c>
      <c r="C68" s="252" t="s">
        <v>3353</v>
      </c>
      <c r="D68" s="253">
        <v>0</v>
      </c>
      <c r="E68" s="253">
        <v>0</v>
      </c>
      <c r="F68" s="253">
        <v>50833.83</v>
      </c>
      <c r="G68" s="546">
        <f t="shared" si="0"/>
        <v>50833.83</v>
      </c>
      <c r="H68" s="254">
        <v>0</v>
      </c>
      <c r="I68" s="254">
        <v>0</v>
      </c>
      <c r="J68" s="254">
        <v>0</v>
      </c>
      <c r="K68" s="260">
        <f t="shared" si="5"/>
        <v>0</v>
      </c>
      <c r="L68" s="260">
        <f t="shared" si="6"/>
        <v>0</v>
      </c>
      <c r="M68" s="260">
        <f t="shared" si="7"/>
        <v>50833.83</v>
      </c>
      <c r="N68" s="255">
        <f t="shared" si="4"/>
        <v>0</v>
      </c>
      <c r="O68" s="252" t="s">
        <v>3327</v>
      </c>
      <c r="P68" s="252"/>
      <c r="Q68" s="258">
        <f>SUMIF('Antelope Bailey Split BA'!$B$7:$B$29,B68,'Antelope Bailey Split BA'!$C$7:$C$29)</f>
        <v>0</v>
      </c>
      <c r="R68" s="258" t="str">
        <f>IF(AND(Q68=1,'Plant Total by Account'!$J$1=2),"EKWRA","")</f>
        <v/>
      </c>
    </row>
    <row r="69" spans="1:18" ht="12.75" customHeight="1" x14ac:dyDescent="0.2">
      <c r="A69" s="249" t="s">
        <v>2304</v>
      </c>
      <c r="B69" s="252" t="s">
        <v>1071</v>
      </c>
      <c r="C69" s="252" t="s">
        <v>3353</v>
      </c>
      <c r="D69" s="253">
        <v>0</v>
      </c>
      <c r="E69" s="253">
        <v>0</v>
      </c>
      <c r="F69" s="253">
        <v>462405.92</v>
      </c>
      <c r="G69" s="546">
        <f t="shared" si="0"/>
        <v>462405.92</v>
      </c>
      <c r="H69" s="254">
        <v>0</v>
      </c>
      <c r="I69" s="254">
        <v>0</v>
      </c>
      <c r="J69" s="254">
        <v>0</v>
      </c>
      <c r="K69" s="260">
        <f t="shared" si="5"/>
        <v>0</v>
      </c>
      <c r="L69" s="260">
        <f t="shared" si="6"/>
        <v>0</v>
      </c>
      <c r="M69" s="260">
        <f t="shared" si="7"/>
        <v>462405.92</v>
      </c>
      <c r="N69" s="255">
        <f t="shared" si="4"/>
        <v>0</v>
      </c>
      <c r="O69" s="252" t="s">
        <v>3327</v>
      </c>
      <c r="P69" s="252"/>
      <c r="Q69" s="258">
        <f>SUMIF('Antelope Bailey Split BA'!$B$7:$B$29,B69,'Antelope Bailey Split BA'!$C$7:$C$29)</f>
        <v>0</v>
      </c>
      <c r="R69" s="258" t="str">
        <f>IF(AND(Q69=1,'Plant Total by Account'!$J$1=2),"EKWRA","")</f>
        <v/>
      </c>
    </row>
    <row r="70" spans="1:18" ht="12.75" customHeight="1" x14ac:dyDescent="0.2">
      <c r="A70" s="249" t="s">
        <v>2305</v>
      </c>
      <c r="B70" s="252" t="s">
        <v>1072</v>
      </c>
      <c r="C70" s="252" t="s">
        <v>3353</v>
      </c>
      <c r="D70" s="253">
        <v>0</v>
      </c>
      <c r="E70" s="253">
        <v>0</v>
      </c>
      <c r="F70" s="253">
        <v>205914.2</v>
      </c>
      <c r="G70" s="546">
        <f t="shared" si="0"/>
        <v>205914.2</v>
      </c>
      <c r="H70" s="254">
        <v>0</v>
      </c>
      <c r="I70" s="254">
        <v>0</v>
      </c>
      <c r="J70" s="254">
        <v>0</v>
      </c>
      <c r="K70" s="260">
        <f t="shared" si="5"/>
        <v>0</v>
      </c>
      <c r="L70" s="260">
        <f t="shared" si="6"/>
        <v>0</v>
      </c>
      <c r="M70" s="260">
        <f t="shared" si="7"/>
        <v>205914.2</v>
      </c>
      <c r="N70" s="255">
        <f t="shared" si="4"/>
        <v>0</v>
      </c>
      <c r="O70" s="252" t="s">
        <v>3327</v>
      </c>
      <c r="P70" s="252"/>
      <c r="Q70" s="258">
        <f>SUMIF('Antelope Bailey Split BA'!$B$7:$B$29,B70,'Antelope Bailey Split BA'!$C$7:$C$29)</f>
        <v>0</v>
      </c>
      <c r="R70" s="258" t="str">
        <f>IF(AND(Q70=1,'Plant Total by Account'!$J$1=2),"EKWRA","")</f>
        <v/>
      </c>
    </row>
    <row r="71" spans="1:18" ht="12.75" customHeight="1" x14ac:dyDescent="0.2">
      <c r="A71" s="249" t="s">
        <v>2306</v>
      </c>
      <c r="B71" s="252" t="s">
        <v>1073</v>
      </c>
      <c r="C71" s="252" t="s">
        <v>3354</v>
      </c>
      <c r="D71" s="253">
        <v>0</v>
      </c>
      <c r="E71" s="253">
        <v>7254.01</v>
      </c>
      <c r="F71" s="253">
        <v>0</v>
      </c>
      <c r="G71" s="546">
        <f t="shared" si="0"/>
        <v>7254.01</v>
      </c>
      <c r="H71" s="254">
        <v>0</v>
      </c>
      <c r="I71" s="254">
        <v>0</v>
      </c>
      <c r="J71" s="254">
        <v>0</v>
      </c>
      <c r="K71" s="260">
        <f t="shared" si="5"/>
        <v>0</v>
      </c>
      <c r="L71" s="260">
        <f t="shared" si="6"/>
        <v>7254.01</v>
      </c>
      <c r="M71" s="260">
        <f t="shared" si="7"/>
        <v>0</v>
      </c>
      <c r="N71" s="255">
        <f t="shared" si="4"/>
        <v>0</v>
      </c>
      <c r="O71" s="252" t="s">
        <v>3327</v>
      </c>
      <c r="P71" s="252"/>
      <c r="Q71" s="258">
        <f>SUMIF('Antelope Bailey Split BA'!$B$7:$B$29,B71,'Antelope Bailey Split BA'!$C$7:$C$29)</f>
        <v>0</v>
      </c>
      <c r="R71" s="258" t="str">
        <f>IF(AND(Q71=1,'Plant Total by Account'!$J$1=2),"EKWRA","")</f>
        <v/>
      </c>
    </row>
    <row r="72" spans="1:18" ht="12.75" customHeight="1" x14ac:dyDescent="0.2">
      <c r="A72" s="249" t="s">
        <v>2307</v>
      </c>
      <c r="B72" s="252" t="s">
        <v>1074</v>
      </c>
      <c r="C72" s="252" t="s">
        <v>2270</v>
      </c>
      <c r="D72" s="253">
        <v>0</v>
      </c>
      <c r="E72" s="253">
        <v>0</v>
      </c>
      <c r="F72" s="253">
        <v>697219.7</v>
      </c>
      <c r="G72" s="546">
        <f t="shared" si="0"/>
        <v>697219.7</v>
      </c>
      <c r="H72" s="254">
        <v>0</v>
      </c>
      <c r="I72" s="254">
        <v>0</v>
      </c>
      <c r="J72" s="254">
        <v>0</v>
      </c>
      <c r="K72" s="260">
        <f t="shared" si="5"/>
        <v>0</v>
      </c>
      <c r="L72" s="260">
        <f t="shared" si="6"/>
        <v>0</v>
      </c>
      <c r="M72" s="260">
        <f t="shared" si="7"/>
        <v>697219.7</v>
      </c>
      <c r="N72" s="255">
        <f t="shared" si="4"/>
        <v>0</v>
      </c>
      <c r="O72" s="252" t="s">
        <v>3327</v>
      </c>
      <c r="P72" s="252"/>
      <c r="Q72" s="258">
        <f>SUMIF('Antelope Bailey Split BA'!$B$7:$B$29,B72,'Antelope Bailey Split BA'!$C$7:$C$29)</f>
        <v>0</v>
      </c>
      <c r="R72" s="258" t="str">
        <f>IF(AND(Q72=1,'Plant Total by Account'!$J$1=2),"EKWRA","")</f>
        <v/>
      </c>
    </row>
    <row r="73" spans="1:18" ht="12.75" customHeight="1" x14ac:dyDescent="0.2">
      <c r="A73" s="249" t="s">
        <v>2308</v>
      </c>
      <c r="B73" s="252" t="s">
        <v>1075</v>
      </c>
      <c r="C73" s="252" t="s">
        <v>3348</v>
      </c>
      <c r="D73" s="253">
        <v>0</v>
      </c>
      <c r="E73" s="253">
        <v>0</v>
      </c>
      <c r="F73" s="253">
        <v>196343.73</v>
      </c>
      <c r="G73" s="546">
        <f t="shared" si="0"/>
        <v>196343.73</v>
      </c>
      <c r="H73" s="254">
        <v>0</v>
      </c>
      <c r="I73" s="254">
        <v>0</v>
      </c>
      <c r="J73" s="254">
        <v>0</v>
      </c>
      <c r="K73" s="260">
        <f t="shared" si="5"/>
        <v>0</v>
      </c>
      <c r="L73" s="260">
        <f t="shared" si="6"/>
        <v>0</v>
      </c>
      <c r="M73" s="260">
        <f t="shared" si="7"/>
        <v>196343.73</v>
      </c>
      <c r="N73" s="255">
        <f t="shared" si="4"/>
        <v>0</v>
      </c>
      <c r="O73" s="252" t="s">
        <v>3327</v>
      </c>
      <c r="P73" s="252"/>
      <c r="Q73" s="258">
        <f>SUMIF('Antelope Bailey Split BA'!$B$7:$B$29,B73,'Antelope Bailey Split BA'!$C$7:$C$29)</f>
        <v>0</v>
      </c>
      <c r="R73" s="258" t="str">
        <f>IF(AND(Q73=1,'Plant Total by Account'!$J$1=2),"EKWRA","")</f>
        <v/>
      </c>
    </row>
    <row r="74" spans="1:18" ht="12.75" customHeight="1" x14ac:dyDescent="0.2">
      <c r="A74" s="249" t="s">
        <v>126</v>
      </c>
      <c r="B74" s="252" t="s">
        <v>893</v>
      </c>
      <c r="C74" s="252" t="s">
        <v>3354</v>
      </c>
      <c r="D74" s="253">
        <v>0</v>
      </c>
      <c r="E74" s="253">
        <v>317627.03000000003</v>
      </c>
      <c r="F74" s="253">
        <v>5817879.2800000021</v>
      </c>
      <c r="G74" s="546">
        <f t="shared" ref="G74:G137" si="8">SUM(D74:F74)</f>
        <v>6135506.3100000024</v>
      </c>
      <c r="H74" s="254">
        <v>0</v>
      </c>
      <c r="I74" s="254">
        <v>0</v>
      </c>
      <c r="J74" s="254">
        <v>0</v>
      </c>
      <c r="K74" s="260">
        <f t="shared" si="5"/>
        <v>0</v>
      </c>
      <c r="L74" s="260">
        <f t="shared" si="6"/>
        <v>317627.03000000003</v>
      </c>
      <c r="M74" s="260">
        <f t="shared" si="7"/>
        <v>5817879.2800000021</v>
      </c>
      <c r="N74" s="255">
        <f t="shared" ref="N74:N137" si="9">G74-SUM(H74:M74)</f>
        <v>0</v>
      </c>
      <c r="O74" s="252" t="s">
        <v>3327</v>
      </c>
      <c r="P74" s="252"/>
      <c r="Q74" s="258">
        <f>SUMIF('Antelope Bailey Split BA'!$B$7:$B$29,B74,'Antelope Bailey Split BA'!$C$7:$C$29)</f>
        <v>0</v>
      </c>
      <c r="R74" s="258" t="str">
        <f>IF(AND(Q74=1,'Plant Total by Account'!$J$1=2),"EKWRA","")</f>
        <v/>
      </c>
    </row>
    <row r="75" spans="1:18" ht="12.75" customHeight="1" x14ac:dyDescent="0.2">
      <c r="A75" s="249" t="s">
        <v>2309</v>
      </c>
      <c r="B75" s="252" t="s">
        <v>150</v>
      </c>
      <c r="C75" s="252" t="s">
        <v>3348</v>
      </c>
      <c r="D75" s="253">
        <v>0</v>
      </c>
      <c r="E75" s="253">
        <v>0</v>
      </c>
      <c r="F75" s="253">
        <v>120052.25000000001</v>
      </c>
      <c r="G75" s="546">
        <f t="shared" si="8"/>
        <v>120052.25000000001</v>
      </c>
      <c r="H75" s="254">
        <v>0</v>
      </c>
      <c r="I75" s="254">
        <v>0</v>
      </c>
      <c r="J75" s="254">
        <v>0</v>
      </c>
      <c r="K75" s="260">
        <f t="shared" si="5"/>
        <v>0</v>
      </c>
      <c r="L75" s="260">
        <f t="shared" si="6"/>
        <v>0</v>
      </c>
      <c r="M75" s="260">
        <f t="shared" si="7"/>
        <v>120052.25000000001</v>
      </c>
      <c r="N75" s="255">
        <f t="shared" si="9"/>
        <v>0</v>
      </c>
      <c r="O75" s="252" t="s">
        <v>3327</v>
      </c>
      <c r="P75" s="252"/>
      <c r="Q75" s="258">
        <f>SUMIF('Antelope Bailey Split BA'!$B$7:$B$29,B75,'Antelope Bailey Split BA'!$C$7:$C$29)</f>
        <v>0</v>
      </c>
      <c r="R75" s="258" t="str">
        <f>IF(AND(Q75=1,'Plant Total by Account'!$J$1=2),"EKWRA","")</f>
        <v/>
      </c>
    </row>
    <row r="76" spans="1:18" ht="12.75" customHeight="1" x14ac:dyDescent="0.2">
      <c r="A76" s="249" t="s">
        <v>2310</v>
      </c>
      <c r="B76" s="252" t="s">
        <v>1076</v>
      </c>
      <c r="C76" s="252" t="s">
        <v>3348</v>
      </c>
      <c r="D76" s="253">
        <v>0</v>
      </c>
      <c r="E76" s="253">
        <v>0</v>
      </c>
      <c r="F76" s="253">
        <v>175911.85</v>
      </c>
      <c r="G76" s="546">
        <f t="shared" si="8"/>
        <v>175911.85</v>
      </c>
      <c r="H76" s="254">
        <v>0</v>
      </c>
      <c r="I76" s="254">
        <v>0</v>
      </c>
      <c r="J76" s="254">
        <v>0</v>
      </c>
      <c r="K76" s="260">
        <f t="shared" si="5"/>
        <v>0</v>
      </c>
      <c r="L76" s="260">
        <f t="shared" si="6"/>
        <v>0</v>
      </c>
      <c r="M76" s="260">
        <f t="shared" si="7"/>
        <v>175911.85</v>
      </c>
      <c r="N76" s="255">
        <f t="shared" si="9"/>
        <v>0</v>
      </c>
      <c r="O76" s="252" t="s">
        <v>3327</v>
      </c>
      <c r="P76" s="252"/>
      <c r="Q76" s="258">
        <f>SUMIF('Antelope Bailey Split BA'!$B$7:$B$29,B76,'Antelope Bailey Split BA'!$C$7:$C$29)</f>
        <v>0</v>
      </c>
      <c r="R76" s="258" t="str">
        <f>IF(AND(Q76=1,'Plant Total by Account'!$J$1=2),"EKWRA","")</f>
        <v/>
      </c>
    </row>
    <row r="77" spans="1:18" ht="12.75" customHeight="1" x14ac:dyDescent="0.2">
      <c r="A77" s="249" t="s">
        <v>2311</v>
      </c>
      <c r="B77" s="252" t="s">
        <v>151</v>
      </c>
      <c r="C77" s="252" t="s">
        <v>3354</v>
      </c>
      <c r="D77" s="253">
        <v>0</v>
      </c>
      <c r="E77" s="253">
        <v>0</v>
      </c>
      <c r="F77" s="253">
        <v>60796.74</v>
      </c>
      <c r="G77" s="546">
        <f t="shared" si="8"/>
        <v>60796.74</v>
      </c>
      <c r="H77" s="254">
        <v>0</v>
      </c>
      <c r="I77" s="254">
        <v>0</v>
      </c>
      <c r="J77" s="254">
        <v>0</v>
      </c>
      <c r="K77" s="260">
        <f t="shared" si="5"/>
        <v>0</v>
      </c>
      <c r="L77" s="260">
        <f t="shared" si="6"/>
        <v>0</v>
      </c>
      <c r="M77" s="260">
        <f t="shared" si="7"/>
        <v>60796.74</v>
      </c>
      <c r="N77" s="255">
        <f t="shared" si="9"/>
        <v>0</v>
      </c>
      <c r="O77" s="252" t="s">
        <v>3327</v>
      </c>
      <c r="P77" s="252"/>
      <c r="Q77" s="258">
        <f>SUMIF('Antelope Bailey Split BA'!$B$7:$B$29,B77,'Antelope Bailey Split BA'!$C$7:$C$29)</f>
        <v>0</v>
      </c>
      <c r="R77" s="258" t="str">
        <f>IF(AND(Q77=1,'Plant Total by Account'!$J$1=2),"EKWRA","")</f>
        <v/>
      </c>
    </row>
    <row r="78" spans="1:18" ht="12.75" customHeight="1" x14ac:dyDescent="0.2">
      <c r="A78" s="249" t="s">
        <v>2312</v>
      </c>
      <c r="B78" s="252" t="s">
        <v>152</v>
      </c>
      <c r="C78" s="252" t="s">
        <v>3354</v>
      </c>
      <c r="D78" s="253">
        <v>0</v>
      </c>
      <c r="E78" s="253">
        <v>0</v>
      </c>
      <c r="F78" s="253">
        <v>1841376.7200000002</v>
      </c>
      <c r="G78" s="546">
        <f t="shared" si="8"/>
        <v>1841376.7200000002</v>
      </c>
      <c r="H78" s="254">
        <v>0</v>
      </c>
      <c r="I78" s="254">
        <v>0</v>
      </c>
      <c r="J78" s="254">
        <v>0</v>
      </c>
      <c r="K78" s="260">
        <f t="shared" si="5"/>
        <v>0</v>
      </c>
      <c r="L78" s="260">
        <f t="shared" si="6"/>
        <v>0</v>
      </c>
      <c r="M78" s="260">
        <f t="shared" si="7"/>
        <v>1841376.7200000002</v>
      </c>
      <c r="N78" s="255">
        <f t="shared" si="9"/>
        <v>0</v>
      </c>
      <c r="O78" s="252" t="s">
        <v>3327</v>
      </c>
      <c r="P78" s="252"/>
      <c r="Q78" s="258">
        <f>SUMIF('Antelope Bailey Split BA'!$B$7:$B$29,B78,'Antelope Bailey Split BA'!$C$7:$C$29)</f>
        <v>0</v>
      </c>
      <c r="R78" s="258" t="str">
        <f>IF(AND(Q78=1,'Plant Total by Account'!$J$1=2),"EKWRA","")</f>
        <v/>
      </c>
    </row>
    <row r="79" spans="1:18" ht="12.75" customHeight="1" x14ac:dyDescent="0.2">
      <c r="A79" s="249" t="s">
        <v>2313</v>
      </c>
      <c r="B79" s="252" t="s">
        <v>153</v>
      </c>
      <c r="C79" s="252" t="s">
        <v>3354</v>
      </c>
      <c r="D79" s="253">
        <v>0</v>
      </c>
      <c r="E79" s="253">
        <v>0</v>
      </c>
      <c r="F79" s="253">
        <v>88568.63</v>
      </c>
      <c r="G79" s="546">
        <f t="shared" si="8"/>
        <v>88568.63</v>
      </c>
      <c r="H79" s="254">
        <v>0</v>
      </c>
      <c r="I79" s="254">
        <v>0</v>
      </c>
      <c r="J79" s="254">
        <v>0</v>
      </c>
      <c r="K79" s="260">
        <f t="shared" si="5"/>
        <v>0</v>
      </c>
      <c r="L79" s="260">
        <f t="shared" si="6"/>
        <v>0</v>
      </c>
      <c r="M79" s="260">
        <f t="shared" si="7"/>
        <v>88568.63</v>
      </c>
      <c r="N79" s="255">
        <f t="shared" si="9"/>
        <v>0</v>
      </c>
      <c r="O79" s="252" t="s">
        <v>3327</v>
      </c>
      <c r="P79" s="252"/>
      <c r="Q79" s="258">
        <f>SUMIF('Antelope Bailey Split BA'!$B$7:$B$29,B79,'Antelope Bailey Split BA'!$C$7:$C$29)</f>
        <v>0</v>
      </c>
      <c r="R79" s="258" t="str">
        <f>IF(AND(Q79=1,'Plant Total by Account'!$J$1=2),"EKWRA","")</f>
        <v/>
      </c>
    </row>
    <row r="80" spans="1:18" ht="12.75" customHeight="1" x14ac:dyDescent="0.2">
      <c r="A80" s="249" t="s">
        <v>2314</v>
      </c>
      <c r="B80" s="252" t="s">
        <v>1077</v>
      </c>
      <c r="C80" s="252" t="s">
        <v>3354</v>
      </c>
      <c r="D80" s="253">
        <v>0</v>
      </c>
      <c r="E80" s="253">
        <v>0</v>
      </c>
      <c r="F80" s="253">
        <v>43037.46</v>
      </c>
      <c r="G80" s="546">
        <f t="shared" si="8"/>
        <v>43037.46</v>
      </c>
      <c r="H80" s="254">
        <v>0</v>
      </c>
      <c r="I80" s="254">
        <v>0</v>
      </c>
      <c r="J80" s="254">
        <v>0</v>
      </c>
      <c r="K80" s="260">
        <f t="shared" si="5"/>
        <v>0</v>
      </c>
      <c r="L80" s="260">
        <f t="shared" si="6"/>
        <v>0</v>
      </c>
      <c r="M80" s="260">
        <f t="shared" si="7"/>
        <v>43037.46</v>
      </c>
      <c r="N80" s="255">
        <f t="shared" si="9"/>
        <v>0</v>
      </c>
      <c r="O80" s="252" t="s">
        <v>3327</v>
      </c>
      <c r="P80" s="252"/>
      <c r="Q80" s="258">
        <f>SUMIF('Antelope Bailey Split BA'!$B$7:$B$29,B80,'Antelope Bailey Split BA'!$C$7:$C$29)</f>
        <v>0</v>
      </c>
      <c r="R80" s="258" t="str">
        <f>IF(AND(Q80=1,'Plant Total by Account'!$J$1=2),"EKWRA","")</f>
        <v/>
      </c>
    </row>
    <row r="81" spans="1:18" ht="12.75" customHeight="1" x14ac:dyDescent="0.2">
      <c r="A81" s="249" t="s">
        <v>2315</v>
      </c>
      <c r="B81" s="252" t="s">
        <v>1078</v>
      </c>
      <c r="C81" s="252" t="s">
        <v>3354</v>
      </c>
      <c r="D81" s="253">
        <v>0</v>
      </c>
      <c r="E81" s="253">
        <v>0</v>
      </c>
      <c r="F81" s="253">
        <v>39097.75</v>
      </c>
      <c r="G81" s="546">
        <f t="shared" si="8"/>
        <v>39097.75</v>
      </c>
      <c r="H81" s="254">
        <v>0</v>
      </c>
      <c r="I81" s="254">
        <v>0</v>
      </c>
      <c r="J81" s="254">
        <v>0</v>
      </c>
      <c r="K81" s="260">
        <f t="shared" si="5"/>
        <v>0</v>
      </c>
      <c r="L81" s="260">
        <f t="shared" si="6"/>
        <v>0</v>
      </c>
      <c r="M81" s="260">
        <f t="shared" si="7"/>
        <v>39097.75</v>
      </c>
      <c r="N81" s="255">
        <f t="shared" si="9"/>
        <v>0</v>
      </c>
      <c r="O81" s="252" t="s">
        <v>3327</v>
      </c>
      <c r="P81" s="252"/>
      <c r="Q81" s="258">
        <f>SUMIF('Antelope Bailey Split BA'!$B$7:$B$29,B81,'Antelope Bailey Split BA'!$C$7:$C$29)</f>
        <v>0</v>
      </c>
      <c r="R81" s="258" t="str">
        <f>IF(AND(Q81=1,'Plant Total by Account'!$J$1=2),"EKWRA","")</f>
        <v/>
      </c>
    </row>
    <row r="82" spans="1:18" ht="12.75" customHeight="1" x14ac:dyDescent="0.2">
      <c r="A82" s="249" t="s">
        <v>1883</v>
      </c>
      <c r="B82" s="252" t="s">
        <v>1079</v>
      </c>
      <c r="C82" s="252" t="s">
        <v>3354</v>
      </c>
      <c r="D82" s="253">
        <v>0</v>
      </c>
      <c r="E82" s="253">
        <v>1342.64</v>
      </c>
      <c r="F82" s="253">
        <v>12150.29</v>
      </c>
      <c r="G82" s="546">
        <f t="shared" si="8"/>
        <v>13492.93</v>
      </c>
      <c r="H82" s="254">
        <v>0</v>
      </c>
      <c r="I82" s="254">
        <v>0</v>
      </c>
      <c r="J82" s="254">
        <v>0</v>
      </c>
      <c r="K82" s="260">
        <f t="shared" si="5"/>
        <v>0</v>
      </c>
      <c r="L82" s="260">
        <f t="shared" si="6"/>
        <v>1342.64</v>
      </c>
      <c r="M82" s="260">
        <f t="shared" si="7"/>
        <v>12150.29</v>
      </c>
      <c r="N82" s="255">
        <f t="shared" si="9"/>
        <v>0</v>
      </c>
      <c r="O82" s="252" t="s">
        <v>3327</v>
      </c>
      <c r="P82" s="252"/>
      <c r="Q82" s="258">
        <f>SUMIF('Antelope Bailey Split BA'!$B$7:$B$29,B82,'Antelope Bailey Split BA'!$C$7:$C$29)</f>
        <v>0</v>
      </c>
      <c r="R82" s="258" t="str">
        <f>IF(AND(Q82=1,'Plant Total by Account'!$J$1=2),"EKWRA","")</f>
        <v/>
      </c>
    </row>
    <row r="83" spans="1:18" ht="12.75" customHeight="1" x14ac:dyDescent="0.2">
      <c r="A83" s="249" t="s">
        <v>2317</v>
      </c>
      <c r="B83" s="252" t="s">
        <v>154</v>
      </c>
      <c r="C83" s="252" t="s">
        <v>3348</v>
      </c>
      <c r="D83" s="253">
        <v>2118.52</v>
      </c>
      <c r="E83" s="253">
        <v>290687.31</v>
      </c>
      <c r="F83" s="253">
        <v>3525578.1599999997</v>
      </c>
      <c r="G83" s="546">
        <f t="shared" si="8"/>
        <v>3818383.9899999998</v>
      </c>
      <c r="H83" s="254">
        <v>0</v>
      </c>
      <c r="I83" s="254">
        <v>0</v>
      </c>
      <c r="J83" s="254">
        <v>0</v>
      </c>
      <c r="K83" s="260">
        <f t="shared" si="5"/>
        <v>2118.52</v>
      </c>
      <c r="L83" s="260">
        <f t="shared" si="6"/>
        <v>290687.31</v>
      </c>
      <c r="M83" s="260">
        <f t="shared" si="7"/>
        <v>3525578.1599999997</v>
      </c>
      <c r="N83" s="255">
        <f t="shared" si="9"/>
        <v>0</v>
      </c>
      <c r="O83" s="252" t="s">
        <v>3327</v>
      </c>
      <c r="P83" s="252"/>
      <c r="Q83" s="258">
        <f>SUMIF('Antelope Bailey Split BA'!$B$7:$B$29,B83,'Antelope Bailey Split BA'!$C$7:$C$29)</f>
        <v>0</v>
      </c>
      <c r="R83" s="258" t="str">
        <f>IF(AND(Q83=1,'Plant Total by Account'!$J$1=2),"EKWRA","")</f>
        <v/>
      </c>
    </row>
    <row r="84" spans="1:18" ht="12.75" customHeight="1" x14ac:dyDescent="0.2">
      <c r="A84" s="249" t="s">
        <v>2318</v>
      </c>
      <c r="B84" s="252" t="s">
        <v>155</v>
      </c>
      <c r="C84" s="252" t="s">
        <v>3348</v>
      </c>
      <c r="D84" s="253">
        <v>343.51</v>
      </c>
      <c r="E84" s="253">
        <v>250528.12999999998</v>
      </c>
      <c r="F84" s="253">
        <v>2072017.9399999997</v>
      </c>
      <c r="G84" s="546">
        <f t="shared" si="8"/>
        <v>2322889.5799999996</v>
      </c>
      <c r="H84" s="254">
        <v>0</v>
      </c>
      <c r="I84" s="254">
        <v>0</v>
      </c>
      <c r="J84" s="254">
        <v>0</v>
      </c>
      <c r="K84" s="260">
        <f t="shared" si="5"/>
        <v>343.51</v>
      </c>
      <c r="L84" s="260">
        <f t="shared" si="6"/>
        <v>250528.12999999998</v>
      </c>
      <c r="M84" s="260">
        <f t="shared" si="7"/>
        <v>2072017.9399999997</v>
      </c>
      <c r="N84" s="255">
        <f t="shared" si="9"/>
        <v>0</v>
      </c>
      <c r="O84" s="252" t="s">
        <v>3327</v>
      </c>
      <c r="P84" s="252"/>
      <c r="Q84" s="258">
        <f>SUMIF('Antelope Bailey Split BA'!$B$7:$B$29,B84,'Antelope Bailey Split BA'!$C$7:$C$29)</f>
        <v>0</v>
      </c>
      <c r="R84" s="258" t="str">
        <f>IF(AND(Q84=1,'Plant Total by Account'!$J$1=2),"EKWRA","")</f>
        <v/>
      </c>
    </row>
    <row r="85" spans="1:18" ht="12.75" customHeight="1" x14ac:dyDescent="0.2">
      <c r="A85" s="249" t="s">
        <v>2320</v>
      </c>
      <c r="B85" s="252" t="s">
        <v>1081</v>
      </c>
      <c r="C85" s="252" t="s">
        <v>3348</v>
      </c>
      <c r="D85" s="253">
        <v>0</v>
      </c>
      <c r="E85" s="253">
        <v>100771.55000000002</v>
      </c>
      <c r="F85" s="253">
        <v>1046644.6199999998</v>
      </c>
      <c r="G85" s="546">
        <f t="shared" si="8"/>
        <v>1147416.1699999997</v>
      </c>
      <c r="H85" s="254">
        <v>0</v>
      </c>
      <c r="I85" s="254">
        <v>0</v>
      </c>
      <c r="J85" s="254">
        <v>0</v>
      </c>
      <c r="K85" s="260">
        <f t="shared" si="5"/>
        <v>0</v>
      </c>
      <c r="L85" s="260">
        <f t="shared" si="6"/>
        <v>100771.55000000002</v>
      </c>
      <c r="M85" s="260">
        <f t="shared" si="7"/>
        <v>1046644.6199999998</v>
      </c>
      <c r="N85" s="255">
        <f t="shared" si="9"/>
        <v>0</v>
      </c>
      <c r="O85" s="252" t="s">
        <v>3327</v>
      </c>
      <c r="P85" s="252"/>
      <c r="Q85" s="258">
        <f>SUMIF('Antelope Bailey Split BA'!$B$7:$B$29,B85,'Antelope Bailey Split BA'!$C$7:$C$29)</f>
        <v>0</v>
      </c>
      <c r="R85" s="258" t="str">
        <f>IF(AND(Q85=1,'Plant Total by Account'!$J$1=2),"EKWRA","")</f>
        <v/>
      </c>
    </row>
    <row r="86" spans="1:18" ht="12.75" customHeight="1" x14ac:dyDescent="0.2">
      <c r="A86" s="249" t="s">
        <v>2321</v>
      </c>
      <c r="B86" s="252" t="s">
        <v>158</v>
      </c>
      <c r="C86" s="252" t="s">
        <v>3354</v>
      </c>
      <c r="D86" s="253">
        <v>5433.16</v>
      </c>
      <c r="E86" s="253">
        <v>0</v>
      </c>
      <c r="F86" s="253">
        <v>631783.46999999986</v>
      </c>
      <c r="G86" s="546">
        <f t="shared" si="8"/>
        <v>637216.62999999989</v>
      </c>
      <c r="H86" s="254">
        <v>0</v>
      </c>
      <c r="I86" s="254">
        <v>0</v>
      </c>
      <c r="J86" s="254">
        <v>0</v>
      </c>
      <c r="K86" s="260">
        <f t="shared" si="5"/>
        <v>5433.16</v>
      </c>
      <c r="L86" s="260">
        <f t="shared" si="6"/>
        <v>0</v>
      </c>
      <c r="M86" s="260">
        <f t="shared" si="7"/>
        <v>631783.46999999986</v>
      </c>
      <c r="N86" s="255">
        <f t="shared" si="9"/>
        <v>0</v>
      </c>
      <c r="O86" s="252" t="s">
        <v>3327</v>
      </c>
      <c r="P86" s="252"/>
      <c r="Q86" s="258">
        <f>SUMIF('Antelope Bailey Split BA'!$B$7:$B$29,B86,'Antelope Bailey Split BA'!$C$7:$C$29)</f>
        <v>0</v>
      </c>
      <c r="R86" s="258" t="str">
        <f>IF(AND(Q86=1,'Plant Total by Account'!$J$1=2),"EKWRA","")</f>
        <v/>
      </c>
    </row>
    <row r="87" spans="1:18" ht="12.75" customHeight="1" x14ac:dyDescent="0.2">
      <c r="A87" s="249" t="s">
        <v>2322</v>
      </c>
      <c r="B87" s="252" t="s">
        <v>162</v>
      </c>
      <c r="C87" s="252" t="s">
        <v>3354</v>
      </c>
      <c r="D87" s="253">
        <v>0</v>
      </c>
      <c r="E87" s="253">
        <v>0</v>
      </c>
      <c r="F87" s="253">
        <v>-229.70000000000002</v>
      </c>
      <c r="G87" s="546">
        <f t="shared" si="8"/>
        <v>-229.70000000000002</v>
      </c>
      <c r="H87" s="254">
        <v>0</v>
      </c>
      <c r="I87" s="254">
        <v>0</v>
      </c>
      <c r="J87" s="254">
        <v>0</v>
      </c>
      <c r="K87" s="260">
        <f t="shared" si="5"/>
        <v>0</v>
      </c>
      <c r="L87" s="260">
        <f t="shared" si="6"/>
        <v>0</v>
      </c>
      <c r="M87" s="260">
        <f t="shared" si="7"/>
        <v>-229.70000000000002</v>
      </c>
      <c r="N87" s="255">
        <f t="shared" si="9"/>
        <v>0</v>
      </c>
      <c r="O87" s="252" t="s">
        <v>3327</v>
      </c>
      <c r="P87" s="252"/>
      <c r="Q87" s="258">
        <f>SUMIF('Antelope Bailey Split BA'!$B$7:$B$29,B87,'Antelope Bailey Split BA'!$C$7:$C$29)</f>
        <v>0</v>
      </c>
      <c r="R87" s="258" t="str">
        <f>IF(AND(Q87=1,'Plant Total by Account'!$J$1=2),"EKWRA","")</f>
        <v/>
      </c>
    </row>
    <row r="88" spans="1:18" ht="12.75" customHeight="1" x14ac:dyDescent="0.2">
      <c r="A88" s="249" t="s">
        <v>1891</v>
      </c>
      <c r="B88" s="252" t="s">
        <v>1082</v>
      </c>
      <c r="C88" s="252" t="s">
        <v>3352</v>
      </c>
      <c r="D88" s="253">
        <v>714.16</v>
      </c>
      <c r="E88" s="253">
        <v>0</v>
      </c>
      <c r="F88" s="253">
        <v>0</v>
      </c>
      <c r="G88" s="546">
        <f t="shared" si="8"/>
        <v>714.16</v>
      </c>
      <c r="H88" s="254">
        <v>0</v>
      </c>
      <c r="I88" s="254">
        <v>0</v>
      </c>
      <c r="J88" s="254">
        <v>0</v>
      </c>
      <c r="K88" s="260">
        <f t="shared" si="5"/>
        <v>714.16</v>
      </c>
      <c r="L88" s="260">
        <f t="shared" si="6"/>
        <v>0</v>
      </c>
      <c r="M88" s="260">
        <f t="shared" si="7"/>
        <v>0</v>
      </c>
      <c r="N88" s="255">
        <f t="shared" si="9"/>
        <v>0</v>
      </c>
      <c r="O88" s="252" t="s">
        <v>3327</v>
      </c>
      <c r="P88" s="252"/>
      <c r="Q88" s="258">
        <f>SUMIF('Antelope Bailey Split BA'!$B$7:$B$29,B88,'Antelope Bailey Split BA'!$C$7:$C$29)</f>
        <v>0</v>
      </c>
      <c r="R88" s="258" t="str">
        <f>IF(AND(Q88=1,'Plant Total by Account'!$J$1=2),"EKWRA","")</f>
        <v/>
      </c>
    </row>
    <row r="89" spans="1:18" ht="12.75" customHeight="1" x14ac:dyDescent="0.2">
      <c r="A89" s="249" t="s">
        <v>2353</v>
      </c>
      <c r="B89" s="252" t="s">
        <v>1118</v>
      </c>
      <c r="C89" s="252" t="s">
        <v>3350</v>
      </c>
      <c r="D89" s="253">
        <v>0</v>
      </c>
      <c r="E89" s="253">
        <v>0</v>
      </c>
      <c r="F89" s="253">
        <v>15138.34</v>
      </c>
      <c r="G89" s="546">
        <f t="shared" si="8"/>
        <v>15138.34</v>
      </c>
      <c r="H89" s="254">
        <v>0</v>
      </c>
      <c r="I89" s="254">
        <v>0</v>
      </c>
      <c r="J89" s="254">
        <v>0</v>
      </c>
      <c r="K89" s="260">
        <f t="shared" si="5"/>
        <v>0</v>
      </c>
      <c r="L89" s="260">
        <f t="shared" si="6"/>
        <v>0</v>
      </c>
      <c r="M89" s="260">
        <f t="shared" si="7"/>
        <v>15138.34</v>
      </c>
      <c r="N89" s="255">
        <f t="shared" si="9"/>
        <v>0</v>
      </c>
      <c r="O89" s="252" t="s">
        <v>3327</v>
      </c>
      <c r="P89" s="252"/>
      <c r="Q89" s="258">
        <f>SUMIF('Antelope Bailey Split BA'!$B$7:$B$29,B89,'Antelope Bailey Split BA'!$C$7:$C$29)</f>
        <v>0</v>
      </c>
      <c r="R89" s="258" t="str">
        <f>IF(AND(Q89=1,'Plant Total by Account'!$J$1=2),"EKWRA","")</f>
        <v/>
      </c>
    </row>
    <row r="90" spans="1:18" ht="12.75" customHeight="1" x14ac:dyDescent="0.2">
      <c r="A90" s="249" t="s">
        <v>2356</v>
      </c>
      <c r="B90" s="252" t="s">
        <v>1121</v>
      </c>
      <c r="C90" s="252" t="s">
        <v>3350</v>
      </c>
      <c r="D90" s="253">
        <v>0</v>
      </c>
      <c r="E90" s="253">
        <v>0</v>
      </c>
      <c r="F90" s="253">
        <v>963824.40999999992</v>
      </c>
      <c r="G90" s="546">
        <f t="shared" si="8"/>
        <v>963824.40999999992</v>
      </c>
      <c r="H90" s="254">
        <v>0</v>
      </c>
      <c r="I90" s="254">
        <v>0</v>
      </c>
      <c r="J90" s="254">
        <v>0</v>
      </c>
      <c r="K90" s="260">
        <f t="shared" si="5"/>
        <v>0</v>
      </c>
      <c r="L90" s="260">
        <f t="shared" si="6"/>
        <v>0</v>
      </c>
      <c r="M90" s="260">
        <f t="shared" si="7"/>
        <v>963824.40999999992</v>
      </c>
      <c r="N90" s="255">
        <f t="shared" si="9"/>
        <v>0</v>
      </c>
      <c r="O90" s="252" t="s">
        <v>3327</v>
      </c>
      <c r="P90" s="252"/>
      <c r="Q90" s="258">
        <f>SUMIF('Antelope Bailey Split BA'!$B$7:$B$29,B90,'Antelope Bailey Split BA'!$C$7:$C$29)</f>
        <v>0</v>
      </c>
      <c r="R90" s="258" t="str">
        <f>IF(AND(Q90=1,'Plant Total by Account'!$J$1=2),"EKWRA","")</f>
        <v/>
      </c>
    </row>
    <row r="91" spans="1:18" ht="12.75" customHeight="1" x14ac:dyDescent="0.2">
      <c r="A91" s="249" t="s">
        <v>2372</v>
      </c>
      <c r="B91" s="252" t="s">
        <v>1136</v>
      </c>
      <c r="C91" s="252"/>
      <c r="D91" s="253">
        <v>48136.399999999994</v>
      </c>
      <c r="E91" s="253">
        <v>156226.73000000001</v>
      </c>
      <c r="F91" s="253">
        <v>3162424.0700000012</v>
      </c>
      <c r="G91" s="546">
        <f t="shared" si="8"/>
        <v>3366787.2000000011</v>
      </c>
      <c r="H91" s="254">
        <v>0</v>
      </c>
      <c r="I91" s="254">
        <v>0</v>
      </c>
      <c r="J91" s="254">
        <v>0</v>
      </c>
      <c r="K91" s="260">
        <f t="shared" si="5"/>
        <v>48136.399999999994</v>
      </c>
      <c r="L91" s="260">
        <f t="shared" si="6"/>
        <v>156226.73000000001</v>
      </c>
      <c r="M91" s="260">
        <f t="shared" si="7"/>
        <v>3162424.0700000012</v>
      </c>
      <c r="N91" s="255">
        <f t="shared" si="9"/>
        <v>0</v>
      </c>
      <c r="O91" s="252" t="s">
        <v>3327</v>
      </c>
      <c r="P91" s="252"/>
      <c r="Q91" s="258">
        <f>SUMIF('Antelope Bailey Split BA'!$B$7:$B$29,B91,'Antelope Bailey Split BA'!$C$7:$C$29)</f>
        <v>0</v>
      </c>
      <c r="R91" s="258" t="str">
        <f>IF(AND(Q91=1,'Plant Total by Account'!$J$1=2),"EKWRA","")</f>
        <v/>
      </c>
    </row>
    <row r="92" spans="1:18" ht="12.75" customHeight="1" x14ac:dyDescent="0.2">
      <c r="A92" s="249" t="s">
        <v>1925</v>
      </c>
      <c r="B92" s="252" t="s">
        <v>1139</v>
      </c>
      <c r="C92" s="252" t="s">
        <v>3350</v>
      </c>
      <c r="D92" s="253">
        <v>158170.01999999999</v>
      </c>
      <c r="E92" s="253">
        <v>34482.550000000003</v>
      </c>
      <c r="F92" s="253">
        <v>5075770.3000000007</v>
      </c>
      <c r="G92" s="546">
        <f t="shared" si="8"/>
        <v>5268422.870000001</v>
      </c>
      <c r="H92" s="254">
        <v>0</v>
      </c>
      <c r="I92" s="254">
        <v>0</v>
      </c>
      <c r="J92" s="254">
        <v>0</v>
      </c>
      <c r="K92" s="254">
        <f t="shared" si="5"/>
        <v>158170.01999999999</v>
      </c>
      <c r="L92" s="254">
        <f t="shared" si="6"/>
        <v>34482.550000000003</v>
      </c>
      <c r="M92" s="254">
        <f t="shared" si="7"/>
        <v>5075770.3000000007</v>
      </c>
      <c r="N92" s="255">
        <f t="shared" si="9"/>
        <v>0</v>
      </c>
      <c r="O92" s="252" t="s">
        <v>3327</v>
      </c>
      <c r="P92" s="252"/>
      <c r="Q92" s="258">
        <f>SUMIF('Antelope Bailey Split BA'!$B$7:$B$29,B92,'Antelope Bailey Split BA'!$C$7:$C$29)</f>
        <v>0</v>
      </c>
      <c r="R92" s="258" t="str">
        <f>IF(AND(Q92=1,'Plant Total by Account'!$J$1=2),"EKWRA","")</f>
        <v/>
      </c>
    </row>
    <row r="93" spans="1:18" ht="12.75" customHeight="1" x14ac:dyDescent="0.2">
      <c r="A93" s="249" t="s">
        <v>2376</v>
      </c>
      <c r="B93" s="252" t="s">
        <v>1141</v>
      </c>
      <c r="C93" s="252" t="s">
        <v>3353</v>
      </c>
      <c r="D93" s="253">
        <v>13373.230000000001</v>
      </c>
      <c r="E93" s="253">
        <v>1440369.0799999998</v>
      </c>
      <c r="F93" s="253">
        <v>28242896.400000002</v>
      </c>
      <c r="G93" s="546">
        <f t="shared" si="8"/>
        <v>29696638.710000001</v>
      </c>
      <c r="H93" s="254">
        <v>0</v>
      </c>
      <c r="I93" s="254">
        <v>0</v>
      </c>
      <c r="J93" s="254">
        <v>0</v>
      </c>
      <c r="K93" s="260">
        <f t="shared" si="5"/>
        <v>13373.230000000001</v>
      </c>
      <c r="L93" s="260">
        <f t="shared" si="6"/>
        <v>1440369.0799999998</v>
      </c>
      <c r="M93" s="260">
        <f t="shared" si="7"/>
        <v>28242896.400000002</v>
      </c>
      <c r="N93" s="255">
        <f t="shared" si="9"/>
        <v>0</v>
      </c>
      <c r="O93" s="252" t="s">
        <v>3327</v>
      </c>
      <c r="P93" s="252"/>
      <c r="Q93" s="258">
        <f>SUMIF('Antelope Bailey Split BA'!$B$7:$B$29,B93,'Antelope Bailey Split BA'!$C$7:$C$29)</f>
        <v>0</v>
      </c>
      <c r="R93" s="258" t="str">
        <f>IF(AND(Q93=1,'Plant Total by Account'!$J$1=2),"EKWRA","")</f>
        <v/>
      </c>
    </row>
    <row r="94" spans="1:18" ht="12.75" customHeight="1" x14ac:dyDescent="0.2">
      <c r="A94" s="249" t="s">
        <v>2389</v>
      </c>
      <c r="B94" s="252" t="s">
        <v>1152</v>
      </c>
      <c r="C94" s="252" t="s">
        <v>3350</v>
      </c>
      <c r="D94" s="253">
        <v>0</v>
      </c>
      <c r="E94" s="253">
        <v>0</v>
      </c>
      <c r="F94" s="253">
        <v>1335378.4800000002</v>
      </c>
      <c r="G94" s="546">
        <f t="shared" si="8"/>
        <v>1335378.4800000002</v>
      </c>
      <c r="H94" s="254">
        <v>0</v>
      </c>
      <c r="I94" s="254">
        <v>0</v>
      </c>
      <c r="J94" s="254">
        <v>0</v>
      </c>
      <c r="K94" s="260">
        <f t="shared" si="5"/>
        <v>0</v>
      </c>
      <c r="L94" s="260">
        <f t="shared" si="6"/>
        <v>0</v>
      </c>
      <c r="M94" s="260">
        <f t="shared" si="7"/>
        <v>1335378.4800000002</v>
      </c>
      <c r="N94" s="255">
        <f t="shared" si="9"/>
        <v>0</v>
      </c>
      <c r="O94" s="252" t="s">
        <v>3327</v>
      </c>
      <c r="P94" s="252"/>
      <c r="Q94" s="258">
        <f>SUMIF('Antelope Bailey Split BA'!$B$7:$B$29,B94,'Antelope Bailey Split BA'!$C$7:$C$29)</f>
        <v>0</v>
      </c>
      <c r="R94" s="258" t="str">
        <f>IF(AND(Q94=1,'Plant Total by Account'!$J$1=2),"EKWRA","")</f>
        <v/>
      </c>
    </row>
    <row r="95" spans="1:18" ht="12.75" customHeight="1" x14ac:dyDescent="0.2">
      <c r="A95" s="249" t="s">
        <v>2391</v>
      </c>
      <c r="B95" s="252" t="s">
        <v>1154</v>
      </c>
      <c r="C95" s="252" t="s">
        <v>3350</v>
      </c>
      <c r="D95" s="253">
        <v>0</v>
      </c>
      <c r="E95" s="253">
        <v>111408.64000000001</v>
      </c>
      <c r="F95" s="253">
        <v>4200275.79</v>
      </c>
      <c r="G95" s="546">
        <f t="shared" si="8"/>
        <v>4311684.43</v>
      </c>
      <c r="H95" s="254">
        <v>0</v>
      </c>
      <c r="I95" s="254">
        <v>0</v>
      </c>
      <c r="J95" s="254">
        <v>0</v>
      </c>
      <c r="K95" s="260">
        <f t="shared" si="5"/>
        <v>0</v>
      </c>
      <c r="L95" s="260">
        <f t="shared" si="6"/>
        <v>111408.64000000001</v>
      </c>
      <c r="M95" s="260">
        <f t="shared" si="7"/>
        <v>4200275.79</v>
      </c>
      <c r="N95" s="255">
        <f t="shared" si="9"/>
        <v>0</v>
      </c>
      <c r="O95" s="252" t="s">
        <v>3327</v>
      </c>
      <c r="P95" s="252"/>
      <c r="Q95" s="258">
        <f>SUMIF('Antelope Bailey Split BA'!$B$7:$B$29,B95,'Antelope Bailey Split BA'!$C$7:$C$29)</f>
        <v>0</v>
      </c>
      <c r="R95" s="258" t="str">
        <f>IF(AND(Q95=1,'Plant Total by Account'!$J$1=2),"EKWRA","")</f>
        <v/>
      </c>
    </row>
    <row r="96" spans="1:18" ht="12.75" customHeight="1" x14ac:dyDescent="0.2">
      <c r="A96" s="249" t="s">
        <v>2394</v>
      </c>
      <c r="B96" s="252" t="s">
        <v>1156</v>
      </c>
      <c r="C96" s="252" t="s">
        <v>3350</v>
      </c>
      <c r="D96" s="253">
        <v>0</v>
      </c>
      <c r="E96" s="253">
        <v>0</v>
      </c>
      <c r="F96" s="253">
        <v>155441.9</v>
      </c>
      <c r="G96" s="546">
        <f t="shared" si="8"/>
        <v>155441.9</v>
      </c>
      <c r="H96" s="254">
        <v>0</v>
      </c>
      <c r="I96" s="254">
        <v>0</v>
      </c>
      <c r="J96" s="254">
        <v>0</v>
      </c>
      <c r="K96" s="260">
        <f t="shared" si="5"/>
        <v>0</v>
      </c>
      <c r="L96" s="260">
        <f t="shared" si="6"/>
        <v>0</v>
      </c>
      <c r="M96" s="260">
        <f t="shared" si="7"/>
        <v>155441.9</v>
      </c>
      <c r="N96" s="255">
        <f t="shared" si="9"/>
        <v>0</v>
      </c>
      <c r="O96" s="252" t="s">
        <v>3327</v>
      </c>
      <c r="P96" s="252"/>
      <c r="Q96" s="258">
        <f>SUMIF('Antelope Bailey Split BA'!$B$7:$B$29,B96,'Antelope Bailey Split BA'!$C$7:$C$29)</f>
        <v>0</v>
      </c>
      <c r="R96" s="258" t="str">
        <f>IF(AND(Q96=1,'Plant Total by Account'!$J$1=2),"EKWRA","")</f>
        <v/>
      </c>
    </row>
    <row r="97" spans="1:18" ht="12.75" customHeight="1" x14ac:dyDescent="0.2">
      <c r="A97" s="249" t="s">
        <v>2398</v>
      </c>
      <c r="B97" s="252" t="s">
        <v>1159</v>
      </c>
      <c r="C97" s="252" t="s">
        <v>3350</v>
      </c>
      <c r="D97" s="253">
        <v>21659.88</v>
      </c>
      <c r="E97" s="253">
        <v>24346.97</v>
      </c>
      <c r="F97" s="253">
        <v>3445043.9399999981</v>
      </c>
      <c r="G97" s="546">
        <f t="shared" si="8"/>
        <v>3491050.7899999982</v>
      </c>
      <c r="H97" s="254">
        <v>0</v>
      </c>
      <c r="I97" s="254">
        <v>0</v>
      </c>
      <c r="J97" s="254">
        <v>0</v>
      </c>
      <c r="K97" s="260">
        <f t="shared" si="5"/>
        <v>21659.88</v>
      </c>
      <c r="L97" s="260">
        <f t="shared" si="6"/>
        <v>24346.97</v>
      </c>
      <c r="M97" s="260">
        <f t="shared" si="7"/>
        <v>3445043.9399999981</v>
      </c>
      <c r="N97" s="255">
        <f t="shared" si="9"/>
        <v>0</v>
      </c>
      <c r="O97" s="252" t="s">
        <v>3327</v>
      </c>
      <c r="P97" s="252"/>
      <c r="Q97" s="258">
        <f>SUMIF('Antelope Bailey Split BA'!$B$7:$B$29,B97,'Antelope Bailey Split BA'!$C$7:$C$29)</f>
        <v>0</v>
      </c>
      <c r="R97" s="258" t="str">
        <f>IF(AND(Q97=1,'Plant Total by Account'!$J$1=2),"EKWRA","")</f>
        <v/>
      </c>
    </row>
    <row r="98" spans="1:18" ht="12.75" customHeight="1" x14ac:dyDescent="0.2">
      <c r="A98" s="249" t="s">
        <v>2413</v>
      </c>
      <c r="B98" s="252" t="s">
        <v>2257</v>
      </c>
      <c r="C98" s="252" t="s">
        <v>3348</v>
      </c>
      <c r="D98" s="253">
        <v>2415092.2800000003</v>
      </c>
      <c r="E98" s="253">
        <v>0</v>
      </c>
      <c r="F98" s="253">
        <v>0</v>
      </c>
      <c r="G98" s="546">
        <f t="shared" si="8"/>
        <v>2415092.2800000003</v>
      </c>
      <c r="H98" s="254">
        <v>0</v>
      </c>
      <c r="I98" s="254">
        <v>0</v>
      </c>
      <c r="J98" s="254">
        <v>0</v>
      </c>
      <c r="K98" s="260">
        <f t="shared" si="5"/>
        <v>2415092.2800000003</v>
      </c>
      <c r="L98" s="260">
        <f t="shared" si="6"/>
        <v>0</v>
      </c>
      <c r="M98" s="260">
        <f t="shared" si="7"/>
        <v>0</v>
      </c>
      <c r="N98" s="255">
        <f t="shared" si="9"/>
        <v>0</v>
      </c>
      <c r="O98" s="252" t="s">
        <v>3327</v>
      </c>
      <c r="P98" s="252"/>
      <c r="Q98" s="258">
        <f>SUMIF('Antelope Bailey Split BA'!$B$7:$B$29,B98,'Antelope Bailey Split BA'!$C$7:$C$29)</f>
        <v>0</v>
      </c>
      <c r="R98" s="258" t="str">
        <f>IF(AND(Q98=1,'Plant Total by Account'!$J$1=2),"EKWRA","")</f>
        <v/>
      </c>
    </row>
    <row r="99" spans="1:18" ht="12.75" customHeight="1" x14ac:dyDescent="0.2">
      <c r="A99" s="249" t="s">
        <v>2415</v>
      </c>
      <c r="B99" s="252" t="s">
        <v>181</v>
      </c>
      <c r="C99" s="252" t="s">
        <v>3353</v>
      </c>
      <c r="D99" s="253">
        <v>0</v>
      </c>
      <c r="E99" s="253">
        <v>0</v>
      </c>
      <c r="F99" s="253">
        <v>295422.68</v>
      </c>
      <c r="G99" s="546">
        <f t="shared" si="8"/>
        <v>295422.68</v>
      </c>
      <c r="H99" s="254">
        <v>0</v>
      </c>
      <c r="I99" s="254">
        <v>0</v>
      </c>
      <c r="J99" s="254">
        <v>0</v>
      </c>
      <c r="K99" s="260">
        <f t="shared" si="5"/>
        <v>0</v>
      </c>
      <c r="L99" s="260">
        <f t="shared" si="6"/>
        <v>0</v>
      </c>
      <c r="M99" s="260">
        <f t="shared" si="7"/>
        <v>295422.68</v>
      </c>
      <c r="N99" s="255">
        <f t="shared" si="9"/>
        <v>0</v>
      </c>
      <c r="O99" s="252" t="s">
        <v>3327</v>
      </c>
      <c r="P99" s="252"/>
      <c r="Q99" s="258">
        <f>SUMIF('Antelope Bailey Split BA'!$B$7:$B$29,B99,'Antelope Bailey Split BA'!$C$7:$C$29)</f>
        <v>0</v>
      </c>
      <c r="R99" s="258" t="str">
        <f>IF(AND(Q99=1,'Plant Total by Account'!$J$1=2),"EKWRA","")</f>
        <v/>
      </c>
    </row>
    <row r="100" spans="1:18" ht="12.75" customHeight="1" x14ac:dyDescent="0.2">
      <c r="A100" s="249" t="s">
        <v>2416</v>
      </c>
      <c r="B100" s="252" t="s">
        <v>187</v>
      </c>
      <c r="C100" s="252" t="s">
        <v>3353</v>
      </c>
      <c r="D100" s="253">
        <v>4582.54</v>
      </c>
      <c r="E100" s="253">
        <v>0</v>
      </c>
      <c r="F100" s="253">
        <v>0</v>
      </c>
      <c r="G100" s="546">
        <f t="shared" si="8"/>
        <v>4582.54</v>
      </c>
      <c r="H100" s="254">
        <v>0</v>
      </c>
      <c r="I100" s="254">
        <v>0</v>
      </c>
      <c r="J100" s="254">
        <v>0</v>
      </c>
      <c r="K100" s="260">
        <f t="shared" ref="K100:K163" si="10">D100</f>
        <v>4582.54</v>
      </c>
      <c r="L100" s="260">
        <f t="shared" ref="L100:L163" si="11">E100</f>
        <v>0</v>
      </c>
      <c r="M100" s="260">
        <f t="shared" ref="M100:M163" si="12">F100</f>
        <v>0</v>
      </c>
      <c r="N100" s="255">
        <f t="shared" si="9"/>
        <v>0</v>
      </c>
      <c r="O100" s="252" t="s">
        <v>3327</v>
      </c>
      <c r="P100" s="252"/>
      <c r="Q100" s="258">
        <f>SUMIF('Antelope Bailey Split BA'!$B$7:$B$29,B100,'Antelope Bailey Split BA'!$C$7:$C$29)</f>
        <v>0</v>
      </c>
      <c r="R100" s="258" t="str">
        <f>IF(AND(Q100=1,'Plant Total by Account'!$J$1=2),"EKWRA","")</f>
        <v/>
      </c>
    </row>
    <row r="101" spans="1:18" ht="12.75" customHeight="1" x14ac:dyDescent="0.2">
      <c r="A101" s="249" t="s">
        <v>2417</v>
      </c>
      <c r="B101" s="252" t="s">
        <v>189</v>
      </c>
      <c r="C101" s="252" t="s">
        <v>3352</v>
      </c>
      <c r="D101" s="253">
        <v>0</v>
      </c>
      <c r="E101" s="253">
        <v>0</v>
      </c>
      <c r="F101" s="253">
        <v>2451.4500000000003</v>
      </c>
      <c r="G101" s="546">
        <f t="shared" si="8"/>
        <v>2451.4500000000003</v>
      </c>
      <c r="H101" s="254">
        <v>0</v>
      </c>
      <c r="I101" s="254">
        <v>0</v>
      </c>
      <c r="J101" s="254">
        <v>0</v>
      </c>
      <c r="K101" s="260">
        <f t="shared" si="10"/>
        <v>0</v>
      </c>
      <c r="L101" s="260">
        <f t="shared" si="11"/>
        <v>0</v>
      </c>
      <c r="M101" s="260">
        <f t="shared" si="12"/>
        <v>2451.4500000000003</v>
      </c>
      <c r="N101" s="255">
        <f t="shared" si="9"/>
        <v>0</v>
      </c>
      <c r="O101" s="252" t="s">
        <v>3327</v>
      </c>
      <c r="P101" s="252"/>
      <c r="Q101" s="258">
        <f>SUMIF('Antelope Bailey Split BA'!$B$7:$B$29,B101,'Antelope Bailey Split BA'!$C$7:$C$29)</f>
        <v>0</v>
      </c>
      <c r="R101" s="258" t="str">
        <f>IF(AND(Q101=1,'Plant Total by Account'!$J$1=2),"EKWRA","")</f>
        <v/>
      </c>
    </row>
    <row r="102" spans="1:18" ht="12.75" customHeight="1" x14ac:dyDescent="0.2">
      <c r="A102" s="249" t="s">
        <v>2418</v>
      </c>
      <c r="B102" s="252" t="s">
        <v>190</v>
      </c>
      <c r="C102" s="252" t="s">
        <v>3353</v>
      </c>
      <c r="D102" s="253">
        <v>0</v>
      </c>
      <c r="E102" s="253">
        <v>6566.3</v>
      </c>
      <c r="F102" s="253">
        <v>0</v>
      </c>
      <c r="G102" s="546">
        <f t="shared" si="8"/>
        <v>6566.3</v>
      </c>
      <c r="H102" s="254">
        <v>0</v>
      </c>
      <c r="I102" s="254">
        <v>0</v>
      </c>
      <c r="J102" s="254">
        <v>0</v>
      </c>
      <c r="K102" s="260">
        <f t="shared" si="10"/>
        <v>0</v>
      </c>
      <c r="L102" s="260">
        <f t="shared" si="11"/>
        <v>6566.3</v>
      </c>
      <c r="M102" s="260">
        <f t="shared" si="12"/>
        <v>0</v>
      </c>
      <c r="N102" s="255">
        <f t="shared" si="9"/>
        <v>0</v>
      </c>
      <c r="O102" s="252" t="s">
        <v>3327</v>
      </c>
      <c r="P102" s="252"/>
      <c r="Q102" s="258">
        <f>SUMIF('Antelope Bailey Split BA'!$B$7:$B$29,B102,'Antelope Bailey Split BA'!$C$7:$C$29)</f>
        <v>0</v>
      </c>
      <c r="R102" s="258" t="str">
        <f>IF(AND(Q102=1,'Plant Total by Account'!$J$1=2),"EKWRA","")</f>
        <v/>
      </c>
    </row>
    <row r="103" spans="1:18" ht="12.75" customHeight="1" x14ac:dyDescent="0.2">
      <c r="A103" s="249" t="s">
        <v>2419</v>
      </c>
      <c r="B103" s="252" t="s">
        <v>194</v>
      </c>
      <c r="C103" s="252" t="s">
        <v>3353</v>
      </c>
      <c r="D103" s="253">
        <v>0</v>
      </c>
      <c r="E103" s="253">
        <v>14553.58</v>
      </c>
      <c r="F103" s="253">
        <v>0</v>
      </c>
      <c r="G103" s="546">
        <f t="shared" si="8"/>
        <v>14553.58</v>
      </c>
      <c r="H103" s="254">
        <v>0</v>
      </c>
      <c r="I103" s="254">
        <v>0</v>
      </c>
      <c r="J103" s="254">
        <v>0</v>
      </c>
      <c r="K103" s="260">
        <f t="shared" si="10"/>
        <v>0</v>
      </c>
      <c r="L103" s="260">
        <f t="shared" si="11"/>
        <v>14553.58</v>
      </c>
      <c r="M103" s="260">
        <f t="shared" si="12"/>
        <v>0</v>
      </c>
      <c r="N103" s="255">
        <f t="shared" si="9"/>
        <v>0</v>
      </c>
      <c r="O103" s="252" t="s">
        <v>3327</v>
      </c>
      <c r="P103" s="252"/>
      <c r="Q103" s="258">
        <f>SUMIF('Antelope Bailey Split BA'!$B$7:$B$29,B103,'Antelope Bailey Split BA'!$C$7:$C$29)</f>
        <v>0</v>
      </c>
      <c r="R103" s="258" t="str">
        <f>IF(AND(Q103=1,'Plant Total by Account'!$J$1=2),"EKWRA","")</f>
        <v/>
      </c>
    </row>
    <row r="104" spans="1:18" ht="12.75" customHeight="1" x14ac:dyDescent="0.2">
      <c r="A104" s="249" t="s">
        <v>2420</v>
      </c>
      <c r="B104" s="252" t="s">
        <v>195</v>
      </c>
      <c r="C104" s="252" t="s">
        <v>3353</v>
      </c>
      <c r="D104" s="253">
        <v>0</v>
      </c>
      <c r="E104" s="253">
        <v>0</v>
      </c>
      <c r="F104" s="253">
        <v>6164.83</v>
      </c>
      <c r="G104" s="546">
        <f t="shared" si="8"/>
        <v>6164.83</v>
      </c>
      <c r="H104" s="254">
        <v>0</v>
      </c>
      <c r="I104" s="254">
        <v>0</v>
      </c>
      <c r="J104" s="254">
        <v>0</v>
      </c>
      <c r="K104" s="260">
        <f t="shared" si="10"/>
        <v>0</v>
      </c>
      <c r="L104" s="260">
        <f t="shared" si="11"/>
        <v>0</v>
      </c>
      <c r="M104" s="260">
        <f t="shared" si="12"/>
        <v>6164.83</v>
      </c>
      <c r="N104" s="255">
        <f t="shared" si="9"/>
        <v>0</v>
      </c>
      <c r="O104" s="252" t="s">
        <v>3327</v>
      </c>
      <c r="P104" s="252"/>
      <c r="Q104" s="258">
        <f>SUMIF('Antelope Bailey Split BA'!$B$7:$B$29,B104,'Antelope Bailey Split BA'!$C$7:$C$29)</f>
        <v>0</v>
      </c>
      <c r="R104" s="258" t="str">
        <f>IF(AND(Q104=1,'Plant Total by Account'!$J$1=2),"EKWRA","")</f>
        <v/>
      </c>
    </row>
    <row r="105" spans="1:18" ht="12.75" customHeight="1" x14ac:dyDescent="0.2">
      <c r="A105" s="249" t="s">
        <v>2421</v>
      </c>
      <c r="B105" s="252" t="s">
        <v>209</v>
      </c>
      <c r="C105" s="252" t="s">
        <v>3352</v>
      </c>
      <c r="D105" s="253">
        <v>0</v>
      </c>
      <c r="E105" s="253">
        <v>0</v>
      </c>
      <c r="F105" s="253">
        <v>17332.170000000002</v>
      </c>
      <c r="G105" s="546">
        <f t="shared" si="8"/>
        <v>17332.170000000002</v>
      </c>
      <c r="H105" s="254">
        <v>0</v>
      </c>
      <c r="I105" s="254">
        <v>0</v>
      </c>
      <c r="J105" s="254">
        <v>0</v>
      </c>
      <c r="K105" s="260">
        <f t="shared" si="10"/>
        <v>0</v>
      </c>
      <c r="L105" s="260">
        <f t="shared" si="11"/>
        <v>0</v>
      </c>
      <c r="M105" s="260">
        <f t="shared" si="12"/>
        <v>17332.170000000002</v>
      </c>
      <c r="N105" s="255">
        <f t="shared" si="9"/>
        <v>0</v>
      </c>
      <c r="O105" s="252" t="s">
        <v>3327</v>
      </c>
      <c r="P105" s="252"/>
      <c r="Q105" s="258">
        <f>SUMIF('Antelope Bailey Split BA'!$B$7:$B$29,B105,'Antelope Bailey Split BA'!$C$7:$C$29)</f>
        <v>0</v>
      </c>
      <c r="R105" s="258" t="str">
        <f>IF(AND(Q105=1,'Plant Total by Account'!$J$1=2),"EKWRA","")</f>
        <v/>
      </c>
    </row>
    <row r="106" spans="1:18" ht="12.75" customHeight="1" x14ac:dyDescent="0.2">
      <c r="A106" s="249" t="s">
        <v>2422</v>
      </c>
      <c r="B106" s="252" t="s">
        <v>214</v>
      </c>
      <c r="C106" s="252" t="s">
        <v>3353</v>
      </c>
      <c r="D106" s="253">
        <v>0</v>
      </c>
      <c r="E106" s="253">
        <v>0</v>
      </c>
      <c r="F106" s="253">
        <v>22.12</v>
      </c>
      <c r="G106" s="546">
        <f t="shared" si="8"/>
        <v>22.12</v>
      </c>
      <c r="H106" s="254">
        <v>0</v>
      </c>
      <c r="I106" s="254">
        <v>0</v>
      </c>
      <c r="J106" s="254">
        <v>0</v>
      </c>
      <c r="K106" s="260">
        <f t="shared" si="10"/>
        <v>0</v>
      </c>
      <c r="L106" s="260">
        <f t="shared" si="11"/>
        <v>0</v>
      </c>
      <c r="M106" s="260">
        <f t="shared" si="12"/>
        <v>22.12</v>
      </c>
      <c r="N106" s="255">
        <f t="shared" si="9"/>
        <v>0</v>
      </c>
      <c r="O106" s="252" t="s">
        <v>3327</v>
      </c>
      <c r="P106" s="252"/>
      <c r="Q106" s="258">
        <f>SUMIF('Antelope Bailey Split BA'!$B$7:$B$29,B106,'Antelope Bailey Split BA'!$C$7:$C$29)</f>
        <v>0</v>
      </c>
      <c r="R106" s="258" t="str">
        <f>IF(AND(Q106=1,'Plant Total by Account'!$J$1=2),"EKWRA","")</f>
        <v/>
      </c>
    </row>
    <row r="107" spans="1:18" ht="12.75" customHeight="1" x14ac:dyDescent="0.2">
      <c r="A107" s="249" t="s">
        <v>2423</v>
      </c>
      <c r="B107" s="252" t="s">
        <v>223</v>
      </c>
      <c r="C107" s="252" t="s">
        <v>3352</v>
      </c>
      <c r="D107" s="253">
        <v>0</v>
      </c>
      <c r="E107" s="253">
        <v>0</v>
      </c>
      <c r="F107" s="253">
        <v>18514.43</v>
      </c>
      <c r="G107" s="546">
        <f t="shared" si="8"/>
        <v>18514.43</v>
      </c>
      <c r="H107" s="254">
        <v>0</v>
      </c>
      <c r="I107" s="254">
        <v>0</v>
      </c>
      <c r="J107" s="254">
        <v>0</v>
      </c>
      <c r="K107" s="260">
        <f t="shared" si="10"/>
        <v>0</v>
      </c>
      <c r="L107" s="260">
        <f t="shared" si="11"/>
        <v>0</v>
      </c>
      <c r="M107" s="260">
        <f t="shared" si="12"/>
        <v>18514.43</v>
      </c>
      <c r="N107" s="255">
        <f t="shared" si="9"/>
        <v>0</v>
      </c>
      <c r="O107" s="252" t="s">
        <v>3327</v>
      </c>
      <c r="P107" s="252"/>
      <c r="Q107" s="258">
        <f>SUMIF('Antelope Bailey Split BA'!$B$7:$B$29,B107,'Antelope Bailey Split BA'!$C$7:$C$29)</f>
        <v>0</v>
      </c>
      <c r="R107" s="258" t="str">
        <f>IF(AND(Q107=1,'Plant Total by Account'!$J$1=2),"EKWRA","")</f>
        <v/>
      </c>
    </row>
    <row r="108" spans="1:18" ht="12.75" customHeight="1" x14ac:dyDescent="0.2">
      <c r="A108" s="249" t="s">
        <v>2424</v>
      </c>
      <c r="B108" s="252" t="s">
        <v>229</v>
      </c>
      <c r="C108" s="252" t="s">
        <v>3353</v>
      </c>
      <c r="D108" s="253">
        <v>0</v>
      </c>
      <c r="E108" s="253">
        <v>0</v>
      </c>
      <c r="F108" s="253">
        <v>122.73</v>
      </c>
      <c r="G108" s="546">
        <f t="shared" si="8"/>
        <v>122.73</v>
      </c>
      <c r="H108" s="254">
        <v>0</v>
      </c>
      <c r="I108" s="254">
        <v>0</v>
      </c>
      <c r="J108" s="254">
        <v>0</v>
      </c>
      <c r="K108" s="260">
        <f t="shared" si="10"/>
        <v>0</v>
      </c>
      <c r="L108" s="260">
        <f t="shared" si="11"/>
        <v>0</v>
      </c>
      <c r="M108" s="260">
        <f t="shared" si="12"/>
        <v>122.73</v>
      </c>
      <c r="N108" s="255">
        <f t="shared" si="9"/>
        <v>0</v>
      </c>
      <c r="O108" s="252" t="s">
        <v>3327</v>
      </c>
      <c r="P108" s="252"/>
      <c r="Q108" s="258">
        <f>SUMIF('Antelope Bailey Split BA'!$B$7:$B$29,B108,'Antelope Bailey Split BA'!$C$7:$C$29)</f>
        <v>0</v>
      </c>
      <c r="R108" s="258" t="str">
        <f>IF(AND(Q108=1,'Plant Total by Account'!$J$1=2),"EKWRA","")</f>
        <v/>
      </c>
    </row>
    <row r="109" spans="1:18" ht="12.75" customHeight="1" x14ac:dyDescent="0.2">
      <c r="A109" s="249" t="s">
        <v>2425</v>
      </c>
      <c r="B109" s="252" t="s">
        <v>232</v>
      </c>
      <c r="C109" s="252" t="s">
        <v>3353</v>
      </c>
      <c r="D109" s="253">
        <v>0</v>
      </c>
      <c r="E109" s="253">
        <v>40064.76</v>
      </c>
      <c r="F109" s="253">
        <v>0</v>
      </c>
      <c r="G109" s="546">
        <f t="shared" si="8"/>
        <v>40064.76</v>
      </c>
      <c r="H109" s="254">
        <v>0</v>
      </c>
      <c r="I109" s="254">
        <v>0</v>
      </c>
      <c r="J109" s="254">
        <v>0</v>
      </c>
      <c r="K109" s="260">
        <f t="shared" si="10"/>
        <v>0</v>
      </c>
      <c r="L109" s="260">
        <f t="shared" si="11"/>
        <v>40064.76</v>
      </c>
      <c r="M109" s="260">
        <f t="shared" si="12"/>
        <v>0</v>
      </c>
      <c r="N109" s="255">
        <f t="shared" si="9"/>
        <v>0</v>
      </c>
      <c r="O109" s="252" t="s">
        <v>3327</v>
      </c>
      <c r="P109" s="252"/>
      <c r="Q109" s="258">
        <f>SUMIF('Antelope Bailey Split BA'!$B$7:$B$29,B109,'Antelope Bailey Split BA'!$C$7:$C$29)</f>
        <v>0</v>
      </c>
      <c r="R109" s="258" t="str">
        <f>IF(AND(Q109=1,'Plant Total by Account'!$J$1=2),"EKWRA","")</f>
        <v/>
      </c>
    </row>
    <row r="110" spans="1:18" ht="12.75" customHeight="1" x14ac:dyDescent="0.2">
      <c r="A110" s="249" t="s">
        <v>2426</v>
      </c>
      <c r="B110" s="252" t="s">
        <v>233</v>
      </c>
      <c r="C110" s="252" t="s">
        <v>3352</v>
      </c>
      <c r="D110" s="253">
        <v>0</v>
      </c>
      <c r="E110" s="253">
        <v>0</v>
      </c>
      <c r="F110" s="253">
        <v>17195.37</v>
      </c>
      <c r="G110" s="546">
        <f t="shared" si="8"/>
        <v>17195.37</v>
      </c>
      <c r="H110" s="254">
        <v>0</v>
      </c>
      <c r="I110" s="254">
        <v>0</v>
      </c>
      <c r="J110" s="254">
        <v>0</v>
      </c>
      <c r="K110" s="260">
        <f t="shared" si="10"/>
        <v>0</v>
      </c>
      <c r="L110" s="260">
        <f t="shared" si="11"/>
        <v>0</v>
      </c>
      <c r="M110" s="260">
        <f t="shared" si="12"/>
        <v>17195.37</v>
      </c>
      <c r="N110" s="255">
        <f t="shared" si="9"/>
        <v>0</v>
      </c>
      <c r="O110" s="252" t="s">
        <v>3327</v>
      </c>
      <c r="P110" s="252"/>
      <c r="Q110" s="258">
        <f>SUMIF('Antelope Bailey Split BA'!$B$7:$B$29,B110,'Antelope Bailey Split BA'!$C$7:$C$29)</f>
        <v>0</v>
      </c>
      <c r="R110" s="258" t="str">
        <f>IF(AND(Q110=1,'Plant Total by Account'!$J$1=2),"EKWRA","")</f>
        <v/>
      </c>
    </row>
    <row r="111" spans="1:18" ht="12.75" customHeight="1" x14ac:dyDescent="0.2">
      <c r="A111" s="249" t="s">
        <v>2427</v>
      </c>
      <c r="B111" s="252" t="s">
        <v>1172</v>
      </c>
      <c r="C111" s="252" t="s">
        <v>3353</v>
      </c>
      <c r="D111" s="253">
        <v>0</v>
      </c>
      <c r="E111" s="253">
        <v>0</v>
      </c>
      <c r="F111" s="253">
        <v>3666.38</v>
      </c>
      <c r="G111" s="546">
        <f t="shared" si="8"/>
        <v>3666.38</v>
      </c>
      <c r="H111" s="254">
        <v>0</v>
      </c>
      <c r="I111" s="254">
        <v>0</v>
      </c>
      <c r="J111" s="254">
        <v>0</v>
      </c>
      <c r="K111" s="260">
        <f t="shared" si="10"/>
        <v>0</v>
      </c>
      <c r="L111" s="260">
        <f t="shared" si="11"/>
        <v>0</v>
      </c>
      <c r="M111" s="260">
        <f t="shared" si="12"/>
        <v>3666.38</v>
      </c>
      <c r="N111" s="255">
        <f t="shared" si="9"/>
        <v>0</v>
      </c>
      <c r="O111" s="252" t="s">
        <v>3327</v>
      </c>
      <c r="P111" s="252"/>
      <c r="Q111" s="258">
        <f>SUMIF('Antelope Bailey Split BA'!$B$7:$B$29,B111,'Antelope Bailey Split BA'!$C$7:$C$29)</f>
        <v>0</v>
      </c>
      <c r="R111" s="258" t="str">
        <f>IF(AND(Q111=1,'Plant Total by Account'!$J$1=2),"EKWRA","")</f>
        <v/>
      </c>
    </row>
    <row r="112" spans="1:18" ht="12.75" customHeight="1" x14ac:dyDescent="0.2">
      <c r="A112" s="249" t="s">
        <v>2428</v>
      </c>
      <c r="B112" s="252" t="s">
        <v>235</v>
      </c>
      <c r="C112" s="252" t="s">
        <v>3352</v>
      </c>
      <c r="D112" s="253">
        <v>0</v>
      </c>
      <c r="E112" s="253">
        <v>0</v>
      </c>
      <c r="F112" s="253">
        <v>89412.24</v>
      </c>
      <c r="G112" s="546">
        <f t="shared" si="8"/>
        <v>89412.24</v>
      </c>
      <c r="H112" s="254">
        <v>0</v>
      </c>
      <c r="I112" s="254">
        <v>0</v>
      </c>
      <c r="J112" s="254">
        <v>0</v>
      </c>
      <c r="K112" s="260">
        <f t="shared" si="10"/>
        <v>0</v>
      </c>
      <c r="L112" s="260">
        <f t="shared" si="11"/>
        <v>0</v>
      </c>
      <c r="M112" s="260">
        <f t="shared" si="12"/>
        <v>89412.24</v>
      </c>
      <c r="N112" s="255">
        <f t="shared" si="9"/>
        <v>0</v>
      </c>
      <c r="O112" s="252" t="s">
        <v>3327</v>
      </c>
      <c r="P112" s="252"/>
      <c r="Q112" s="258">
        <f>SUMIF('Antelope Bailey Split BA'!$B$7:$B$29,B112,'Antelope Bailey Split BA'!$C$7:$C$29)</f>
        <v>0</v>
      </c>
      <c r="R112" s="258" t="str">
        <f>IF(AND(Q112=1,'Plant Total by Account'!$J$1=2),"EKWRA","")</f>
        <v/>
      </c>
    </row>
    <row r="113" spans="1:18" ht="12.75" customHeight="1" x14ac:dyDescent="0.2">
      <c r="A113" s="249" t="s">
        <v>2429</v>
      </c>
      <c r="B113" s="252" t="s">
        <v>238</v>
      </c>
      <c r="C113" s="252" t="s">
        <v>3352</v>
      </c>
      <c r="D113" s="253">
        <v>0</v>
      </c>
      <c r="E113" s="253">
        <v>0</v>
      </c>
      <c r="F113" s="253">
        <v>17367.39</v>
      </c>
      <c r="G113" s="546">
        <f t="shared" si="8"/>
        <v>17367.39</v>
      </c>
      <c r="H113" s="254">
        <v>0</v>
      </c>
      <c r="I113" s="254">
        <v>0</v>
      </c>
      <c r="J113" s="254">
        <v>0</v>
      </c>
      <c r="K113" s="260">
        <f t="shared" si="10"/>
        <v>0</v>
      </c>
      <c r="L113" s="260">
        <f t="shared" si="11"/>
        <v>0</v>
      </c>
      <c r="M113" s="260">
        <f t="shared" si="12"/>
        <v>17367.39</v>
      </c>
      <c r="N113" s="255">
        <f t="shared" si="9"/>
        <v>0</v>
      </c>
      <c r="O113" s="252" t="s">
        <v>3327</v>
      </c>
      <c r="P113" s="252"/>
      <c r="Q113" s="258">
        <f>SUMIF('Antelope Bailey Split BA'!$B$7:$B$29,B113,'Antelope Bailey Split BA'!$C$7:$C$29)</f>
        <v>0</v>
      </c>
      <c r="R113" s="258" t="str">
        <f>IF(AND(Q113=1,'Plant Total by Account'!$J$1=2),"EKWRA","")</f>
        <v/>
      </c>
    </row>
    <row r="114" spans="1:18" ht="12.75" customHeight="1" x14ac:dyDescent="0.2">
      <c r="A114" s="249" t="s">
        <v>2430</v>
      </c>
      <c r="B114" s="252" t="s">
        <v>243</v>
      </c>
      <c r="C114" s="252" t="s">
        <v>3353</v>
      </c>
      <c r="D114" s="253">
        <v>3995.44</v>
      </c>
      <c r="E114" s="253">
        <v>0</v>
      </c>
      <c r="F114" s="253">
        <v>0</v>
      </c>
      <c r="G114" s="546">
        <f t="shared" si="8"/>
        <v>3995.44</v>
      </c>
      <c r="H114" s="254">
        <v>0</v>
      </c>
      <c r="I114" s="254">
        <v>0</v>
      </c>
      <c r="J114" s="254">
        <v>0</v>
      </c>
      <c r="K114" s="260">
        <f t="shared" si="10"/>
        <v>3995.44</v>
      </c>
      <c r="L114" s="260">
        <f t="shared" si="11"/>
        <v>0</v>
      </c>
      <c r="M114" s="260">
        <f t="shared" si="12"/>
        <v>0</v>
      </c>
      <c r="N114" s="255">
        <f t="shared" si="9"/>
        <v>0</v>
      </c>
      <c r="O114" s="252" t="s">
        <v>3327</v>
      </c>
      <c r="P114" s="252"/>
      <c r="Q114" s="258">
        <f>SUMIF('Antelope Bailey Split BA'!$B$7:$B$29,B114,'Antelope Bailey Split BA'!$C$7:$C$29)</f>
        <v>0</v>
      </c>
      <c r="R114" s="258" t="str">
        <f>IF(AND(Q114=1,'Plant Total by Account'!$J$1=2),"EKWRA","")</f>
        <v/>
      </c>
    </row>
    <row r="115" spans="1:18" ht="12.75" customHeight="1" x14ac:dyDescent="0.2">
      <c r="A115" s="249" t="s">
        <v>2431</v>
      </c>
      <c r="B115" s="252" t="s">
        <v>249</v>
      </c>
      <c r="C115" s="252" t="s">
        <v>3353</v>
      </c>
      <c r="D115" s="253">
        <v>0</v>
      </c>
      <c r="E115" s="253">
        <v>0</v>
      </c>
      <c r="F115" s="253">
        <v>34421.870000000003</v>
      </c>
      <c r="G115" s="546">
        <f t="shared" si="8"/>
        <v>34421.870000000003</v>
      </c>
      <c r="H115" s="254">
        <v>0</v>
      </c>
      <c r="I115" s="254">
        <v>0</v>
      </c>
      <c r="J115" s="254">
        <v>0</v>
      </c>
      <c r="K115" s="260">
        <f t="shared" si="10"/>
        <v>0</v>
      </c>
      <c r="L115" s="260">
        <f t="shared" si="11"/>
        <v>0</v>
      </c>
      <c r="M115" s="260">
        <f t="shared" si="12"/>
        <v>34421.870000000003</v>
      </c>
      <c r="N115" s="255">
        <f t="shared" si="9"/>
        <v>0</v>
      </c>
      <c r="O115" s="252" t="s">
        <v>3327</v>
      </c>
      <c r="P115" s="252"/>
      <c r="Q115" s="258">
        <f>SUMIF('Antelope Bailey Split BA'!$B$7:$B$29,B115,'Antelope Bailey Split BA'!$C$7:$C$29)</f>
        <v>0</v>
      </c>
      <c r="R115" s="258" t="str">
        <f>IF(AND(Q115=1,'Plant Total by Account'!$J$1=2),"EKWRA","")</f>
        <v/>
      </c>
    </row>
    <row r="116" spans="1:18" ht="12.75" customHeight="1" x14ac:dyDescent="0.2">
      <c r="A116" s="249" t="s">
        <v>2432</v>
      </c>
      <c r="B116" s="252" t="s">
        <v>250</v>
      </c>
      <c r="C116" s="252" t="s">
        <v>3353</v>
      </c>
      <c r="D116" s="253">
        <v>0</v>
      </c>
      <c r="E116" s="253">
        <v>0</v>
      </c>
      <c r="F116" s="253">
        <v>31589.02</v>
      </c>
      <c r="G116" s="546">
        <f t="shared" si="8"/>
        <v>31589.02</v>
      </c>
      <c r="H116" s="254">
        <v>0</v>
      </c>
      <c r="I116" s="254">
        <v>0</v>
      </c>
      <c r="J116" s="254">
        <v>0</v>
      </c>
      <c r="K116" s="260">
        <f t="shared" si="10"/>
        <v>0</v>
      </c>
      <c r="L116" s="260">
        <f t="shared" si="11"/>
        <v>0</v>
      </c>
      <c r="M116" s="260">
        <f t="shared" si="12"/>
        <v>31589.02</v>
      </c>
      <c r="N116" s="255">
        <f t="shared" si="9"/>
        <v>0</v>
      </c>
      <c r="O116" s="252" t="s">
        <v>3327</v>
      </c>
      <c r="P116" s="252"/>
      <c r="Q116" s="258">
        <f>SUMIF('Antelope Bailey Split BA'!$B$7:$B$29,B116,'Antelope Bailey Split BA'!$C$7:$C$29)</f>
        <v>0</v>
      </c>
      <c r="R116" s="258" t="str">
        <f>IF(AND(Q116=1,'Plant Total by Account'!$J$1=2),"EKWRA","")</f>
        <v/>
      </c>
    </row>
    <row r="117" spans="1:18" ht="12.75" customHeight="1" x14ac:dyDescent="0.2">
      <c r="A117" s="249" t="s">
        <v>2433</v>
      </c>
      <c r="B117" s="252" t="s">
        <v>259</v>
      </c>
      <c r="C117" s="252" t="s">
        <v>3353</v>
      </c>
      <c r="D117" s="253">
        <v>0</v>
      </c>
      <c r="E117" s="253">
        <v>0</v>
      </c>
      <c r="F117" s="253">
        <v>4077.98</v>
      </c>
      <c r="G117" s="546">
        <f t="shared" si="8"/>
        <v>4077.98</v>
      </c>
      <c r="H117" s="254">
        <v>0</v>
      </c>
      <c r="I117" s="254">
        <v>0</v>
      </c>
      <c r="J117" s="254">
        <v>0</v>
      </c>
      <c r="K117" s="260">
        <f t="shared" si="10"/>
        <v>0</v>
      </c>
      <c r="L117" s="260">
        <f t="shared" si="11"/>
        <v>0</v>
      </c>
      <c r="M117" s="260">
        <f t="shared" si="12"/>
        <v>4077.98</v>
      </c>
      <c r="N117" s="255">
        <f t="shared" si="9"/>
        <v>0</v>
      </c>
      <c r="O117" s="252" t="s">
        <v>3327</v>
      </c>
      <c r="P117" s="252"/>
      <c r="Q117" s="258">
        <f>SUMIF('Antelope Bailey Split BA'!$B$7:$B$29,B117,'Antelope Bailey Split BA'!$C$7:$C$29)</f>
        <v>0</v>
      </c>
      <c r="R117" s="258" t="str">
        <f>IF(AND(Q117=1,'Plant Total by Account'!$J$1=2),"EKWRA","")</f>
        <v/>
      </c>
    </row>
    <row r="118" spans="1:18" ht="12.75" customHeight="1" x14ac:dyDescent="0.2">
      <c r="A118" s="249" t="s">
        <v>1985</v>
      </c>
      <c r="B118" s="252" t="s">
        <v>260</v>
      </c>
      <c r="C118" s="252" t="s">
        <v>3353</v>
      </c>
      <c r="D118" s="253">
        <v>0</v>
      </c>
      <c r="E118" s="253">
        <v>0</v>
      </c>
      <c r="F118" s="253">
        <v>2046562.45</v>
      </c>
      <c r="G118" s="546">
        <f t="shared" si="8"/>
        <v>2046562.45</v>
      </c>
      <c r="H118" s="254">
        <v>0</v>
      </c>
      <c r="I118" s="254">
        <v>0</v>
      </c>
      <c r="J118" s="254">
        <v>0</v>
      </c>
      <c r="K118" s="260">
        <f t="shared" si="10"/>
        <v>0</v>
      </c>
      <c r="L118" s="260">
        <f t="shared" si="11"/>
        <v>0</v>
      </c>
      <c r="M118" s="260">
        <f t="shared" si="12"/>
        <v>2046562.45</v>
      </c>
      <c r="N118" s="255">
        <f t="shared" si="9"/>
        <v>0</v>
      </c>
      <c r="O118" s="252" t="s">
        <v>3327</v>
      </c>
      <c r="P118" s="252"/>
      <c r="Q118" s="258">
        <f>SUMIF('Antelope Bailey Split BA'!$B$7:$B$29,B118,'Antelope Bailey Split BA'!$C$7:$C$29)</f>
        <v>0</v>
      </c>
      <c r="R118" s="258" t="str">
        <f>IF(AND(Q118=1,'Plant Total by Account'!$J$1=2),"EKWRA","")</f>
        <v/>
      </c>
    </row>
    <row r="119" spans="1:18" ht="12.75" customHeight="1" x14ac:dyDescent="0.2">
      <c r="A119" s="262" t="s">
        <v>2434</v>
      </c>
      <c r="B119" s="252" t="s">
        <v>272</v>
      </c>
      <c r="C119" s="252" t="s">
        <v>3353</v>
      </c>
      <c r="D119" s="253">
        <v>0</v>
      </c>
      <c r="E119" s="253">
        <v>0</v>
      </c>
      <c r="F119" s="253">
        <v>17793.77</v>
      </c>
      <c r="G119" s="546">
        <f t="shared" si="8"/>
        <v>17793.77</v>
      </c>
      <c r="H119" s="254">
        <v>0</v>
      </c>
      <c r="I119" s="254">
        <v>0</v>
      </c>
      <c r="J119" s="254">
        <v>0</v>
      </c>
      <c r="K119" s="260">
        <f t="shared" si="10"/>
        <v>0</v>
      </c>
      <c r="L119" s="260">
        <f t="shared" si="11"/>
        <v>0</v>
      </c>
      <c r="M119" s="260">
        <f t="shared" si="12"/>
        <v>17793.77</v>
      </c>
      <c r="N119" s="255">
        <f t="shared" si="9"/>
        <v>0</v>
      </c>
      <c r="O119" s="252" t="s">
        <v>3327</v>
      </c>
      <c r="P119" s="252"/>
      <c r="Q119" s="258">
        <f>SUMIF('Antelope Bailey Split BA'!$B$7:$B$29,B119,'Antelope Bailey Split BA'!$C$7:$C$29)</f>
        <v>0</v>
      </c>
      <c r="R119" s="258" t="str">
        <f>IF(AND(Q119=1,'Plant Total by Account'!$J$1=2),"EKWRA","")</f>
        <v/>
      </c>
    </row>
    <row r="120" spans="1:18" ht="12.75" customHeight="1" x14ac:dyDescent="0.2">
      <c r="A120" s="249" t="s">
        <v>2435</v>
      </c>
      <c r="B120" s="252" t="s">
        <v>293</v>
      </c>
      <c r="C120" s="252" t="s">
        <v>3353</v>
      </c>
      <c r="D120" s="253">
        <v>0</v>
      </c>
      <c r="E120" s="253">
        <v>0</v>
      </c>
      <c r="F120" s="253">
        <v>17508.45</v>
      </c>
      <c r="G120" s="546">
        <f t="shared" si="8"/>
        <v>17508.45</v>
      </c>
      <c r="H120" s="254">
        <v>0</v>
      </c>
      <c r="I120" s="254">
        <v>0</v>
      </c>
      <c r="J120" s="254">
        <v>0</v>
      </c>
      <c r="K120" s="260">
        <f t="shared" si="10"/>
        <v>0</v>
      </c>
      <c r="L120" s="260">
        <f t="shared" si="11"/>
        <v>0</v>
      </c>
      <c r="M120" s="260">
        <f t="shared" si="12"/>
        <v>17508.45</v>
      </c>
      <c r="N120" s="255">
        <f t="shared" si="9"/>
        <v>0</v>
      </c>
      <c r="O120" s="252" t="s">
        <v>3327</v>
      </c>
      <c r="P120" s="252"/>
      <c r="Q120" s="258">
        <f>SUMIF('Antelope Bailey Split BA'!$B$7:$B$29,B120,'Antelope Bailey Split BA'!$C$7:$C$29)</f>
        <v>0</v>
      </c>
      <c r="R120" s="258" t="str">
        <f>IF(AND(Q120=1,'Plant Total by Account'!$J$1=2),"EKWRA","")</f>
        <v/>
      </c>
    </row>
    <row r="121" spans="1:18" ht="12.75" customHeight="1" x14ac:dyDescent="0.2">
      <c r="A121" s="249" t="s">
        <v>2436</v>
      </c>
      <c r="B121" s="252" t="s">
        <v>298</v>
      </c>
      <c r="C121" s="252" t="s">
        <v>3353</v>
      </c>
      <c r="D121" s="253">
        <v>4415.28</v>
      </c>
      <c r="E121" s="253">
        <v>0</v>
      </c>
      <c r="F121" s="253">
        <v>0</v>
      </c>
      <c r="G121" s="546">
        <f t="shared" si="8"/>
        <v>4415.28</v>
      </c>
      <c r="H121" s="254">
        <v>0</v>
      </c>
      <c r="I121" s="254">
        <v>0</v>
      </c>
      <c r="J121" s="254">
        <v>0</v>
      </c>
      <c r="K121" s="260">
        <f t="shared" si="10"/>
        <v>4415.28</v>
      </c>
      <c r="L121" s="260">
        <f t="shared" si="11"/>
        <v>0</v>
      </c>
      <c r="M121" s="260">
        <f t="shared" si="12"/>
        <v>0</v>
      </c>
      <c r="N121" s="255">
        <f t="shared" si="9"/>
        <v>0</v>
      </c>
      <c r="O121" s="252" t="s">
        <v>3327</v>
      </c>
      <c r="P121" s="252"/>
      <c r="Q121" s="258">
        <f>SUMIF('Antelope Bailey Split BA'!$B$7:$B$29,B121,'Antelope Bailey Split BA'!$C$7:$C$29)</f>
        <v>0</v>
      </c>
      <c r="R121" s="258" t="str">
        <f>IF(AND(Q121=1,'Plant Total by Account'!$J$1=2),"EKWRA","")</f>
        <v/>
      </c>
    </row>
    <row r="122" spans="1:18" ht="12.75" customHeight="1" x14ac:dyDescent="0.2">
      <c r="A122" s="249" t="s">
        <v>2437</v>
      </c>
      <c r="B122" s="252" t="s">
        <v>376</v>
      </c>
      <c r="C122" s="252" t="s">
        <v>3353</v>
      </c>
      <c r="D122" s="253">
        <v>0</v>
      </c>
      <c r="E122" s="253">
        <v>0</v>
      </c>
      <c r="F122" s="253">
        <v>8744.34</v>
      </c>
      <c r="G122" s="546">
        <f t="shared" si="8"/>
        <v>8744.34</v>
      </c>
      <c r="H122" s="254">
        <v>0</v>
      </c>
      <c r="I122" s="254">
        <v>0</v>
      </c>
      <c r="J122" s="254">
        <v>0</v>
      </c>
      <c r="K122" s="260">
        <f t="shared" si="10"/>
        <v>0</v>
      </c>
      <c r="L122" s="260">
        <f t="shared" si="11"/>
        <v>0</v>
      </c>
      <c r="M122" s="260">
        <f t="shared" si="12"/>
        <v>8744.34</v>
      </c>
      <c r="N122" s="255">
        <f t="shared" si="9"/>
        <v>0</v>
      </c>
      <c r="O122" s="252" t="s">
        <v>3327</v>
      </c>
      <c r="P122" s="252"/>
      <c r="Q122" s="258">
        <f>SUMIF('Antelope Bailey Split BA'!$B$7:$B$29,B122,'Antelope Bailey Split BA'!$C$7:$C$29)</f>
        <v>0</v>
      </c>
      <c r="R122" s="258" t="str">
        <f>IF(AND(Q122=1,'Plant Total by Account'!$J$1=2),"EKWRA","")</f>
        <v/>
      </c>
    </row>
    <row r="123" spans="1:18" ht="12.75" customHeight="1" x14ac:dyDescent="0.2">
      <c r="A123" s="249" t="s">
        <v>2438</v>
      </c>
      <c r="B123" s="252" t="s">
        <v>382</v>
      </c>
      <c r="C123" s="252" t="s">
        <v>3353</v>
      </c>
      <c r="D123" s="253">
        <v>0</v>
      </c>
      <c r="E123" s="253">
        <v>0</v>
      </c>
      <c r="F123" s="253">
        <v>6446.32</v>
      </c>
      <c r="G123" s="546">
        <f t="shared" si="8"/>
        <v>6446.32</v>
      </c>
      <c r="H123" s="254">
        <v>0</v>
      </c>
      <c r="I123" s="254">
        <v>0</v>
      </c>
      <c r="J123" s="254">
        <v>0</v>
      </c>
      <c r="K123" s="260">
        <f t="shared" si="10"/>
        <v>0</v>
      </c>
      <c r="L123" s="260">
        <f t="shared" si="11"/>
        <v>0</v>
      </c>
      <c r="M123" s="260">
        <f t="shared" si="12"/>
        <v>6446.32</v>
      </c>
      <c r="N123" s="255">
        <f t="shared" si="9"/>
        <v>0</v>
      </c>
      <c r="O123" s="252" t="s">
        <v>3327</v>
      </c>
      <c r="P123" s="252"/>
      <c r="Q123" s="258">
        <f>SUMIF('Antelope Bailey Split BA'!$B$7:$B$29,B123,'Antelope Bailey Split BA'!$C$7:$C$29)</f>
        <v>0</v>
      </c>
      <c r="R123" s="258" t="str">
        <f>IF(AND(Q123=1,'Plant Total by Account'!$J$1=2),"EKWRA","")</f>
        <v/>
      </c>
    </row>
    <row r="124" spans="1:18" ht="12.75" customHeight="1" x14ac:dyDescent="0.2">
      <c r="A124" s="249" t="s">
        <v>2439</v>
      </c>
      <c r="B124" s="252" t="s">
        <v>401</v>
      </c>
      <c r="C124" s="252" t="s">
        <v>3352</v>
      </c>
      <c r="D124" s="253">
        <v>0</v>
      </c>
      <c r="E124" s="253">
        <v>0</v>
      </c>
      <c r="F124" s="253">
        <v>9626.8000000000011</v>
      </c>
      <c r="G124" s="546">
        <f t="shared" si="8"/>
        <v>9626.8000000000011</v>
      </c>
      <c r="H124" s="254">
        <v>0</v>
      </c>
      <c r="I124" s="254">
        <v>0</v>
      </c>
      <c r="J124" s="254">
        <v>0</v>
      </c>
      <c r="K124" s="260">
        <f t="shared" si="10"/>
        <v>0</v>
      </c>
      <c r="L124" s="260">
        <f t="shared" si="11"/>
        <v>0</v>
      </c>
      <c r="M124" s="260">
        <f t="shared" si="12"/>
        <v>9626.8000000000011</v>
      </c>
      <c r="N124" s="255">
        <f t="shared" si="9"/>
        <v>0</v>
      </c>
      <c r="O124" s="252" t="s">
        <v>3327</v>
      </c>
      <c r="P124" s="252"/>
      <c r="Q124" s="258">
        <f>SUMIF('Antelope Bailey Split BA'!$B$7:$B$29,B124,'Antelope Bailey Split BA'!$C$7:$C$29)</f>
        <v>0</v>
      </c>
      <c r="R124" s="258" t="str">
        <f>IF(AND(Q124=1,'Plant Total by Account'!$J$1=2),"EKWRA","")</f>
        <v/>
      </c>
    </row>
    <row r="125" spans="1:18" ht="12.75" customHeight="1" x14ac:dyDescent="0.2">
      <c r="A125" s="249" t="s">
        <v>2443</v>
      </c>
      <c r="B125" s="252" t="s">
        <v>1173</v>
      </c>
      <c r="C125" s="252" t="s">
        <v>3353</v>
      </c>
      <c r="D125" s="253">
        <v>801825.46</v>
      </c>
      <c r="E125" s="253">
        <v>0</v>
      </c>
      <c r="F125" s="253">
        <v>0</v>
      </c>
      <c r="G125" s="546">
        <f t="shared" si="8"/>
        <v>801825.46</v>
      </c>
      <c r="H125" s="254">
        <v>0</v>
      </c>
      <c r="I125" s="254">
        <v>0</v>
      </c>
      <c r="J125" s="254">
        <v>0</v>
      </c>
      <c r="K125" s="260">
        <f t="shared" si="10"/>
        <v>801825.46</v>
      </c>
      <c r="L125" s="260">
        <f t="shared" si="11"/>
        <v>0</v>
      </c>
      <c r="M125" s="260">
        <f t="shared" si="12"/>
        <v>0</v>
      </c>
      <c r="N125" s="255">
        <f t="shared" si="9"/>
        <v>0</v>
      </c>
      <c r="O125" s="252" t="s">
        <v>3327</v>
      </c>
      <c r="P125" s="252"/>
      <c r="Q125" s="258">
        <f>SUMIF('Antelope Bailey Split BA'!$B$7:$B$29,B125,'Antelope Bailey Split BA'!$C$7:$C$29)</f>
        <v>0</v>
      </c>
      <c r="R125" s="258" t="str">
        <f>IF(AND(Q125=1,'Plant Total by Account'!$J$1=2),"EKWRA","")</f>
        <v/>
      </c>
    </row>
    <row r="126" spans="1:18" ht="12.75" customHeight="1" x14ac:dyDescent="0.2">
      <c r="A126" s="249" t="s">
        <v>2445</v>
      </c>
      <c r="B126" s="252" t="s">
        <v>446</v>
      </c>
      <c r="C126" s="252" t="s">
        <v>3353</v>
      </c>
      <c r="D126" s="253">
        <v>0</v>
      </c>
      <c r="E126" s="253">
        <v>5565.7</v>
      </c>
      <c r="F126" s="253">
        <v>0</v>
      </c>
      <c r="G126" s="546">
        <f t="shared" si="8"/>
        <v>5565.7</v>
      </c>
      <c r="H126" s="254">
        <v>0</v>
      </c>
      <c r="I126" s="254">
        <v>0</v>
      </c>
      <c r="J126" s="254">
        <v>0</v>
      </c>
      <c r="K126" s="260">
        <f t="shared" si="10"/>
        <v>0</v>
      </c>
      <c r="L126" s="260">
        <f t="shared" si="11"/>
        <v>5565.7</v>
      </c>
      <c r="M126" s="260">
        <f t="shared" si="12"/>
        <v>0</v>
      </c>
      <c r="N126" s="255">
        <f t="shared" si="9"/>
        <v>0</v>
      </c>
      <c r="O126" s="252" t="s">
        <v>3327</v>
      </c>
      <c r="P126" s="252"/>
      <c r="Q126" s="258">
        <f>SUMIF('Antelope Bailey Split BA'!$B$7:$B$29,B126,'Antelope Bailey Split BA'!$C$7:$C$29)</f>
        <v>0</v>
      </c>
      <c r="R126" s="258" t="str">
        <f>IF(AND(Q126=1,'Plant Total by Account'!$J$1=2),"EKWRA","")</f>
        <v/>
      </c>
    </row>
    <row r="127" spans="1:18" ht="12.75" customHeight="1" x14ac:dyDescent="0.2">
      <c r="A127" s="249" t="s">
        <v>2453</v>
      </c>
      <c r="B127" s="252" t="s">
        <v>484</v>
      </c>
      <c r="C127" s="252" t="s">
        <v>3353</v>
      </c>
      <c r="D127" s="253">
        <v>0</v>
      </c>
      <c r="E127" s="253">
        <v>0</v>
      </c>
      <c r="F127" s="253">
        <v>3071.64</v>
      </c>
      <c r="G127" s="546">
        <f t="shared" si="8"/>
        <v>3071.64</v>
      </c>
      <c r="H127" s="254">
        <v>0</v>
      </c>
      <c r="I127" s="254">
        <v>0</v>
      </c>
      <c r="J127" s="254">
        <v>0</v>
      </c>
      <c r="K127" s="260">
        <f t="shared" si="10"/>
        <v>0</v>
      </c>
      <c r="L127" s="260">
        <f t="shared" si="11"/>
        <v>0</v>
      </c>
      <c r="M127" s="260">
        <f t="shared" si="12"/>
        <v>3071.64</v>
      </c>
      <c r="N127" s="255">
        <f t="shared" si="9"/>
        <v>0</v>
      </c>
      <c r="O127" s="252" t="s">
        <v>3327</v>
      </c>
      <c r="P127" s="252"/>
      <c r="Q127" s="258">
        <f>SUMIF('Antelope Bailey Split BA'!$B$7:$B$29,B127,'Antelope Bailey Split BA'!$C$7:$C$29)</f>
        <v>0</v>
      </c>
      <c r="R127" s="258" t="str">
        <f>IF(AND(Q127=1,'Plant Total by Account'!$J$1=2),"EKWRA","")</f>
        <v/>
      </c>
    </row>
    <row r="128" spans="1:18" ht="12.75" customHeight="1" x14ac:dyDescent="0.2">
      <c r="A128" s="249" t="s">
        <v>2457</v>
      </c>
      <c r="B128" s="252" t="s">
        <v>495</v>
      </c>
      <c r="C128" s="252" t="s">
        <v>3353</v>
      </c>
      <c r="D128" s="253">
        <v>0</v>
      </c>
      <c r="E128" s="253">
        <v>0</v>
      </c>
      <c r="F128" s="253">
        <v>682054.57000000007</v>
      </c>
      <c r="G128" s="546">
        <f t="shared" si="8"/>
        <v>682054.57000000007</v>
      </c>
      <c r="H128" s="254">
        <v>0</v>
      </c>
      <c r="I128" s="254">
        <v>0</v>
      </c>
      <c r="J128" s="254">
        <v>0</v>
      </c>
      <c r="K128" s="260">
        <f t="shared" si="10"/>
        <v>0</v>
      </c>
      <c r="L128" s="260">
        <f t="shared" si="11"/>
        <v>0</v>
      </c>
      <c r="M128" s="260">
        <f t="shared" si="12"/>
        <v>682054.57000000007</v>
      </c>
      <c r="N128" s="255">
        <f t="shared" si="9"/>
        <v>0</v>
      </c>
      <c r="O128" s="252" t="s">
        <v>3327</v>
      </c>
      <c r="P128" s="252"/>
      <c r="Q128" s="258">
        <f>SUMIF('Antelope Bailey Split BA'!$B$7:$B$29,B128,'Antelope Bailey Split BA'!$C$7:$C$29)</f>
        <v>0</v>
      </c>
      <c r="R128" s="258" t="str">
        <f>IF(AND(Q128=1,'Plant Total by Account'!$J$1=2),"EKWRA","")</f>
        <v/>
      </c>
    </row>
    <row r="129" spans="1:18" ht="12.75" customHeight="1" x14ac:dyDescent="0.2">
      <c r="A129" s="249" t="s">
        <v>2461</v>
      </c>
      <c r="B129" s="252" t="s">
        <v>549</v>
      </c>
      <c r="C129" s="252" t="s">
        <v>3353</v>
      </c>
      <c r="D129" s="253">
        <v>0</v>
      </c>
      <c r="E129" s="253">
        <v>0</v>
      </c>
      <c r="F129" s="253">
        <v>13566.25</v>
      </c>
      <c r="G129" s="546">
        <f t="shared" si="8"/>
        <v>13566.25</v>
      </c>
      <c r="H129" s="254">
        <v>0</v>
      </c>
      <c r="I129" s="254">
        <v>0</v>
      </c>
      <c r="J129" s="254">
        <v>0</v>
      </c>
      <c r="K129" s="260">
        <f t="shared" si="10"/>
        <v>0</v>
      </c>
      <c r="L129" s="260">
        <f t="shared" si="11"/>
        <v>0</v>
      </c>
      <c r="M129" s="260">
        <f t="shared" si="12"/>
        <v>13566.25</v>
      </c>
      <c r="N129" s="255">
        <f t="shared" si="9"/>
        <v>0</v>
      </c>
      <c r="O129" s="252" t="s">
        <v>3327</v>
      </c>
      <c r="P129" s="252"/>
      <c r="Q129" s="258">
        <f>SUMIF('Antelope Bailey Split BA'!$B$7:$B$29,B129,'Antelope Bailey Split BA'!$C$7:$C$29)</f>
        <v>0</v>
      </c>
      <c r="R129" s="258" t="str">
        <f>IF(AND(Q129=1,'Plant Total by Account'!$J$1=2),"EKWRA","")</f>
        <v/>
      </c>
    </row>
    <row r="130" spans="1:18" ht="12.75" customHeight="1" x14ac:dyDescent="0.2">
      <c r="A130" s="249" t="s">
        <v>2462</v>
      </c>
      <c r="B130" s="252" t="s">
        <v>554</v>
      </c>
      <c r="C130" s="252" t="s">
        <v>3353</v>
      </c>
      <c r="D130" s="253">
        <v>0</v>
      </c>
      <c r="E130" s="253">
        <v>13595.77</v>
      </c>
      <c r="F130" s="253">
        <v>0</v>
      </c>
      <c r="G130" s="546">
        <f t="shared" si="8"/>
        <v>13595.77</v>
      </c>
      <c r="H130" s="254">
        <v>0</v>
      </c>
      <c r="I130" s="254">
        <v>0</v>
      </c>
      <c r="J130" s="254">
        <v>0</v>
      </c>
      <c r="K130" s="260">
        <f t="shared" si="10"/>
        <v>0</v>
      </c>
      <c r="L130" s="260">
        <f t="shared" si="11"/>
        <v>13595.77</v>
      </c>
      <c r="M130" s="260">
        <f t="shared" si="12"/>
        <v>0</v>
      </c>
      <c r="N130" s="255">
        <f t="shared" si="9"/>
        <v>0</v>
      </c>
      <c r="O130" s="252" t="s">
        <v>3327</v>
      </c>
      <c r="P130" s="252"/>
      <c r="Q130" s="258">
        <f>SUMIF('Antelope Bailey Split BA'!$B$7:$B$29,B130,'Antelope Bailey Split BA'!$C$7:$C$29)</f>
        <v>0</v>
      </c>
      <c r="R130" s="258" t="str">
        <f>IF(AND(Q130=1,'Plant Total by Account'!$J$1=2),"EKWRA","")</f>
        <v/>
      </c>
    </row>
    <row r="131" spans="1:18" ht="12.75" customHeight="1" x14ac:dyDescent="0.2">
      <c r="A131" s="249" t="s">
        <v>2463</v>
      </c>
      <c r="B131" s="252" t="s">
        <v>560</v>
      </c>
      <c r="C131" s="252" t="s">
        <v>3353</v>
      </c>
      <c r="D131" s="253">
        <v>0</v>
      </c>
      <c r="E131" s="253">
        <v>17061.689999999999</v>
      </c>
      <c r="F131" s="253">
        <v>0</v>
      </c>
      <c r="G131" s="546">
        <f t="shared" si="8"/>
        <v>17061.689999999999</v>
      </c>
      <c r="H131" s="254">
        <v>0</v>
      </c>
      <c r="I131" s="254">
        <v>0</v>
      </c>
      <c r="J131" s="254">
        <v>0</v>
      </c>
      <c r="K131" s="260">
        <f t="shared" si="10"/>
        <v>0</v>
      </c>
      <c r="L131" s="260">
        <f t="shared" si="11"/>
        <v>17061.689999999999</v>
      </c>
      <c r="M131" s="260">
        <f t="shared" si="12"/>
        <v>0</v>
      </c>
      <c r="N131" s="255">
        <f t="shared" si="9"/>
        <v>0</v>
      </c>
      <c r="O131" s="252" t="s">
        <v>3327</v>
      </c>
      <c r="P131" s="252"/>
      <c r="Q131" s="258">
        <f>SUMIF('Antelope Bailey Split BA'!$B$7:$B$29,B131,'Antelope Bailey Split BA'!$C$7:$C$29)</f>
        <v>0</v>
      </c>
      <c r="R131" s="258" t="str">
        <f>IF(AND(Q131=1,'Plant Total by Account'!$J$1=2),"EKWRA","")</f>
        <v/>
      </c>
    </row>
    <row r="132" spans="1:18" ht="12.75" customHeight="1" x14ac:dyDescent="0.2">
      <c r="A132" s="249" t="s">
        <v>2464</v>
      </c>
      <c r="B132" s="252" t="s">
        <v>564</v>
      </c>
      <c r="C132" s="252" t="s">
        <v>3353</v>
      </c>
      <c r="D132" s="253">
        <v>0</v>
      </c>
      <c r="E132" s="253">
        <v>0</v>
      </c>
      <c r="F132" s="253">
        <v>60710.79</v>
      </c>
      <c r="G132" s="546">
        <f t="shared" si="8"/>
        <v>60710.79</v>
      </c>
      <c r="H132" s="254">
        <v>0</v>
      </c>
      <c r="I132" s="254">
        <v>0</v>
      </c>
      <c r="J132" s="254">
        <v>0</v>
      </c>
      <c r="K132" s="260">
        <f t="shared" si="10"/>
        <v>0</v>
      </c>
      <c r="L132" s="260">
        <f t="shared" si="11"/>
        <v>0</v>
      </c>
      <c r="M132" s="260">
        <f t="shared" si="12"/>
        <v>60710.79</v>
      </c>
      <c r="N132" s="255">
        <f t="shared" si="9"/>
        <v>0</v>
      </c>
      <c r="O132" s="252" t="s">
        <v>3327</v>
      </c>
      <c r="P132" s="252"/>
      <c r="Q132" s="258">
        <f>SUMIF('Antelope Bailey Split BA'!$B$7:$B$29,B132,'Antelope Bailey Split BA'!$C$7:$C$29)</f>
        <v>0</v>
      </c>
      <c r="R132" s="258" t="str">
        <f>IF(AND(Q132=1,'Plant Total by Account'!$J$1=2),"EKWRA","")</f>
        <v/>
      </c>
    </row>
    <row r="133" spans="1:18" ht="12.75" customHeight="1" x14ac:dyDescent="0.2">
      <c r="A133" s="249" t="s">
        <v>2465</v>
      </c>
      <c r="B133" s="252" t="s">
        <v>141</v>
      </c>
      <c r="C133" s="252" t="s">
        <v>3353</v>
      </c>
      <c r="D133" s="253">
        <v>0</v>
      </c>
      <c r="E133" s="253">
        <v>0</v>
      </c>
      <c r="F133" s="253">
        <v>7605.55</v>
      </c>
      <c r="G133" s="546">
        <f t="shared" si="8"/>
        <v>7605.55</v>
      </c>
      <c r="H133" s="254">
        <v>0</v>
      </c>
      <c r="I133" s="254">
        <v>0</v>
      </c>
      <c r="J133" s="254">
        <v>0</v>
      </c>
      <c r="K133" s="260">
        <f t="shared" si="10"/>
        <v>0</v>
      </c>
      <c r="L133" s="260">
        <f t="shared" si="11"/>
        <v>0</v>
      </c>
      <c r="M133" s="260">
        <f t="shared" si="12"/>
        <v>7605.55</v>
      </c>
      <c r="N133" s="255">
        <f t="shared" si="9"/>
        <v>0</v>
      </c>
      <c r="O133" s="252" t="s">
        <v>3327</v>
      </c>
      <c r="P133" s="252"/>
      <c r="Q133" s="258">
        <f>SUMIF('Antelope Bailey Split BA'!$B$7:$B$29,B133,'Antelope Bailey Split BA'!$C$7:$C$29)</f>
        <v>0</v>
      </c>
      <c r="R133" s="258" t="str">
        <f>IF(AND(Q133=1,'Plant Total by Account'!$J$1=2),"EKWRA","")</f>
        <v/>
      </c>
    </row>
    <row r="134" spans="1:18" ht="12.75" customHeight="1" x14ac:dyDescent="0.2">
      <c r="A134" s="249" t="s">
        <v>2466</v>
      </c>
      <c r="B134" s="252" t="s">
        <v>582</v>
      </c>
      <c r="C134" s="252" t="s">
        <v>3352</v>
      </c>
      <c r="D134" s="253">
        <v>0</v>
      </c>
      <c r="E134" s="253">
        <v>14764.800000000001</v>
      </c>
      <c r="F134" s="253">
        <v>0</v>
      </c>
      <c r="G134" s="546">
        <f t="shared" si="8"/>
        <v>14764.800000000001</v>
      </c>
      <c r="H134" s="254">
        <v>0</v>
      </c>
      <c r="I134" s="254">
        <v>0</v>
      </c>
      <c r="J134" s="254">
        <v>0</v>
      </c>
      <c r="K134" s="260">
        <f t="shared" si="10"/>
        <v>0</v>
      </c>
      <c r="L134" s="260">
        <f t="shared" si="11"/>
        <v>14764.800000000001</v>
      </c>
      <c r="M134" s="260">
        <f t="shared" si="12"/>
        <v>0</v>
      </c>
      <c r="N134" s="255">
        <f t="shared" si="9"/>
        <v>0</v>
      </c>
      <c r="O134" s="252" t="s">
        <v>3327</v>
      </c>
      <c r="P134" s="252"/>
      <c r="Q134" s="258">
        <f>SUMIF('Antelope Bailey Split BA'!$B$7:$B$29,B134,'Antelope Bailey Split BA'!$C$7:$C$29)</f>
        <v>0</v>
      </c>
      <c r="R134" s="258" t="str">
        <f>IF(AND(Q134=1,'Plant Total by Account'!$J$1=2),"EKWRA","")</f>
        <v/>
      </c>
    </row>
    <row r="135" spans="1:18" ht="12.75" customHeight="1" x14ac:dyDescent="0.2">
      <c r="A135" s="249" t="s">
        <v>2467</v>
      </c>
      <c r="B135" s="252" t="s">
        <v>589</v>
      </c>
      <c r="C135" s="252" t="s">
        <v>3353</v>
      </c>
      <c r="D135" s="253">
        <v>0</v>
      </c>
      <c r="E135" s="253">
        <v>19747.47</v>
      </c>
      <c r="F135" s="253">
        <v>0</v>
      </c>
      <c r="G135" s="546">
        <f t="shared" si="8"/>
        <v>19747.47</v>
      </c>
      <c r="H135" s="254">
        <v>0</v>
      </c>
      <c r="I135" s="254">
        <v>0</v>
      </c>
      <c r="J135" s="254">
        <v>0</v>
      </c>
      <c r="K135" s="260">
        <f t="shared" si="10"/>
        <v>0</v>
      </c>
      <c r="L135" s="260">
        <f t="shared" si="11"/>
        <v>19747.47</v>
      </c>
      <c r="M135" s="260">
        <f t="shared" si="12"/>
        <v>0</v>
      </c>
      <c r="N135" s="255">
        <f t="shared" si="9"/>
        <v>0</v>
      </c>
      <c r="O135" s="252" t="s">
        <v>3327</v>
      </c>
      <c r="P135" s="252"/>
      <c r="Q135" s="258">
        <f>SUMIF('Antelope Bailey Split BA'!$B$7:$B$29,B135,'Antelope Bailey Split BA'!$C$7:$C$29)</f>
        <v>0</v>
      </c>
      <c r="R135" s="258" t="str">
        <f>IF(AND(Q135=1,'Plant Total by Account'!$J$1=2),"EKWRA","")</f>
        <v/>
      </c>
    </row>
    <row r="136" spans="1:18" ht="12.75" customHeight="1" x14ac:dyDescent="0.2">
      <c r="A136" s="249" t="s">
        <v>2468</v>
      </c>
      <c r="B136" s="252" t="s">
        <v>593</v>
      </c>
      <c r="C136" s="252" t="s">
        <v>3353</v>
      </c>
      <c r="D136" s="253">
        <v>0</v>
      </c>
      <c r="E136" s="253">
        <v>0</v>
      </c>
      <c r="F136" s="253">
        <v>22268.73</v>
      </c>
      <c r="G136" s="546">
        <f t="shared" si="8"/>
        <v>22268.73</v>
      </c>
      <c r="H136" s="254">
        <v>0</v>
      </c>
      <c r="I136" s="254">
        <v>0</v>
      </c>
      <c r="J136" s="254">
        <v>0</v>
      </c>
      <c r="K136" s="260">
        <f t="shared" si="10"/>
        <v>0</v>
      </c>
      <c r="L136" s="260">
        <f t="shared" si="11"/>
        <v>0</v>
      </c>
      <c r="M136" s="260">
        <f t="shared" si="12"/>
        <v>22268.73</v>
      </c>
      <c r="N136" s="255">
        <f t="shared" si="9"/>
        <v>0</v>
      </c>
      <c r="O136" s="252" t="s">
        <v>3327</v>
      </c>
      <c r="P136" s="252"/>
      <c r="Q136" s="258">
        <f>SUMIF('Antelope Bailey Split BA'!$B$7:$B$29,B136,'Antelope Bailey Split BA'!$C$7:$C$29)</f>
        <v>0</v>
      </c>
      <c r="R136" s="258" t="str">
        <f>IF(AND(Q136=1,'Plant Total by Account'!$J$1=2),"EKWRA","")</f>
        <v/>
      </c>
    </row>
    <row r="137" spans="1:18" ht="12.75" customHeight="1" x14ac:dyDescent="0.2">
      <c r="A137" s="249" t="s">
        <v>2469</v>
      </c>
      <c r="B137" s="252" t="s">
        <v>603</v>
      </c>
      <c r="C137" s="252" t="s">
        <v>3353</v>
      </c>
      <c r="D137" s="253">
        <v>0</v>
      </c>
      <c r="E137" s="253">
        <v>0</v>
      </c>
      <c r="F137" s="253">
        <v>17343.27</v>
      </c>
      <c r="G137" s="546">
        <f t="shared" si="8"/>
        <v>17343.27</v>
      </c>
      <c r="H137" s="254">
        <v>0</v>
      </c>
      <c r="I137" s="254">
        <v>0</v>
      </c>
      <c r="J137" s="254">
        <v>0</v>
      </c>
      <c r="K137" s="260">
        <f t="shared" si="10"/>
        <v>0</v>
      </c>
      <c r="L137" s="260">
        <f t="shared" si="11"/>
        <v>0</v>
      </c>
      <c r="M137" s="260">
        <f t="shared" si="12"/>
        <v>17343.27</v>
      </c>
      <c r="N137" s="255">
        <f t="shared" si="9"/>
        <v>0</v>
      </c>
      <c r="O137" s="252" t="s">
        <v>3327</v>
      </c>
      <c r="P137" s="252"/>
      <c r="Q137" s="258">
        <f>SUMIF('Antelope Bailey Split BA'!$B$7:$B$29,B137,'Antelope Bailey Split BA'!$C$7:$C$29)</f>
        <v>0</v>
      </c>
      <c r="R137" s="258" t="str">
        <f>IF(AND(Q137=1,'Plant Total by Account'!$J$1=2),"EKWRA","")</f>
        <v/>
      </c>
    </row>
    <row r="138" spans="1:18" ht="12.75" customHeight="1" x14ac:dyDescent="0.2">
      <c r="A138" s="249" t="s">
        <v>2470</v>
      </c>
      <c r="B138" s="252" t="s">
        <v>627</v>
      </c>
      <c r="C138" s="252" t="s">
        <v>3353</v>
      </c>
      <c r="D138" s="253">
        <v>-2887.2</v>
      </c>
      <c r="E138" s="253">
        <v>0</v>
      </c>
      <c r="F138" s="253">
        <v>0</v>
      </c>
      <c r="G138" s="546">
        <f t="shared" ref="G138:G201" si="13">SUM(D138:F138)</f>
        <v>-2887.2</v>
      </c>
      <c r="H138" s="254">
        <v>0</v>
      </c>
      <c r="I138" s="254">
        <v>0</v>
      </c>
      <c r="J138" s="254">
        <v>0</v>
      </c>
      <c r="K138" s="260">
        <f t="shared" si="10"/>
        <v>-2887.2</v>
      </c>
      <c r="L138" s="260">
        <f t="shared" si="11"/>
        <v>0</v>
      </c>
      <c r="M138" s="260">
        <f t="shared" si="12"/>
        <v>0</v>
      </c>
      <c r="N138" s="255">
        <f t="shared" ref="N138:N201" si="14">G138-SUM(H138:M138)</f>
        <v>0</v>
      </c>
      <c r="O138" s="252" t="s">
        <v>3327</v>
      </c>
      <c r="P138" s="252"/>
      <c r="Q138" s="258">
        <f>SUMIF('Antelope Bailey Split BA'!$B$7:$B$29,B138,'Antelope Bailey Split BA'!$C$7:$C$29)</f>
        <v>0</v>
      </c>
      <c r="R138" s="258" t="str">
        <f>IF(AND(Q138=1,'Plant Total by Account'!$J$1=2),"EKWRA","")</f>
        <v/>
      </c>
    </row>
    <row r="139" spans="1:18" ht="12.75" customHeight="1" x14ac:dyDescent="0.2">
      <c r="A139" s="249" t="s">
        <v>2471</v>
      </c>
      <c r="B139" s="252" t="s">
        <v>647</v>
      </c>
      <c r="C139" s="252" t="s">
        <v>3352</v>
      </c>
      <c r="D139" s="253">
        <v>0</v>
      </c>
      <c r="E139" s="253">
        <v>0</v>
      </c>
      <c r="F139" s="253">
        <v>16862.599999999999</v>
      </c>
      <c r="G139" s="546">
        <f t="shared" si="13"/>
        <v>16862.599999999999</v>
      </c>
      <c r="H139" s="254">
        <v>0</v>
      </c>
      <c r="I139" s="254">
        <v>0</v>
      </c>
      <c r="J139" s="254">
        <v>0</v>
      </c>
      <c r="K139" s="260">
        <f t="shared" si="10"/>
        <v>0</v>
      </c>
      <c r="L139" s="260">
        <f t="shared" si="11"/>
        <v>0</v>
      </c>
      <c r="M139" s="260">
        <f t="shared" si="12"/>
        <v>16862.599999999999</v>
      </c>
      <c r="N139" s="255">
        <f t="shared" si="14"/>
        <v>0</v>
      </c>
      <c r="O139" s="252" t="s">
        <v>3327</v>
      </c>
      <c r="P139" s="252"/>
      <c r="Q139" s="258">
        <f>SUMIF('Antelope Bailey Split BA'!$B$7:$B$29,B139,'Antelope Bailey Split BA'!$C$7:$C$29)</f>
        <v>0</v>
      </c>
      <c r="R139" s="258" t="str">
        <f>IF(AND(Q139=1,'Plant Total by Account'!$J$1=2),"EKWRA","")</f>
        <v/>
      </c>
    </row>
    <row r="140" spans="1:18" ht="12.75" customHeight="1" x14ac:dyDescent="0.2">
      <c r="A140" s="249" t="s">
        <v>2472</v>
      </c>
      <c r="B140" s="252" t="s">
        <v>657</v>
      </c>
      <c r="C140" s="252" t="s">
        <v>3352</v>
      </c>
      <c r="D140" s="253">
        <v>0</v>
      </c>
      <c r="E140" s="253">
        <v>0</v>
      </c>
      <c r="F140" s="253">
        <v>114340.08000000002</v>
      </c>
      <c r="G140" s="546">
        <f t="shared" si="13"/>
        <v>114340.08000000002</v>
      </c>
      <c r="H140" s="254">
        <v>0</v>
      </c>
      <c r="I140" s="254">
        <v>0</v>
      </c>
      <c r="J140" s="254">
        <v>0</v>
      </c>
      <c r="K140" s="260">
        <f t="shared" si="10"/>
        <v>0</v>
      </c>
      <c r="L140" s="260">
        <f t="shared" si="11"/>
        <v>0</v>
      </c>
      <c r="M140" s="260">
        <f t="shared" si="12"/>
        <v>114340.08000000002</v>
      </c>
      <c r="N140" s="255">
        <f t="shared" si="14"/>
        <v>0</v>
      </c>
      <c r="O140" s="252" t="s">
        <v>3327</v>
      </c>
      <c r="P140" s="252"/>
      <c r="Q140" s="258">
        <f>SUMIF('Antelope Bailey Split BA'!$B$7:$B$29,B140,'Antelope Bailey Split BA'!$C$7:$C$29)</f>
        <v>0</v>
      </c>
      <c r="R140" s="258" t="str">
        <f>IF(AND(Q140=1,'Plant Total by Account'!$J$1=2),"EKWRA","")</f>
        <v/>
      </c>
    </row>
    <row r="141" spans="1:18" ht="12.75" customHeight="1" x14ac:dyDescent="0.2">
      <c r="A141" s="249" t="s">
        <v>2473</v>
      </c>
      <c r="B141" s="252" t="s">
        <v>671</v>
      </c>
      <c r="C141" s="252" t="s">
        <v>3353</v>
      </c>
      <c r="D141" s="253">
        <v>0</v>
      </c>
      <c r="E141" s="253">
        <v>0</v>
      </c>
      <c r="F141" s="253">
        <v>3790.13</v>
      </c>
      <c r="G141" s="546">
        <f t="shared" si="13"/>
        <v>3790.13</v>
      </c>
      <c r="H141" s="254">
        <v>0</v>
      </c>
      <c r="I141" s="254">
        <v>0</v>
      </c>
      <c r="J141" s="254">
        <v>0</v>
      </c>
      <c r="K141" s="260">
        <f t="shared" si="10"/>
        <v>0</v>
      </c>
      <c r="L141" s="260">
        <f t="shared" si="11"/>
        <v>0</v>
      </c>
      <c r="M141" s="260">
        <f t="shared" si="12"/>
        <v>3790.13</v>
      </c>
      <c r="N141" s="255">
        <f t="shared" si="14"/>
        <v>0</v>
      </c>
      <c r="O141" s="252" t="s">
        <v>3327</v>
      </c>
      <c r="P141" s="252"/>
      <c r="Q141" s="258">
        <f>SUMIF('Antelope Bailey Split BA'!$B$7:$B$29,B141,'Antelope Bailey Split BA'!$C$7:$C$29)</f>
        <v>0</v>
      </c>
      <c r="R141" s="258" t="str">
        <f>IF(AND(Q141=1,'Plant Total by Account'!$J$1=2),"EKWRA","")</f>
        <v/>
      </c>
    </row>
    <row r="142" spans="1:18" ht="12.75" customHeight="1" x14ac:dyDescent="0.2">
      <c r="A142" s="249" t="s">
        <v>2474</v>
      </c>
      <c r="B142" s="252" t="s">
        <v>692</v>
      </c>
      <c r="C142" s="252" t="s">
        <v>3353</v>
      </c>
      <c r="D142" s="253">
        <v>0</v>
      </c>
      <c r="E142" s="253">
        <v>0</v>
      </c>
      <c r="F142" s="253">
        <v>10818.68</v>
      </c>
      <c r="G142" s="546">
        <f t="shared" si="13"/>
        <v>10818.68</v>
      </c>
      <c r="H142" s="254">
        <v>0</v>
      </c>
      <c r="I142" s="254">
        <v>0</v>
      </c>
      <c r="J142" s="254">
        <v>0</v>
      </c>
      <c r="K142" s="260">
        <f t="shared" si="10"/>
        <v>0</v>
      </c>
      <c r="L142" s="260">
        <f t="shared" si="11"/>
        <v>0</v>
      </c>
      <c r="M142" s="260">
        <f t="shared" si="12"/>
        <v>10818.68</v>
      </c>
      <c r="N142" s="255">
        <f t="shared" si="14"/>
        <v>0</v>
      </c>
      <c r="O142" s="252" t="s">
        <v>3327</v>
      </c>
      <c r="P142" s="252"/>
      <c r="Q142" s="258">
        <f>SUMIF('Antelope Bailey Split BA'!$B$7:$B$29,B142,'Antelope Bailey Split BA'!$C$7:$C$29)</f>
        <v>0</v>
      </c>
      <c r="R142" s="258" t="str">
        <f>IF(AND(Q142=1,'Plant Total by Account'!$J$1=2),"EKWRA","")</f>
        <v/>
      </c>
    </row>
    <row r="143" spans="1:18" ht="12.75" customHeight="1" x14ac:dyDescent="0.2">
      <c r="A143" s="249" t="s">
        <v>2475</v>
      </c>
      <c r="B143" s="252" t="s">
        <v>695</v>
      </c>
      <c r="C143" s="252" t="s">
        <v>3352</v>
      </c>
      <c r="D143" s="253">
        <v>0</v>
      </c>
      <c r="E143" s="253">
        <v>0</v>
      </c>
      <c r="F143" s="253">
        <v>17255.400000000001</v>
      </c>
      <c r="G143" s="546">
        <f t="shared" si="13"/>
        <v>17255.400000000001</v>
      </c>
      <c r="H143" s="254">
        <v>0</v>
      </c>
      <c r="I143" s="254">
        <v>0</v>
      </c>
      <c r="J143" s="254">
        <v>0</v>
      </c>
      <c r="K143" s="260">
        <f t="shared" si="10"/>
        <v>0</v>
      </c>
      <c r="L143" s="260">
        <f t="shared" si="11"/>
        <v>0</v>
      </c>
      <c r="M143" s="260">
        <f t="shared" si="12"/>
        <v>17255.400000000001</v>
      </c>
      <c r="N143" s="255">
        <f t="shared" si="14"/>
        <v>0</v>
      </c>
      <c r="O143" s="252" t="s">
        <v>3327</v>
      </c>
      <c r="P143" s="252"/>
      <c r="Q143" s="258">
        <f>SUMIF('Antelope Bailey Split BA'!$B$7:$B$29,B143,'Antelope Bailey Split BA'!$C$7:$C$29)</f>
        <v>0</v>
      </c>
      <c r="R143" s="258" t="str">
        <f>IF(AND(Q143=1,'Plant Total by Account'!$J$1=2),"EKWRA","")</f>
        <v/>
      </c>
    </row>
    <row r="144" spans="1:18" ht="12.75" customHeight="1" x14ac:dyDescent="0.2">
      <c r="A144" s="249" t="s">
        <v>2476</v>
      </c>
      <c r="B144" s="252" t="s">
        <v>696</v>
      </c>
      <c r="C144" s="252" t="s">
        <v>3353</v>
      </c>
      <c r="D144" s="253">
        <v>0</v>
      </c>
      <c r="E144" s="253">
        <v>0</v>
      </c>
      <c r="F144" s="253">
        <v>17100.52</v>
      </c>
      <c r="G144" s="546">
        <f t="shared" si="13"/>
        <v>17100.52</v>
      </c>
      <c r="H144" s="254">
        <v>0</v>
      </c>
      <c r="I144" s="254">
        <v>0</v>
      </c>
      <c r="J144" s="254">
        <v>0</v>
      </c>
      <c r="K144" s="260">
        <f t="shared" si="10"/>
        <v>0</v>
      </c>
      <c r="L144" s="260">
        <f t="shared" si="11"/>
        <v>0</v>
      </c>
      <c r="M144" s="260">
        <f t="shared" si="12"/>
        <v>17100.52</v>
      </c>
      <c r="N144" s="255">
        <f t="shared" si="14"/>
        <v>0</v>
      </c>
      <c r="O144" s="252" t="s">
        <v>3327</v>
      </c>
      <c r="P144" s="252"/>
      <c r="Q144" s="258">
        <f>SUMIF('Antelope Bailey Split BA'!$B$7:$B$29,B144,'Antelope Bailey Split BA'!$C$7:$C$29)</f>
        <v>0</v>
      </c>
      <c r="R144" s="258" t="str">
        <f>IF(AND(Q144=1,'Plant Total by Account'!$J$1=2),"EKWRA","")</f>
        <v/>
      </c>
    </row>
    <row r="145" spans="1:18" ht="12.75" customHeight="1" x14ac:dyDescent="0.2">
      <c r="A145" s="249" t="s">
        <v>2477</v>
      </c>
      <c r="B145" s="252" t="s">
        <v>705</v>
      </c>
      <c r="C145" s="252" t="s">
        <v>3353</v>
      </c>
      <c r="D145" s="253">
        <v>0</v>
      </c>
      <c r="E145" s="253">
        <v>0</v>
      </c>
      <c r="F145" s="253">
        <v>17658.29</v>
      </c>
      <c r="G145" s="546">
        <f t="shared" si="13"/>
        <v>17658.29</v>
      </c>
      <c r="H145" s="254">
        <v>0</v>
      </c>
      <c r="I145" s="254">
        <v>0</v>
      </c>
      <c r="J145" s="254">
        <v>0</v>
      </c>
      <c r="K145" s="260">
        <f t="shared" si="10"/>
        <v>0</v>
      </c>
      <c r="L145" s="260">
        <f t="shared" si="11"/>
        <v>0</v>
      </c>
      <c r="M145" s="260">
        <f t="shared" si="12"/>
        <v>17658.29</v>
      </c>
      <c r="N145" s="255">
        <f t="shared" si="14"/>
        <v>0</v>
      </c>
      <c r="O145" s="252" t="s">
        <v>3327</v>
      </c>
      <c r="P145" s="252"/>
      <c r="Q145" s="258">
        <f>SUMIF('Antelope Bailey Split BA'!$B$7:$B$29,B145,'Antelope Bailey Split BA'!$C$7:$C$29)</f>
        <v>0</v>
      </c>
      <c r="R145" s="258" t="str">
        <f>IF(AND(Q145=1,'Plant Total by Account'!$J$1=2),"EKWRA","")</f>
        <v/>
      </c>
    </row>
    <row r="146" spans="1:18" ht="12.75" customHeight="1" x14ac:dyDescent="0.2">
      <c r="A146" s="249" t="s">
        <v>2478</v>
      </c>
      <c r="B146" s="252" t="s">
        <v>712</v>
      </c>
      <c r="C146" s="252" t="s">
        <v>3353</v>
      </c>
      <c r="D146" s="253">
        <v>0</v>
      </c>
      <c r="E146" s="253">
        <v>0</v>
      </c>
      <c r="F146" s="253">
        <v>80113.89</v>
      </c>
      <c r="G146" s="546">
        <f t="shared" si="13"/>
        <v>80113.89</v>
      </c>
      <c r="H146" s="254">
        <v>0</v>
      </c>
      <c r="I146" s="254">
        <v>0</v>
      </c>
      <c r="J146" s="254">
        <v>0</v>
      </c>
      <c r="K146" s="260">
        <f t="shared" si="10"/>
        <v>0</v>
      </c>
      <c r="L146" s="260">
        <f t="shared" si="11"/>
        <v>0</v>
      </c>
      <c r="M146" s="260">
        <f t="shared" si="12"/>
        <v>80113.89</v>
      </c>
      <c r="N146" s="255">
        <f t="shared" si="14"/>
        <v>0</v>
      </c>
      <c r="O146" s="252" t="s">
        <v>3327</v>
      </c>
      <c r="P146" s="252"/>
      <c r="Q146" s="258">
        <f>SUMIF('Antelope Bailey Split BA'!$B$7:$B$29,B146,'Antelope Bailey Split BA'!$C$7:$C$29)</f>
        <v>0</v>
      </c>
      <c r="R146" s="258" t="str">
        <f>IF(AND(Q146=1,'Plant Total by Account'!$J$1=2),"EKWRA","")</f>
        <v/>
      </c>
    </row>
    <row r="147" spans="1:18" ht="12.75" customHeight="1" x14ac:dyDescent="0.2">
      <c r="A147" s="249" t="s">
        <v>2479</v>
      </c>
      <c r="B147" s="252" t="s">
        <v>721</v>
      </c>
      <c r="C147" s="252" t="s">
        <v>3353</v>
      </c>
      <c r="D147" s="253">
        <v>0</v>
      </c>
      <c r="E147" s="253">
        <v>0</v>
      </c>
      <c r="F147" s="253">
        <v>17757.55</v>
      </c>
      <c r="G147" s="546">
        <f t="shared" si="13"/>
        <v>17757.55</v>
      </c>
      <c r="H147" s="254">
        <v>0</v>
      </c>
      <c r="I147" s="254">
        <v>0</v>
      </c>
      <c r="J147" s="254">
        <v>0</v>
      </c>
      <c r="K147" s="260">
        <f t="shared" si="10"/>
        <v>0</v>
      </c>
      <c r="L147" s="260">
        <f t="shared" si="11"/>
        <v>0</v>
      </c>
      <c r="M147" s="260">
        <f t="shared" si="12"/>
        <v>17757.55</v>
      </c>
      <c r="N147" s="255">
        <f t="shared" si="14"/>
        <v>0</v>
      </c>
      <c r="O147" s="252" t="s">
        <v>3327</v>
      </c>
      <c r="P147" s="252"/>
      <c r="Q147" s="258">
        <f>SUMIF('Antelope Bailey Split BA'!$B$7:$B$29,B147,'Antelope Bailey Split BA'!$C$7:$C$29)</f>
        <v>0</v>
      </c>
      <c r="R147" s="258" t="str">
        <f>IF(AND(Q147=1,'Plant Total by Account'!$J$1=2),"EKWRA","")</f>
        <v/>
      </c>
    </row>
    <row r="148" spans="1:18" ht="12.75" customHeight="1" x14ac:dyDescent="0.2">
      <c r="A148" s="249" t="s">
        <v>2480</v>
      </c>
      <c r="B148" s="252" t="s">
        <v>723</v>
      </c>
      <c r="C148" s="252" t="s">
        <v>3353</v>
      </c>
      <c r="D148" s="253">
        <v>0</v>
      </c>
      <c r="E148" s="253">
        <v>93280.11</v>
      </c>
      <c r="F148" s="253">
        <v>0</v>
      </c>
      <c r="G148" s="546">
        <f t="shared" si="13"/>
        <v>93280.11</v>
      </c>
      <c r="H148" s="254">
        <v>0</v>
      </c>
      <c r="I148" s="254">
        <v>0</v>
      </c>
      <c r="J148" s="254">
        <v>0</v>
      </c>
      <c r="K148" s="260">
        <f t="shared" si="10"/>
        <v>0</v>
      </c>
      <c r="L148" s="260">
        <f t="shared" si="11"/>
        <v>93280.11</v>
      </c>
      <c r="M148" s="260">
        <f t="shared" si="12"/>
        <v>0</v>
      </c>
      <c r="N148" s="255">
        <f t="shared" si="14"/>
        <v>0</v>
      </c>
      <c r="O148" s="252" t="s">
        <v>3327</v>
      </c>
      <c r="P148" s="252"/>
      <c r="Q148" s="258">
        <f>SUMIF('Antelope Bailey Split BA'!$B$7:$B$29,B148,'Antelope Bailey Split BA'!$C$7:$C$29)</f>
        <v>0</v>
      </c>
      <c r="R148" s="258" t="str">
        <f>IF(AND(Q148=1,'Plant Total by Account'!$J$1=2),"EKWRA","")</f>
        <v/>
      </c>
    </row>
    <row r="149" spans="1:18" ht="12.75" customHeight="1" x14ac:dyDescent="0.2">
      <c r="A149" s="249" t="s">
        <v>2481</v>
      </c>
      <c r="B149" s="252" t="s">
        <v>734</v>
      </c>
      <c r="C149" s="252" t="s">
        <v>3353</v>
      </c>
      <c r="D149" s="253">
        <v>0</v>
      </c>
      <c r="E149" s="253">
        <v>0</v>
      </c>
      <c r="F149" s="253">
        <v>17259.349999999999</v>
      </c>
      <c r="G149" s="546">
        <f t="shared" si="13"/>
        <v>17259.349999999999</v>
      </c>
      <c r="H149" s="254">
        <v>0</v>
      </c>
      <c r="I149" s="254">
        <v>0</v>
      </c>
      <c r="J149" s="254">
        <v>0</v>
      </c>
      <c r="K149" s="260">
        <f t="shared" si="10"/>
        <v>0</v>
      </c>
      <c r="L149" s="260">
        <f t="shared" si="11"/>
        <v>0</v>
      </c>
      <c r="M149" s="260">
        <f t="shared" si="12"/>
        <v>17259.349999999999</v>
      </c>
      <c r="N149" s="255">
        <f t="shared" si="14"/>
        <v>0</v>
      </c>
      <c r="O149" s="252" t="s">
        <v>3327</v>
      </c>
      <c r="P149" s="252"/>
      <c r="Q149" s="258">
        <f>SUMIF('Antelope Bailey Split BA'!$B$7:$B$29,B149,'Antelope Bailey Split BA'!$C$7:$C$29)</f>
        <v>0</v>
      </c>
      <c r="R149" s="258" t="str">
        <f>IF(AND(Q149=1,'Plant Total by Account'!$J$1=2),"EKWRA","")</f>
        <v/>
      </c>
    </row>
    <row r="150" spans="1:18" ht="12.75" customHeight="1" x14ac:dyDescent="0.2">
      <c r="A150" s="249" t="s">
        <v>2482</v>
      </c>
      <c r="B150" s="252" t="s">
        <v>737</v>
      </c>
      <c r="C150" s="252" t="s">
        <v>3353</v>
      </c>
      <c r="D150" s="253">
        <v>0</v>
      </c>
      <c r="E150" s="253">
        <v>0</v>
      </c>
      <c r="F150" s="253">
        <v>17124.63</v>
      </c>
      <c r="G150" s="546">
        <f t="shared" si="13"/>
        <v>17124.63</v>
      </c>
      <c r="H150" s="254">
        <v>0</v>
      </c>
      <c r="I150" s="254">
        <v>0</v>
      </c>
      <c r="J150" s="254">
        <v>0</v>
      </c>
      <c r="K150" s="260">
        <f t="shared" si="10"/>
        <v>0</v>
      </c>
      <c r="L150" s="260">
        <f t="shared" si="11"/>
        <v>0</v>
      </c>
      <c r="M150" s="260">
        <f t="shared" si="12"/>
        <v>17124.63</v>
      </c>
      <c r="N150" s="255">
        <f t="shared" si="14"/>
        <v>0</v>
      </c>
      <c r="O150" s="252" t="s">
        <v>3327</v>
      </c>
      <c r="P150" s="252"/>
      <c r="Q150" s="258">
        <f>SUMIF('Antelope Bailey Split BA'!$B$7:$B$29,B150,'Antelope Bailey Split BA'!$C$7:$C$29)</f>
        <v>0</v>
      </c>
      <c r="R150" s="258" t="str">
        <f>IF(AND(Q150=1,'Plant Total by Account'!$J$1=2),"EKWRA","")</f>
        <v/>
      </c>
    </row>
    <row r="151" spans="1:18" ht="12.75" customHeight="1" x14ac:dyDescent="0.2">
      <c r="A151" s="249" t="s">
        <v>2483</v>
      </c>
      <c r="B151" s="252" t="s">
        <v>746</v>
      </c>
      <c r="C151" s="252" t="s">
        <v>3353</v>
      </c>
      <c r="D151" s="253">
        <v>0</v>
      </c>
      <c r="E151" s="253">
        <v>0</v>
      </c>
      <c r="F151" s="253">
        <v>57621.41</v>
      </c>
      <c r="G151" s="546">
        <f t="shared" si="13"/>
        <v>57621.41</v>
      </c>
      <c r="H151" s="254">
        <v>0</v>
      </c>
      <c r="I151" s="254">
        <v>0</v>
      </c>
      <c r="J151" s="254">
        <v>0</v>
      </c>
      <c r="K151" s="260">
        <f t="shared" si="10"/>
        <v>0</v>
      </c>
      <c r="L151" s="260">
        <f t="shared" si="11"/>
        <v>0</v>
      </c>
      <c r="M151" s="260">
        <f t="shared" si="12"/>
        <v>57621.41</v>
      </c>
      <c r="N151" s="255">
        <f t="shared" si="14"/>
        <v>0</v>
      </c>
      <c r="O151" s="252" t="s">
        <v>3327</v>
      </c>
      <c r="P151" s="252"/>
      <c r="Q151" s="258">
        <f>SUMIF('Antelope Bailey Split BA'!$B$7:$B$29,B151,'Antelope Bailey Split BA'!$C$7:$C$29)</f>
        <v>0</v>
      </c>
      <c r="R151" s="258" t="str">
        <f>IF(AND(Q151=1,'Plant Total by Account'!$J$1=2),"EKWRA","")</f>
        <v/>
      </c>
    </row>
    <row r="152" spans="1:18" ht="12.75" customHeight="1" x14ac:dyDescent="0.2">
      <c r="A152" s="249" t="s">
        <v>2484</v>
      </c>
      <c r="B152" s="252" t="s">
        <v>761</v>
      </c>
      <c r="C152" s="252" t="s">
        <v>3353</v>
      </c>
      <c r="D152" s="253">
        <v>241261.67</v>
      </c>
      <c r="E152" s="253">
        <v>0</v>
      </c>
      <c r="F152" s="253">
        <v>0</v>
      </c>
      <c r="G152" s="546">
        <f t="shared" si="13"/>
        <v>241261.67</v>
      </c>
      <c r="H152" s="254">
        <v>0</v>
      </c>
      <c r="I152" s="254">
        <v>0</v>
      </c>
      <c r="J152" s="254">
        <v>0</v>
      </c>
      <c r="K152" s="260">
        <f t="shared" si="10"/>
        <v>241261.67</v>
      </c>
      <c r="L152" s="260">
        <f t="shared" si="11"/>
        <v>0</v>
      </c>
      <c r="M152" s="260">
        <f t="shared" si="12"/>
        <v>0</v>
      </c>
      <c r="N152" s="255">
        <f t="shared" si="14"/>
        <v>0</v>
      </c>
      <c r="O152" s="252" t="s">
        <v>3327</v>
      </c>
      <c r="P152" s="252"/>
      <c r="Q152" s="258">
        <f>SUMIF('Antelope Bailey Split BA'!$B$7:$B$29,B152,'Antelope Bailey Split BA'!$C$7:$C$29)</f>
        <v>0</v>
      </c>
      <c r="R152" s="258" t="str">
        <f>IF(AND(Q152=1,'Plant Total by Account'!$J$1=2),"EKWRA","")</f>
        <v/>
      </c>
    </row>
    <row r="153" spans="1:18" ht="12.75" customHeight="1" x14ac:dyDescent="0.2">
      <c r="A153" s="249" t="s">
        <v>2485</v>
      </c>
      <c r="B153" s="252" t="s">
        <v>763</v>
      </c>
      <c r="C153" s="252" t="s">
        <v>3353</v>
      </c>
      <c r="D153" s="253">
        <v>0</v>
      </c>
      <c r="E153" s="253">
        <v>0</v>
      </c>
      <c r="F153" s="253">
        <v>14801.710000000001</v>
      </c>
      <c r="G153" s="546">
        <f t="shared" si="13"/>
        <v>14801.710000000001</v>
      </c>
      <c r="H153" s="254">
        <v>0</v>
      </c>
      <c r="I153" s="254">
        <v>0</v>
      </c>
      <c r="J153" s="254">
        <v>0</v>
      </c>
      <c r="K153" s="260">
        <f t="shared" si="10"/>
        <v>0</v>
      </c>
      <c r="L153" s="260">
        <f t="shared" si="11"/>
        <v>0</v>
      </c>
      <c r="M153" s="260">
        <f t="shared" si="12"/>
        <v>14801.710000000001</v>
      </c>
      <c r="N153" s="255">
        <f t="shared" si="14"/>
        <v>0</v>
      </c>
      <c r="O153" s="252" t="s">
        <v>3327</v>
      </c>
      <c r="P153" s="252"/>
      <c r="Q153" s="258">
        <f>SUMIF('Antelope Bailey Split BA'!$B$7:$B$29,B153,'Antelope Bailey Split BA'!$C$7:$C$29)</f>
        <v>0</v>
      </c>
      <c r="R153" s="258" t="str">
        <f>IF(AND(Q153=1,'Plant Total by Account'!$J$1=2),"EKWRA","")</f>
        <v/>
      </c>
    </row>
    <row r="154" spans="1:18" ht="12.75" customHeight="1" x14ac:dyDescent="0.2">
      <c r="A154" s="249" t="s">
        <v>2486</v>
      </c>
      <c r="B154" s="252" t="s">
        <v>769</v>
      </c>
      <c r="C154" s="252" t="s">
        <v>3353</v>
      </c>
      <c r="D154" s="253">
        <v>0</v>
      </c>
      <c r="E154" s="253">
        <v>0</v>
      </c>
      <c r="F154" s="253">
        <v>17288.920000000002</v>
      </c>
      <c r="G154" s="546">
        <f t="shared" si="13"/>
        <v>17288.920000000002</v>
      </c>
      <c r="H154" s="254">
        <v>0</v>
      </c>
      <c r="I154" s="254">
        <v>0</v>
      </c>
      <c r="J154" s="254">
        <v>0</v>
      </c>
      <c r="K154" s="260">
        <f t="shared" si="10"/>
        <v>0</v>
      </c>
      <c r="L154" s="260">
        <f t="shared" si="11"/>
        <v>0</v>
      </c>
      <c r="M154" s="260">
        <f t="shared" si="12"/>
        <v>17288.920000000002</v>
      </c>
      <c r="N154" s="255">
        <f t="shared" si="14"/>
        <v>0</v>
      </c>
      <c r="O154" s="252" t="s">
        <v>3327</v>
      </c>
      <c r="P154" s="252"/>
      <c r="Q154" s="258">
        <f>SUMIF('Antelope Bailey Split BA'!$B$7:$B$29,B154,'Antelope Bailey Split BA'!$C$7:$C$29)</f>
        <v>0</v>
      </c>
      <c r="R154" s="258" t="str">
        <f>IF(AND(Q154=1,'Plant Total by Account'!$J$1=2),"EKWRA","")</f>
        <v/>
      </c>
    </row>
    <row r="155" spans="1:18" ht="12.75" customHeight="1" x14ac:dyDescent="0.2">
      <c r="A155" s="249" t="s">
        <v>2487</v>
      </c>
      <c r="B155" s="252" t="s">
        <v>776</v>
      </c>
      <c r="C155" s="252" t="s">
        <v>3353</v>
      </c>
      <c r="D155" s="253">
        <v>11308.24</v>
      </c>
      <c r="E155" s="253">
        <v>0</v>
      </c>
      <c r="F155" s="253">
        <v>0</v>
      </c>
      <c r="G155" s="546">
        <f t="shared" si="13"/>
        <v>11308.24</v>
      </c>
      <c r="H155" s="254">
        <v>0</v>
      </c>
      <c r="I155" s="254">
        <v>0</v>
      </c>
      <c r="J155" s="254">
        <v>0</v>
      </c>
      <c r="K155" s="260">
        <f t="shared" si="10"/>
        <v>11308.24</v>
      </c>
      <c r="L155" s="260">
        <f t="shared" si="11"/>
        <v>0</v>
      </c>
      <c r="M155" s="260">
        <f t="shared" si="12"/>
        <v>0</v>
      </c>
      <c r="N155" s="255">
        <f t="shared" si="14"/>
        <v>0</v>
      </c>
      <c r="O155" s="252" t="s">
        <v>3327</v>
      </c>
      <c r="P155" s="252"/>
      <c r="Q155" s="258">
        <f>SUMIF('Antelope Bailey Split BA'!$B$7:$B$29,B155,'Antelope Bailey Split BA'!$C$7:$C$29)</f>
        <v>0</v>
      </c>
      <c r="R155" s="258" t="str">
        <f>IF(AND(Q155=1,'Plant Total by Account'!$J$1=2),"EKWRA","")</f>
        <v/>
      </c>
    </row>
    <row r="156" spans="1:18" ht="12.75" customHeight="1" x14ac:dyDescent="0.2">
      <c r="A156" s="249" t="s">
        <v>2488</v>
      </c>
      <c r="B156" s="252" t="s">
        <v>788</v>
      </c>
      <c r="C156" s="252" t="s">
        <v>3353</v>
      </c>
      <c r="D156" s="253">
        <v>0</v>
      </c>
      <c r="E156" s="253">
        <v>12559.82</v>
      </c>
      <c r="F156" s="253">
        <v>16160.31</v>
      </c>
      <c r="G156" s="546">
        <f t="shared" si="13"/>
        <v>28720.129999999997</v>
      </c>
      <c r="H156" s="254">
        <v>0</v>
      </c>
      <c r="I156" s="254">
        <v>0</v>
      </c>
      <c r="J156" s="254">
        <v>0</v>
      </c>
      <c r="K156" s="260">
        <f t="shared" si="10"/>
        <v>0</v>
      </c>
      <c r="L156" s="260">
        <f t="shared" si="11"/>
        <v>12559.82</v>
      </c>
      <c r="M156" s="260">
        <f t="shared" si="12"/>
        <v>16160.31</v>
      </c>
      <c r="N156" s="255">
        <f t="shared" si="14"/>
        <v>0</v>
      </c>
      <c r="O156" s="252" t="s">
        <v>3327</v>
      </c>
      <c r="P156" s="252"/>
      <c r="Q156" s="258">
        <f>SUMIF('Antelope Bailey Split BA'!$B$7:$B$29,B156,'Antelope Bailey Split BA'!$C$7:$C$29)</f>
        <v>0</v>
      </c>
      <c r="R156" s="258" t="str">
        <f>IF(AND(Q156=1,'Plant Total by Account'!$J$1=2),"EKWRA","")</f>
        <v/>
      </c>
    </row>
    <row r="157" spans="1:18" ht="12.75" customHeight="1" x14ac:dyDescent="0.2">
      <c r="A157" s="249" t="s">
        <v>2489</v>
      </c>
      <c r="B157" s="252" t="s">
        <v>792</v>
      </c>
      <c r="C157" s="252" t="s">
        <v>3353</v>
      </c>
      <c r="D157" s="253">
        <v>0</v>
      </c>
      <c r="E157" s="253">
        <v>0</v>
      </c>
      <c r="F157" s="253">
        <v>21383.5</v>
      </c>
      <c r="G157" s="546">
        <f t="shared" si="13"/>
        <v>21383.5</v>
      </c>
      <c r="H157" s="254">
        <v>0</v>
      </c>
      <c r="I157" s="254">
        <v>0</v>
      </c>
      <c r="J157" s="254">
        <v>0</v>
      </c>
      <c r="K157" s="260">
        <f t="shared" si="10"/>
        <v>0</v>
      </c>
      <c r="L157" s="260">
        <f t="shared" si="11"/>
        <v>0</v>
      </c>
      <c r="M157" s="260">
        <f t="shared" si="12"/>
        <v>21383.5</v>
      </c>
      <c r="N157" s="255">
        <f t="shared" si="14"/>
        <v>0</v>
      </c>
      <c r="O157" s="252" t="s">
        <v>3327</v>
      </c>
      <c r="P157" s="252"/>
      <c r="Q157" s="258">
        <f>SUMIF('Antelope Bailey Split BA'!$B$7:$B$29,B157,'Antelope Bailey Split BA'!$C$7:$C$29)</f>
        <v>0</v>
      </c>
      <c r="R157" s="258" t="str">
        <f>IF(AND(Q157=1,'Plant Total by Account'!$J$1=2),"EKWRA","")</f>
        <v/>
      </c>
    </row>
    <row r="158" spans="1:18" ht="12.75" customHeight="1" x14ac:dyDescent="0.2">
      <c r="A158" s="249" t="s">
        <v>2490</v>
      </c>
      <c r="B158" s="252" t="s">
        <v>2258</v>
      </c>
      <c r="C158" s="252" t="s">
        <v>3353</v>
      </c>
      <c r="D158" s="253">
        <v>4664176.95</v>
      </c>
      <c r="E158" s="253">
        <v>0</v>
      </c>
      <c r="F158" s="253">
        <v>0</v>
      </c>
      <c r="G158" s="546">
        <f t="shared" si="13"/>
        <v>4664176.95</v>
      </c>
      <c r="H158" s="254">
        <v>0</v>
      </c>
      <c r="I158" s="254">
        <v>0</v>
      </c>
      <c r="J158" s="254">
        <v>0</v>
      </c>
      <c r="K158" s="260">
        <f t="shared" si="10"/>
        <v>4664176.95</v>
      </c>
      <c r="L158" s="260">
        <f t="shared" si="11"/>
        <v>0</v>
      </c>
      <c r="M158" s="260">
        <f t="shared" si="12"/>
        <v>0</v>
      </c>
      <c r="N158" s="255">
        <f t="shared" si="14"/>
        <v>0</v>
      </c>
      <c r="O158" s="252" t="s">
        <v>3327</v>
      </c>
      <c r="P158" s="252"/>
      <c r="Q158" s="258">
        <f>SUMIF('Antelope Bailey Split BA'!$B$7:$B$29,B158,'Antelope Bailey Split BA'!$C$7:$C$29)</f>
        <v>0</v>
      </c>
      <c r="R158" s="258" t="str">
        <f>IF(AND(Q158=1,'Plant Total by Account'!$J$1=2),"EKWRA","")</f>
        <v/>
      </c>
    </row>
    <row r="159" spans="1:18" ht="12.75" customHeight="1" x14ac:dyDescent="0.2">
      <c r="A159" s="249" t="s">
        <v>2491</v>
      </c>
      <c r="B159" s="252" t="s">
        <v>1174</v>
      </c>
      <c r="C159" s="252" t="s">
        <v>3348</v>
      </c>
      <c r="D159" s="253">
        <v>110642.68000000001</v>
      </c>
      <c r="E159" s="253">
        <v>489588.58</v>
      </c>
      <c r="F159" s="253">
        <v>3071112.8299999996</v>
      </c>
      <c r="G159" s="546">
        <f t="shared" si="13"/>
        <v>3671344.09</v>
      </c>
      <c r="H159" s="254">
        <v>0</v>
      </c>
      <c r="I159" s="254">
        <v>0</v>
      </c>
      <c r="J159" s="254">
        <v>0</v>
      </c>
      <c r="K159" s="260">
        <f t="shared" si="10"/>
        <v>110642.68000000001</v>
      </c>
      <c r="L159" s="260">
        <f t="shared" si="11"/>
        <v>489588.58</v>
      </c>
      <c r="M159" s="260">
        <f t="shared" si="12"/>
        <v>3071112.8299999996</v>
      </c>
      <c r="N159" s="255">
        <f t="shared" si="14"/>
        <v>0</v>
      </c>
      <c r="O159" s="252" t="s">
        <v>3327</v>
      </c>
      <c r="P159" s="252"/>
      <c r="Q159" s="258">
        <f>SUMIF('Antelope Bailey Split BA'!$B$7:$B$29,B159,'Antelope Bailey Split BA'!$C$7:$C$29)</f>
        <v>0</v>
      </c>
      <c r="R159" s="258" t="str">
        <f>IF(AND(Q159=1,'Plant Total by Account'!$J$1=2),"EKWRA","")</f>
        <v/>
      </c>
    </row>
    <row r="160" spans="1:18" ht="12.75" customHeight="1" x14ac:dyDescent="0.2">
      <c r="A160" s="249" t="s">
        <v>2492</v>
      </c>
      <c r="B160" s="252" t="s">
        <v>1175</v>
      </c>
      <c r="C160" s="252" t="s">
        <v>3348</v>
      </c>
      <c r="D160" s="253">
        <v>106824.87</v>
      </c>
      <c r="E160" s="253">
        <v>763110.8899999999</v>
      </c>
      <c r="F160" s="253">
        <v>8151807.2800000021</v>
      </c>
      <c r="G160" s="546">
        <f t="shared" si="13"/>
        <v>9021743.0400000028</v>
      </c>
      <c r="H160" s="254">
        <v>0</v>
      </c>
      <c r="I160" s="254">
        <v>0</v>
      </c>
      <c r="J160" s="254">
        <v>0</v>
      </c>
      <c r="K160" s="260">
        <f t="shared" si="10"/>
        <v>106824.87</v>
      </c>
      <c r="L160" s="260">
        <f t="shared" si="11"/>
        <v>763110.8899999999</v>
      </c>
      <c r="M160" s="260">
        <f t="shared" si="12"/>
        <v>8151807.2800000021</v>
      </c>
      <c r="N160" s="255">
        <f t="shared" si="14"/>
        <v>0</v>
      </c>
      <c r="O160" s="252" t="s">
        <v>3327</v>
      </c>
      <c r="P160" s="252"/>
      <c r="Q160" s="258">
        <f>SUMIF('Antelope Bailey Split BA'!$B$7:$B$29,B160,'Antelope Bailey Split BA'!$C$7:$C$29)</f>
        <v>0</v>
      </c>
      <c r="R160" s="258" t="str">
        <f>IF(AND(Q160=1,'Plant Total by Account'!$J$1=2),"EKWRA","")</f>
        <v/>
      </c>
    </row>
    <row r="161" spans="1:18" ht="12.75" customHeight="1" x14ac:dyDescent="0.2">
      <c r="A161" s="249" t="s">
        <v>2493</v>
      </c>
      <c r="B161" s="252" t="s">
        <v>1176</v>
      </c>
      <c r="C161" s="252" t="s">
        <v>3348</v>
      </c>
      <c r="D161" s="253">
        <v>25608.82</v>
      </c>
      <c r="E161" s="253">
        <v>965298.06</v>
      </c>
      <c r="F161" s="253">
        <v>6875834.8700000001</v>
      </c>
      <c r="G161" s="546">
        <f t="shared" si="13"/>
        <v>7866741.75</v>
      </c>
      <c r="H161" s="254">
        <v>0</v>
      </c>
      <c r="I161" s="254">
        <v>0</v>
      </c>
      <c r="J161" s="254">
        <v>0</v>
      </c>
      <c r="K161" s="260">
        <f t="shared" si="10"/>
        <v>25608.82</v>
      </c>
      <c r="L161" s="260">
        <f t="shared" si="11"/>
        <v>965298.06</v>
      </c>
      <c r="M161" s="260">
        <f t="shared" si="12"/>
        <v>6875834.8700000001</v>
      </c>
      <c r="N161" s="255">
        <f t="shared" si="14"/>
        <v>0</v>
      </c>
      <c r="O161" s="252" t="s">
        <v>3327</v>
      </c>
      <c r="P161" s="252"/>
      <c r="Q161" s="258">
        <f>SUMIF('Antelope Bailey Split BA'!$B$7:$B$29,B161,'Antelope Bailey Split BA'!$C$7:$C$29)</f>
        <v>0</v>
      </c>
      <c r="R161" s="258" t="str">
        <f>IF(AND(Q161=1,'Plant Total by Account'!$J$1=2),"EKWRA","")</f>
        <v/>
      </c>
    </row>
    <row r="162" spans="1:18" ht="12.75" customHeight="1" x14ac:dyDescent="0.2">
      <c r="A162" s="249" t="s">
        <v>2494</v>
      </c>
      <c r="B162" s="252" t="s">
        <v>1177</v>
      </c>
      <c r="C162" s="252" t="s">
        <v>3348</v>
      </c>
      <c r="D162" s="253">
        <v>139611.32</v>
      </c>
      <c r="E162" s="253">
        <v>761679.69</v>
      </c>
      <c r="F162" s="253">
        <v>10956043.610000005</v>
      </c>
      <c r="G162" s="546">
        <f t="shared" si="13"/>
        <v>11857334.620000005</v>
      </c>
      <c r="H162" s="254">
        <v>0</v>
      </c>
      <c r="I162" s="254">
        <v>0</v>
      </c>
      <c r="J162" s="254">
        <v>0</v>
      </c>
      <c r="K162" s="260">
        <f t="shared" si="10"/>
        <v>139611.32</v>
      </c>
      <c r="L162" s="260">
        <f t="shared" si="11"/>
        <v>761679.69</v>
      </c>
      <c r="M162" s="260">
        <f t="shared" si="12"/>
        <v>10956043.610000005</v>
      </c>
      <c r="N162" s="255">
        <f t="shared" si="14"/>
        <v>0</v>
      </c>
      <c r="O162" s="252" t="s">
        <v>3327</v>
      </c>
      <c r="P162" s="252"/>
      <c r="Q162" s="258">
        <f>SUMIF('Antelope Bailey Split BA'!$B$7:$B$29,B162,'Antelope Bailey Split BA'!$C$7:$C$29)</f>
        <v>0</v>
      </c>
      <c r="R162" s="258" t="str">
        <f>IF(AND(Q162=1,'Plant Total by Account'!$J$1=2),"EKWRA","")</f>
        <v/>
      </c>
    </row>
    <row r="163" spans="1:18" ht="12.75" customHeight="1" x14ac:dyDescent="0.2">
      <c r="A163" s="249" t="s">
        <v>2496</v>
      </c>
      <c r="B163" s="252" t="s">
        <v>1178</v>
      </c>
      <c r="C163" s="252" t="s">
        <v>3348</v>
      </c>
      <c r="D163" s="253">
        <v>0</v>
      </c>
      <c r="E163" s="253">
        <v>0</v>
      </c>
      <c r="F163" s="253">
        <v>662021.68000000017</v>
      </c>
      <c r="G163" s="546">
        <f t="shared" si="13"/>
        <v>662021.68000000017</v>
      </c>
      <c r="H163" s="254">
        <v>0</v>
      </c>
      <c r="I163" s="254">
        <v>0</v>
      </c>
      <c r="J163" s="254">
        <v>0</v>
      </c>
      <c r="K163" s="260">
        <f t="shared" si="10"/>
        <v>0</v>
      </c>
      <c r="L163" s="260">
        <f t="shared" si="11"/>
        <v>0</v>
      </c>
      <c r="M163" s="260">
        <f t="shared" si="12"/>
        <v>662021.68000000017</v>
      </c>
      <c r="N163" s="255">
        <f t="shared" si="14"/>
        <v>0</v>
      </c>
      <c r="O163" s="252" t="s">
        <v>3327</v>
      </c>
      <c r="P163" s="252"/>
      <c r="Q163" s="258">
        <f>SUMIF('Antelope Bailey Split BA'!$B$7:$B$29,B163,'Antelope Bailey Split BA'!$C$7:$C$29)</f>
        <v>0</v>
      </c>
      <c r="R163" s="258" t="str">
        <f>IF(AND(Q163=1,'Plant Total by Account'!$J$1=2),"EKWRA","")</f>
        <v/>
      </c>
    </row>
    <row r="164" spans="1:18" ht="12.75" customHeight="1" x14ac:dyDescent="0.2">
      <c r="A164" s="249" t="s">
        <v>2497</v>
      </c>
      <c r="B164" s="252" t="s">
        <v>1179</v>
      </c>
      <c r="C164" s="252" t="s">
        <v>3348</v>
      </c>
      <c r="D164" s="253">
        <v>154445.51999999999</v>
      </c>
      <c r="E164" s="253">
        <v>592230.46</v>
      </c>
      <c r="F164" s="253">
        <v>5759301.9100000067</v>
      </c>
      <c r="G164" s="546">
        <f t="shared" si="13"/>
        <v>6505977.8900000062</v>
      </c>
      <c r="H164" s="254">
        <v>0</v>
      </c>
      <c r="I164" s="254">
        <v>0</v>
      </c>
      <c r="J164" s="254">
        <v>0</v>
      </c>
      <c r="K164" s="260">
        <f t="shared" ref="K164:K227" si="15">D164</f>
        <v>154445.51999999999</v>
      </c>
      <c r="L164" s="260">
        <f t="shared" ref="L164:L227" si="16">E164</f>
        <v>592230.46</v>
      </c>
      <c r="M164" s="260">
        <f t="shared" ref="M164:M227" si="17">F164</f>
        <v>5759301.9100000067</v>
      </c>
      <c r="N164" s="255">
        <f t="shared" si="14"/>
        <v>0</v>
      </c>
      <c r="O164" s="252" t="s">
        <v>3327</v>
      </c>
      <c r="P164" s="252"/>
      <c r="Q164" s="258">
        <f>SUMIF('Antelope Bailey Split BA'!$B$7:$B$29,B164,'Antelope Bailey Split BA'!$C$7:$C$29)</f>
        <v>0</v>
      </c>
      <c r="R164" s="258" t="str">
        <f>IF(AND(Q164=1,'Plant Total by Account'!$J$1=2),"EKWRA","")</f>
        <v/>
      </c>
    </row>
    <row r="165" spans="1:18" ht="12.75" customHeight="1" x14ac:dyDescent="0.2">
      <c r="A165" s="249" t="s">
        <v>2498</v>
      </c>
      <c r="B165" s="252" t="s">
        <v>1180</v>
      </c>
      <c r="C165" s="252" t="s">
        <v>3348</v>
      </c>
      <c r="D165" s="253">
        <v>0</v>
      </c>
      <c r="E165" s="253">
        <v>0</v>
      </c>
      <c r="F165" s="253">
        <v>9847.0000000000018</v>
      </c>
      <c r="G165" s="546">
        <f t="shared" si="13"/>
        <v>9847.0000000000018</v>
      </c>
      <c r="H165" s="254">
        <v>0</v>
      </c>
      <c r="I165" s="254">
        <v>0</v>
      </c>
      <c r="J165" s="254">
        <v>0</v>
      </c>
      <c r="K165" s="260">
        <f t="shared" si="15"/>
        <v>0</v>
      </c>
      <c r="L165" s="260">
        <f t="shared" si="16"/>
        <v>0</v>
      </c>
      <c r="M165" s="260">
        <f t="shared" si="17"/>
        <v>9847.0000000000018</v>
      </c>
      <c r="N165" s="255">
        <f t="shared" si="14"/>
        <v>0</v>
      </c>
      <c r="O165" s="252" t="s">
        <v>3327</v>
      </c>
      <c r="P165" s="252"/>
      <c r="Q165" s="258">
        <f>SUMIF('Antelope Bailey Split BA'!$B$7:$B$29,B165,'Antelope Bailey Split BA'!$C$7:$C$29)</f>
        <v>0</v>
      </c>
      <c r="R165" s="258" t="str">
        <f>IF(AND(Q165=1,'Plant Total by Account'!$J$1=2),"EKWRA","")</f>
        <v/>
      </c>
    </row>
    <row r="166" spans="1:18" ht="12.75" customHeight="1" x14ac:dyDescent="0.2">
      <c r="A166" s="249" t="s">
        <v>2500</v>
      </c>
      <c r="B166" s="252" t="s">
        <v>1182</v>
      </c>
      <c r="C166" s="252" t="s">
        <v>3348</v>
      </c>
      <c r="D166" s="253">
        <v>0</v>
      </c>
      <c r="E166" s="253">
        <v>480534.09</v>
      </c>
      <c r="F166" s="253">
        <v>8370889.54</v>
      </c>
      <c r="G166" s="546">
        <f t="shared" si="13"/>
        <v>8851423.6300000008</v>
      </c>
      <c r="H166" s="254">
        <v>0</v>
      </c>
      <c r="I166" s="254">
        <v>0</v>
      </c>
      <c r="J166" s="254">
        <v>0</v>
      </c>
      <c r="K166" s="260">
        <f t="shared" si="15"/>
        <v>0</v>
      </c>
      <c r="L166" s="260">
        <f t="shared" si="16"/>
        <v>480534.09</v>
      </c>
      <c r="M166" s="260">
        <f t="shared" si="17"/>
        <v>8370889.54</v>
      </c>
      <c r="N166" s="255">
        <f t="shared" si="14"/>
        <v>0</v>
      </c>
      <c r="O166" s="252" t="s">
        <v>3327</v>
      </c>
      <c r="P166" s="252"/>
      <c r="Q166" s="258">
        <f>SUMIF('Antelope Bailey Split BA'!$B$7:$B$29,B166,'Antelope Bailey Split BA'!$C$7:$C$29)</f>
        <v>0</v>
      </c>
      <c r="R166" s="258" t="str">
        <f>IF(AND(Q166=1,'Plant Total by Account'!$J$1=2),"EKWRA","")</f>
        <v/>
      </c>
    </row>
    <row r="167" spans="1:18" ht="12.75" customHeight="1" x14ac:dyDescent="0.2">
      <c r="A167" s="249" t="s">
        <v>2501</v>
      </c>
      <c r="B167" s="252" t="s">
        <v>1183</v>
      </c>
      <c r="C167" s="252" t="s">
        <v>3348</v>
      </c>
      <c r="D167" s="253">
        <v>969396.94</v>
      </c>
      <c r="E167" s="253">
        <v>303295.04000000004</v>
      </c>
      <c r="F167" s="253">
        <v>10651621.729999999</v>
      </c>
      <c r="G167" s="546">
        <f t="shared" si="13"/>
        <v>11924313.709999999</v>
      </c>
      <c r="H167" s="254">
        <v>0</v>
      </c>
      <c r="I167" s="254">
        <v>0</v>
      </c>
      <c r="J167" s="254">
        <v>0</v>
      </c>
      <c r="K167" s="260">
        <f t="shared" si="15"/>
        <v>969396.94</v>
      </c>
      <c r="L167" s="260">
        <f t="shared" si="16"/>
        <v>303295.04000000004</v>
      </c>
      <c r="M167" s="260">
        <f t="shared" si="17"/>
        <v>10651621.729999999</v>
      </c>
      <c r="N167" s="255">
        <f t="shared" si="14"/>
        <v>0</v>
      </c>
      <c r="O167" s="252" t="s">
        <v>3327</v>
      </c>
      <c r="P167" s="252"/>
      <c r="Q167" s="258">
        <f>SUMIF('Antelope Bailey Split BA'!$B$7:$B$29,B167,'Antelope Bailey Split BA'!$C$7:$C$29)</f>
        <v>0</v>
      </c>
      <c r="R167" s="258" t="str">
        <f>IF(AND(Q167=1,'Plant Total by Account'!$J$1=2),"EKWRA","")</f>
        <v/>
      </c>
    </row>
    <row r="168" spans="1:18" ht="12.75" customHeight="1" x14ac:dyDescent="0.2">
      <c r="A168" s="249" t="s">
        <v>2502</v>
      </c>
      <c r="B168" s="252" t="s">
        <v>1184</v>
      </c>
      <c r="C168" s="252" t="s">
        <v>3348</v>
      </c>
      <c r="D168" s="253">
        <v>0</v>
      </c>
      <c r="E168" s="253">
        <v>316076.56</v>
      </c>
      <c r="F168" s="253">
        <v>7992875.8299999945</v>
      </c>
      <c r="G168" s="546">
        <f t="shared" si="13"/>
        <v>8308952.3899999941</v>
      </c>
      <c r="H168" s="254">
        <v>0</v>
      </c>
      <c r="I168" s="254">
        <v>0</v>
      </c>
      <c r="J168" s="254">
        <v>0</v>
      </c>
      <c r="K168" s="260">
        <f t="shared" si="15"/>
        <v>0</v>
      </c>
      <c r="L168" s="260">
        <f t="shared" si="16"/>
        <v>316076.56</v>
      </c>
      <c r="M168" s="260">
        <f t="shared" si="17"/>
        <v>7992875.8299999945</v>
      </c>
      <c r="N168" s="255">
        <f t="shared" si="14"/>
        <v>0</v>
      </c>
      <c r="O168" s="252" t="s">
        <v>3327</v>
      </c>
      <c r="P168" s="252"/>
      <c r="Q168" s="258">
        <f>SUMIF('Antelope Bailey Split BA'!$B$7:$B$29,B168,'Antelope Bailey Split BA'!$C$7:$C$29)</f>
        <v>0</v>
      </c>
      <c r="R168" s="258" t="str">
        <f>IF(AND(Q168=1,'Plant Total by Account'!$J$1=2),"EKWRA","")</f>
        <v/>
      </c>
    </row>
    <row r="169" spans="1:18" ht="12.75" customHeight="1" x14ac:dyDescent="0.2">
      <c r="A169" s="249" t="s">
        <v>2503</v>
      </c>
      <c r="B169" s="252" t="s">
        <v>1185</v>
      </c>
      <c r="C169" s="252" t="s">
        <v>3348</v>
      </c>
      <c r="D169" s="253">
        <v>285201.15000000002</v>
      </c>
      <c r="E169" s="253">
        <v>672863.12000000011</v>
      </c>
      <c r="F169" s="253">
        <v>7608903.6900000013</v>
      </c>
      <c r="G169" s="546">
        <f t="shared" si="13"/>
        <v>8566967.9600000009</v>
      </c>
      <c r="H169" s="254">
        <v>0</v>
      </c>
      <c r="I169" s="254">
        <v>0</v>
      </c>
      <c r="J169" s="254">
        <v>0</v>
      </c>
      <c r="K169" s="260">
        <f t="shared" si="15"/>
        <v>285201.15000000002</v>
      </c>
      <c r="L169" s="260">
        <f t="shared" si="16"/>
        <v>672863.12000000011</v>
      </c>
      <c r="M169" s="260">
        <f t="shared" si="17"/>
        <v>7608903.6900000013</v>
      </c>
      <c r="N169" s="255">
        <f t="shared" si="14"/>
        <v>0</v>
      </c>
      <c r="O169" s="252" t="s">
        <v>3327</v>
      </c>
      <c r="P169" s="252"/>
      <c r="Q169" s="258">
        <f>SUMIF('Antelope Bailey Split BA'!$B$7:$B$29,B169,'Antelope Bailey Split BA'!$C$7:$C$29)</f>
        <v>0</v>
      </c>
      <c r="R169" s="258" t="str">
        <f>IF(AND(Q169=1,'Plant Total by Account'!$J$1=2),"EKWRA","")</f>
        <v/>
      </c>
    </row>
    <row r="170" spans="1:18" ht="12.75" customHeight="1" x14ac:dyDescent="0.2">
      <c r="A170" s="249" t="s">
        <v>2504</v>
      </c>
      <c r="B170" s="252" t="s">
        <v>801</v>
      </c>
      <c r="C170" s="252" t="s">
        <v>3352</v>
      </c>
      <c r="D170" s="253">
        <v>83537.66</v>
      </c>
      <c r="E170" s="253">
        <v>1160979.2400000002</v>
      </c>
      <c r="F170" s="253">
        <v>16117350.899999999</v>
      </c>
      <c r="G170" s="546">
        <f t="shared" si="13"/>
        <v>17361867.799999997</v>
      </c>
      <c r="H170" s="254">
        <v>0</v>
      </c>
      <c r="I170" s="254">
        <v>0</v>
      </c>
      <c r="J170" s="254">
        <v>0</v>
      </c>
      <c r="K170" s="260">
        <f t="shared" si="15"/>
        <v>83537.66</v>
      </c>
      <c r="L170" s="260">
        <f t="shared" si="16"/>
        <v>1160979.2400000002</v>
      </c>
      <c r="M170" s="260">
        <f t="shared" si="17"/>
        <v>16117350.899999999</v>
      </c>
      <c r="N170" s="255">
        <f t="shared" si="14"/>
        <v>0</v>
      </c>
      <c r="O170" s="252" t="s">
        <v>3327</v>
      </c>
      <c r="P170" s="252"/>
      <c r="Q170" s="258">
        <f>SUMIF('Antelope Bailey Split BA'!$B$7:$B$29,B170,'Antelope Bailey Split BA'!$C$7:$C$29)</f>
        <v>0</v>
      </c>
      <c r="R170" s="258" t="str">
        <f>IF(AND(Q170=1,'Plant Total by Account'!$J$1=2),"EKWRA","")</f>
        <v/>
      </c>
    </row>
    <row r="171" spans="1:18" ht="12.75" customHeight="1" x14ac:dyDescent="0.2">
      <c r="A171" s="249" t="s">
        <v>2505</v>
      </c>
      <c r="B171" s="252" t="s">
        <v>1186</v>
      </c>
      <c r="C171" s="252" t="s">
        <v>3348</v>
      </c>
      <c r="D171" s="253">
        <v>33940.49</v>
      </c>
      <c r="E171" s="253">
        <v>363072.13</v>
      </c>
      <c r="F171" s="253">
        <v>7635980.0199999968</v>
      </c>
      <c r="G171" s="546">
        <f t="shared" si="13"/>
        <v>8032992.6399999969</v>
      </c>
      <c r="H171" s="254">
        <v>0</v>
      </c>
      <c r="I171" s="254">
        <v>0</v>
      </c>
      <c r="J171" s="254">
        <v>0</v>
      </c>
      <c r="K171" s="260">
        <f t="shared" si="15"/>
        <v>33940.49</v>
      </c>
      <c r="L171" s="260">
        <f t="shared" si="16"/>
        <v>363072.13</v>
      </c>
      <c r="M171" s="260">
        <f t="shared" si="17"/>
        <v>7635980.0199999968</v>
      </c>
      <c r="N171" s="255">
        <f t="shared" si="14"/>
        <v>0</v>
      </c>
      <c r="O171" s="252" t="s">
        <v>3327</v>
      </c>
      <c r="P171" s="252"/>
      <c r="Q171" s="258">
        <f>SUMIF('Antelope Bailey Split BA'!$B$7:$B$29,B171,'Antelope Bailey Split BA'!$C$7:$C$29)</f>
        <v>0</v>
      </c>
      <c r="R171" s="258" t="str">
        <f>IF(AND(Q171=1,'Plant Total by Account'!$J$1=2),"EKWRA","")</f>
        <v/>
      </c>
    </row>
    <row r="172" spans="1:18" ht="12.75" customHeight="1" x14ac:dyDescent="0.2">
      <c r="A172" s="249" t="s">
        <v>2506</v>
      </c>
      <c r="B172" s="252" t="s">
        <v>135</v>
      </c>
      <c r="C172" s="252" t="s">
        <v>3348</v>
      </c>
      <c r="D172" s="253">
        <v>29280.3</v>
      </c>
      <c r="E172" s="253">
        <v>705807.74999999988</v>
      </c>
      <c r="F172" s="253">
        <v>12975305.800000004</v>
      </c>
      <c r="G172" s="546">
        <f t="shared" si="13"/>
        <v>13710393.850000005</v>
      </c>
      <c r="H172" s="254">
        <v>0</v>
      </c>
      <c r="I172" s="254">
        <v>0</v>
      </c>
      <c r="J172" s="254">
        <v>0</v>
      </c>
      <c r="K172" s="260">
        <f t="shared" si="15"/>
        <v>29280.3</v>
      </c>
      <c r="L172" s="260">
        <f t="shared" si="16"/>
        <v>705807.74999999988</v>
      </c>
      <c r="M172" s="260">
        <f t="shared" si="17"/>
        <v>12975305.800000004</v>
      </c>
      <c r="N172" s="255">
        <f t="shared" si="14"/>
        <v>0</v>
      </c>
      <c r="O172" s="252" t="s">
        <v>3327</v>
      </c>
      <c r="P172" s="252"/>
      <c r="Q172" s="258">
        <f>SUMIF('Antelope Bailey Split BA'!$B$7:$B$29,B172,'Antelope Bailey Split BA'!$C$7:$C$29)</f>
        <v>0</v>
      </c>
      <c r="R172" s="258" t="str">
        <f>IF(AND(Q172=1,'Plant Total by Account'!$J$1=2),"EKWRA","")</f>
        <v/>
      </c>
    </row>
    <row r="173" spans="1:18" ht="12.75" customHeight="1" x14ac:dyDescent="0.2">
      <c r="A173" s="249" t="s">
        <v>2507</v>
      </c>
      <c r="B173" s="252" t="s">
        <v>1187</v>
      </c>
      <c r="C173" s="252" t="s">
        <v>3348</v>
      </c>
      <c r="D173" s="253">
        <v>17578.510000000002</v>
      </c>
      <c r="E173" s="253">
        <v>43308.13</v>
      </c>
      <c r="F173" s="253">
        <v>2103227.7999999989</v>
      </c>
      <c r="G173" s="546">
        <f t="shared" si="13"/>
        <v>2164114.439999999</v>
      </c>
      <c r="H173" s="254">
        <v>0</v>
      </c>
      <c r="I173" s="254">
        <v>0</v>
      </c>
      <c r="J173" s="254">
        <v>0</v>
      </c>
      <c r="K173" s="260">
        <f t="shared" si="15"/>
        <v>17578.510000000002</v>
      </c>
      <c r="L173" s="260">
        <f t="shared" si="16"/>
        <v>43308.13</v>
      </c>
      <c r="M173" s="260">
        <f t="shared" si="17"/>
        <v>2103227.7999999989</v>
      </c>
      <c r="N173" s="255">
        <f t="shared" si="14"/>
        <v>0</v>
      </c>
      <c r="O173" s="252" t="s">
        <v>3327</v>
      </c>
      <c r="P173" s="252"/>
      <c r="Q173" s="258">
        <f>SUMIF('Antelope Bailey Split BA'!$B$7:$B$29,B173,'Antelope Bailey Split BA'!$C$7:$C$29)</f>
        <v>0</v>
      </c>
      <c r="R173" s="258" t="str">
        <f>IF(AND(Q173=1,'Plant Total by Account'!$J$1=2),"EKWRA","")</f>
        <v/>
      </c>
    </row>
    <row r="174" spans="1:18" ht="12.75" customHeight="1" x14ac:dyDescent="0.2">
      <c r="A174" s="249" t="s">
        <v>2508</v>
      </c>
      <c r="B174" s="252" t="s">
        <v>136</v>
      </c>
      <c r="C174" s="252" t="s">
        <v>3353</v>
      </c>
      <c r="D174" s="253">
        <v>19474.34</v>
      </c>
      <c r="E174" s="253">
        <v>107680.44</v>
      </c>
      <c r="F174" s="253">
        <v>2214433.9300000002</v>
      </c>
      <c r="G174" s="546">
        <f t="shared" si="13"/>
        <v>2341588.71</v>
      </c>
      <c r="H174" s="254">
        <v>0</v>
      </c>
      <c r="I174" s="254">
        <v>0</v>
      </c>
      <c r="J174" s="254">
        <v>0</v>
      </c>
      <c r="K174" s="260">
        <f t="shared" si="15"/>
        <v>19474.34</v>
      </c>
      <c r="L174" s="260">
        <f t="shared" si="16"/>
        <v>107680.44</v>
      </c>
      <c r="M174" s="260">
        <f t="shared" si="17"/>
        <v>2214433.9300000002</v>
      </c>
      <c r="N174" s="255">
        <f t="shared" si="14"/>
        <v>0</v>
      </c>
      <c r="O174" s="252" t="s">
        <v>3327</v>
      </c>
      <c r="P174" s="252"/>
      <c r="Q174" s="258">
        <f>SUMIF('Antelope Bailey Split BA'!$B$7:$B$29,B174,'Antelope Bailey Split BA'!$C$7:$C$29)</f>
        <v>0</v>
      </c>
      <c r="R174" s="258" t="str">
        <f>IF(AND(Q174=1,'Plant Total by Account'!$J$1=2),"EKWRA","")</f>
        <v/>
      </c>
    </row>
    <row r="175" spans="1:18" ht="12.75" customHeight="1" x14ac:dyDescent="0.2">
      <c r="A175" s="249" t="s">
        <v>2509</v>
      </c>
      <c r="B175" s="252" t="s">
        <v>1188</v>
      </c>
      <c r="C175" s="252" t="s">
        <v>3348</v>
      </c>
      <c r="D175" s="253">
        <v>0</v>
      </c>
      <c r="E175" s="253">
        <v>12013.64</v>
      </c>
      <c r="F175" s="253">
        <v>762504.04</v>
      </c>
      <c r="G175" s="546">
        <f t="shared" si="13"/>
        <v>774517.68</v>
      </c>
      <c r="H175" s="254">
        <v>0</v>
      </c>
      <c r="I175" s="254">
        <v>0</v>
      </c>
      <c r="J175" s="254">
        <v>0</v>
      </c>
      <c r="K175" s="260">
        <f t="shared" si="15"/>
        <v>0</v>
      </c>
      <c r="L175" s="260">
        <f t="shared" si="16"/>
        <v>12013.64</v>
      </c>
      <c r="M175" s="260">
        <f t="shared" si="17"/>
        <v>762504.04</v>
      </c>
      <c r="N175" s="255">
        <f t="shared" si="14"/>
        <v>0</v>
      </c>
      <c r="O175" s="252" t="s">
        <v>3327</v>
      </c>
      <c r="P175" s="252"/>
      <c r="Q175" s="258">
        <f>SUMIF('Antelope Bailey Split BA'!$B$7:$B$29,B175,'Antelope Bailey Split BA'!$C$7:$C$29)</f>
        <v>0</v>
      </c>
      <c r="R175" s="258" t="str">
        <f>IF(AND(Q175=1,'Plant Total by Account'!$J$1=2),"EKWRA","")</f>
        <v/>
      </c>
    </row>
    <row r="176" spans="1:18" ht="12.75" customHeight="1" x14ac:dyDescent="0.2">
      <c r="A176" s="249" t="s">
        <v>2510</v>
      </c>
      <c r="B176" s="252" t="s">
        <v>1189</v>
      </c>
      <c r="C176" s="252" t="s">
        <v>3348</v>
      </c>
      <c r="D176" s="253">
        <v>45513.590000000004</v>
      </c>
      <c r="E176" s="253">
        <v>703687.79</v>
      </c>
      <c r="F176" s="253">
        <v>17693481.010000009</v>
      </c>
      <c r="G176" s="546">
        <f t="shared" si="13"/>
        <v>18442682.390000008</v>
      </c>
      <c r="H176" s="254">
        <v>0</v>
      </c>
      <c r="I176" s="254">
        <v>0</v>
      </c>
      <c r="J176" s="254">
        <v>0</v>
      </c>
      <c r="K176" s="260">
        <f t="shared" si="15"/>
        <v>45513.590000000004</v>
      </c>
      <c r="L176" s="260">
        <f t="shared" si="16"/>
        <v>703687.79</v>
      </c>
      <c r="M176" s="260">
        <f t="shared" si="17"/>
        <v>17693481.010000009</v>
      </c>
      <c r="N176" s="255">
        <f t="shared" si="14"/>
        <v>0</v>
      </c>
      <c r="O176" s="252" t="s">
        <v>3327</v>
      </c>
      <c r="P176" s="252"/>
      <c r="Q176" s="258">
        <f>SUMIF('Antelope Bailey Split BA'!$B$7:$B$29,B176,'Antelope Bailey Split BA'!$C$7:$C$29)</f>
        <v>0</v>
      </c>
      <c r="R176" s="258" t="str">
        <f>IF(AND(Q176=1,'Plant Total by Account'!$J$1=2),"EKWRA","")</f>
        <v/>
      </c>
    </row>
    <row r="177" spans="1:18" ht="12.75" customHeight="1" x14ac:dyDescent="0.2">
      <c r="A177" s="249" t="s">
        <v>2511</v>
      </c>
      <c r="B177" s="252" t="s">
        <v>1190</v>
      </c>
      <c r="C177" s="252" t="s">
        <v>3348</v>
      </c>
      <c r="D177" s="253">
        <v>0</v>
      </c>
      <c r="E177" s="253">
        <v>39565.910000000003</v>
      </c>
      <c r="F177" s="253">
        <v>1529014.3500000006</v>
      </c>
      <c r="G177" s="546">
        <f t="shared" si="13"/>
        <v>1568580.2600000005</v>
      </c>
      <c r="H177" s="254">
        <v>0</v>
      </c>
      <c r="I177" s="254">
        <v>0</v>
      </c>
      <c r="J177" s="254">
        <v>0</v>
      </c>
      <c r="K177" s="260">
        <f t="shared" si="15"/>
        <v>0</v>
      </c>
      <c r="L177" s="260">
        <f t="shared" si="16"/>
        <v>39565.910000000003</v>
      </c>
      <c r="M177" s="260">
        <f t="shared" si="17"/>
        <v>1529014.3500000006</v>
      </c>
      <c r="N177" s="255">
        <f t="shared" si="14"/>
        <v>0</v>
      </c>
      <c r="O177" s="252" t="s">
        <v>3327</v>
      </c>
      <c r="P177" s="252"/>
      <c r="Q177" s="258">
        <f>SUMIF('Antelope Bailey Split BA'!$B$7:$B$29,B177,'Antelope Bailey Split BA'!$C$7:$C$29)</f>
        <v>0</v>
      </c>
      <c r="R177" s="258" t="str">
        <f>IF(AND(Q177=1,'Plant Total by Account'!$J$1=2),"EKWRA","")</f>
        <v/>
      </c>
    </row>
    <row r="178" spans="1:18" ht="12.75" customHeight="1" x14ac:dyDescent="0.2">
      <c r="A178" s="249" t="s">
        <v>2512</v>
      </c>
      <c r="B178" s="252" t="s">
        <v>1191</v>
      </c>
      <c r="C178" s="252" t="s">
        <v>3348</v>
      </c>
      <c r="D178" s="253">
        <v>20209.570000000003</v>
      </c>
      <c r="E178" s="253">
        <v>1508583.5200000003</v>
      </c>
      <c r="F178" s="253">
        <v>15966451.520000003</v>
      </c>
      <c r="G178" s="546">
        <f t="shared" si="13"/>
        <v>17495244.610000003</v>
      </c>
      <c r="H178" s="254">
        <v>0</v>
      </c>
      <c r="I178" s="254">
        <v>0</v>
      </c>
      <c r="J178" s="254">
        <v>0</v>
      </c>
      <c r="K178" s="260">
        <f t="shared" si="15"/>
        <v>20209.570000000003</v>
      </c>
      <c r="L178" s="260">
        <f t="shared" si="16"/>
        <v>1508583.5200000003</v>
      </c>
      <c r="M178" s="260">
        <f t="shared" si="17"/>
        <v>15966451.520000003</v>
      </c>
      <c r="N178" s="255">
        <f t="shared" si="14"/>
        <v>0</v>
      </c>
      <c r="O178" s="252" t="s">
        <v>3327</v>
      </c>
      <c r="P178" s="252"/>
      <c r="Q178" s="258">
        <f>SUMIF('Antelope Bailey Split BA'!$B$7:$B$29,B178,'Antelope Bailey Split BA'!$C$7:$C$29)</f>
        <v>0</v>
      </c>
      <c r="R178" s="258" t="str">
        <f>IF(AND(Q178=1,'Plant Total by Account'!$J$1=2),"EKWRA","")</f>
        <v/>
      </c>
    </row>
    <row r="179" spans="1:18" ht="12.75" customHeight="1" x14ac:dyDescent="0.2">
      <c r="A179" s="249" t="s">
        <v>2513</v>
      </c>
      <c r="B179" s="252" t="s">
        <v>1192</v>
      </c>
      <c r="C179" s="252" t="s">
        <v>3348</v>
      </c>
      <c r="D179" s="253">
        <v>22426</v>
      </c>
      <c r="E179" s="253">
        <v>1089830.3600000003</v>
      </c>
      <c r="F179" s="253">
        <v>11178957.940000009</v>
      </c>
      <c r="G179" s="546">
        <f t="shared" si="13"/>
        <v>12291214.300000008</v>
      </c>
      <c r="H179" s="254">
        <v>0</v>
      </c>
      <c r="I179" s="254">
        <v>0</v>
      </c>
      <c r="J179" s="254">
        <v>0</v>
      </c>
      <c r="K179" s="260">
        <f t="shared" si="15"/>
        <v>22426</v>
      </c>
      <c r="L179" s="260">
        <f t="shared" si="16"/>
        <v>1089830.3600000003</v>
      </c>
      <c r="M179" s="260">
        <f t="shared" si="17"/>
        <v>11178957.940000009</v>
      </c>
      <c r="N179" s="255">
        <f t="shared" si="14"/>
        <v>0</v>
      </c>
      <c r="O179" s="252" t="s">
        <v>3327</v>
      </c>
      <c r="P179" s="252"/>
      <c r="Q179" s="258">
        <f>SUMIF('Antelope Bailey Split BA'!$B$7:$B$29,B179,'Antelope Bailey Split BA'!$C$7:$C$29)</f>
        <v>0</v>
      </c>
      <c r="R179" s="258" t="str">
        <f>IF(AND(Q179=1,'Plant Total by Account'!$J$1=2),"EKWRA","")</f>
        <v/>
      </c>
    </row>
    <row r="180" spans="1:18" ht="12.75" customHeight="1" x14ac:dyDescent="0.2">
      <c r="A180" s="249" t="s">
        <v>2514</v>
      </c>
      <c r="B180" s="252" t="s">
        <v>1193</v>
      </c>
      <c r="C180" s="252" t="s">
        <v>3348</v>
      </c>
      <c r="D180" s="253">
        <v>0</v>
      </c>
      <c r="E180" s="253">
        <v>30785.07</v>
      </c>
      <c r="F180" s="253">
        <v>2488022.2600000007</v>
      </c>
      <c r="G180" s="546">
        <f t="shared" si="13"/>
        <v>2518807.3300000005</v>
      </c>
      <c r="H180" s="254">
        <v>0</v>
      </c>
      <c r="I180" s="254">
        <v>0</v>
      </c>
      <c r="J180" s="254">
        <v>0</v>
      </c>
      <c r="K180" s="260">
        <f t="shared" si="15"/>
        <v>0</v>
      </c>
      <c r="L180" s="260">
        <f t="shared" si="16"/>
        <v>30785.07</v>
      </c>
      <c r="M180" s="260">
        <f t="shared" si="17"/>
        <v>2488022.2600000007</v>
      </c>
      <c r="N180" s="255">
        <f t="shared" si="14"/>
        <v>0</v>
      </c>
      <c r="O180" s="252" t="s">
        <v>3327</v>
      </c>
      <c r="P180" s="252"/>
      <c r="Q180" s="258">
        <f>SUMIF('Antelope Bailey Split BA'!$B$7:$B$29,B180,'Antelope Bailey Split BA'!$C$7:$C$29)</f>
        <v>0</v>
      </c>
      <c r="R180" s="258" t="str">
        <f>IF(AND(Q180=1,'Plant Total by Account'!$J$1=2),"EKWRA","")</f>
        <v/>
      </c>
    </row>
    <row r="181" spans="1:18" ht="12.75" customHeight="1" x14ac:dyDescent="0.2">
      <c r="A181" s="249" t="s">
        <v>2515</v>
      </c>
      <c r="B181" s="252" t="s">
        <v>1194</v>
      </c>
      <c r="C181" s="252" t="s">
        <v>3353</v>
      </c>
      <c r="D181" s="253">
        <v>7643.91</v>
      </c>
      <c r="E181" s="253">
        <v>553863.37</v>
      </c>
      <c r="F181" s="253">
        <v>4187175.6499999994</v>
      </c>
      <c r="G181" s="546">
        <f t="shared" si="13"/>
        <v>4748682.93</v>
      </c>
      <c r="H181" s="254">
        <v>0</v>
      </c>
      <c r="I181" s="254">
        <v>0</v>
      </c>
      <c r="J181" s="254">
        <v>0</v>
      </c>
      <c r="K181" s="260">
        <f t="shared" si="15"/>
        <v>7643.91</v>
      </c>
      <c r="L181" s="260">
        <f t="shared" si="16"/>
        <v>553863.37</v>
      </c>
      <c r="M181" s="260">
        <f t="shared" si="17"/>
        <v>4187175.6499999994</v>
      </c>
      <c r="N181" s="255">
        <f t="shared" si="14"/>
        <v>0</v>
      </c>
      <c r="O181" s="252" t="s">
        <v>3327</v>
      </c>
      <c r="P181" s="252"/>
      <c r="Q181" s="258">
        <f>SUMIF('Antelope Bailey Split BA'!$B$7:$B$29,B181,'Antelope Bailey Split BA'!$C$7:$C$29)</f>
        <v>0</v>
      </c>
      <c r="R181" s="258" t="str">
        <f>IF(AND(Q181=1,'Plant Total by Account'!$J$1=2),"EKWRA","")</f>
        <v/>
      </c>
    </row>
    <row r="182" spans="1:18" ht="12.75" customHeight="1" x14ac:dyDescent="0.2">
      <c r="A182" s="249" t="s">
        <v>2516</v>
      </c>
      <c r="B182" s="252" t="s">
        <v>1195</v>
      </c>
      <c r="C182" s="252" t="s">
        <v>3348</v>
      </c>
      <c r="D182" s="253">
        <v>0</v>
      </c>
      <c r="E182" s="253">
        <v>15922.429999999998</v>
      </c>
      <c r="F182" s="253">
        <v>3792503.5299999993</v>
      </c>
      <c r="G182" s="546">
        <f t="shared" si="13"/>
        <v>3808425.9599999995</v>
      </c>
      <c r="H182" s="254">
        <v>0</v>
      </c>
      <c r="I182" s="254">
        <v>0</v>
      </c>
      <c r="J182" s="254">
        <v>0</v>
      </c>
      <c r="K182" s="260">
        <f t="shared" si="15"/>
        <v>0</v>
      </c>
      <c r="L182" s="260">
        <f t="shared" si="16"/>
        <v>15922.429999999998</v>
      </c>
      <c r="M182" s="260">
        <f t="shared" si="17"/>
        <v>3792503.5299999993</v>
      </c>
      <c r="N182" s="255">
        <f t="shared" si="14"/>
        <v>0</v>
      </c>
      <c r="O182" s="252" t="s">
        <v>3327</v>
      </c>
      <c r="P182" s="252"/>
      <c r="Q182" s="258">
        <f>SUMIF('Antelope Bailey Split BA'!$B$7:$B$29,B182,'Antelope Bailey Split BA'!$C$7:$C$29)</f>
        <v>0</v>
      </c>
      <c r="R182" s="258" t="str">
        <f>IF(AND(Q182=1,'Plant Total by Account'!$J$1=2),"EKWRA","")</f>
        <v/>
      </c>
    </row>
    <row r="183" spans="1:18" ht="12.75" customHeight="1" x14ac:dyDescent="0.2">
      <c r="A183" s="249" t="s">
        <v>2517</v>
      </c>
      <c r="B183" s="252" t="s">
        <v>1196</v>
      </c>
      <c r="C183" s="252" t="s">
        <v>3348</v>
      </c>
      <c r="D183" s="253">
        <v>115.83</v>
      </c>
      <c r="E183" s="253">
        <v>285837.48000000004</v>
      </c>
      <c r="F183" s="253">
        <v>5122213.2200000007</v>
      </c>
      <c r="G183" s="546">
        <f t="shared" si="13"/>
        <v>5408166.5300000012</v>
      </c>
      <c r="H183" s="254">
        <v>0</v>
      </c>
      <c r="I183" s="254">
        <v>0</v>
      </c>
      <c r="J183" s="254">
        <v>0</v>
      </c>
      <c r="K183" s="260">
        <f t="shared" si="15"/>
        <v>115.83</v>
      </c>
      <c r="L183" s="260">
        <f t="shared" si="16"/>
        <v>285837.48000000004</v>
      </c>
      <c r="M183" s="260">
        <f t="shared" si="17"/>
        <v>5122213.2200000007</v>
      </c>
      <c r="N183" s="255">
        <f t="shared" si="14"/>
        <v>0</v>
      </c>
      <c r="O183" s="252" t="s">
        <v>3327</v>
      </c>
      <c r="P183" s="252"/>
      <c r="Q183" s="258">
        <f>SUMIF('Antelope Bailey Split BA'!$B$7:$B$29,B183,'Antelope Bailey Split BA'!$C$7:$C$29)</f>
        <v>0</v>
      </c>
      <c r="R183" s="258" t="str">
        <f>IF(AND(Q183=1,'Plant Total by Account'!$J$1=2),"EKWRA","")</f>
        <v/>
      </c>
    </row>
    <row r="184" spans="1:18" ht="12.75" customHeight="1" x14ac:dyDescent="0.2">
      <c r="A184" s="249" t="s">
        <v>2518</v>
      </c>
      <c r="B184" s="252" t="s">
        <v>1197</v>
      </c>
      <c r="C184" s="252" t="s">
        <v>3348</v>
      </c>
      <c r="D184" s="253">
        <v>0</v>
      </c>
      <c r="E184" s="253">
        <v>1563.5700000000002</v>
      </c>
      <c r="F184" s="253">
        <v>279328.98</v>
      </c>
      <c r="G184" s="546">
        <f t="shared" si="13"/>
        <v>280892.55</v>
      </c>
      <c r="H184" s="254">
        <v>0</v>
      </c>
      <c r="I184" s="254">
        <v>0</v>
      </c>
      <c r="J184" s="254">
        <v>0</v>
      </c>
      <c r="K184" s="260">
        <f t="shared" si="15"/>
        <v>0</v>
      </c>
      <c r="L184" s="260">
        <f t="shared" si="16"/>
        <v>1563.5700000000002</v>
      </c>
      <c r="M184" s="260">
        <f t="shared" si="17"/>
        <v>279328.98</v>
      </c>
      <c r="N184" s="255">
        <f t="shared" si="14"/>
        <v>0</v>
      </c>
      <c r="O184" s="252" t="s">
        <v>3327</v>
      </c>
      <c r="P184" s="252"/>
      <c r="Q184" s="258">
        <f>SUMIF('Antelope Bailey Split BA'!$B$7:$B$29,B184,'Antelope Bailey Split BA'!$C$7:$C$29)</f>
        <v>0</v>
      </c>
      <c r="R184" s="258" t="str">
        <f>IF(AND(Q184=1,'Plant Total by Account'!$J$1=2),"EKWRA","")</f>
        <v/>
      </c>
    </row>
    <row r="185" spans="1:18" ht="12.75" customHeight="1" x14ac:dyDescent="0.2">
      <c r="A185" s="249" t="s">
        <v>2519</v>
      </c>
      <c r="B185" s="252" t="s">
        <v>1198</v>
      </c>
      <c r="C185" s="252" t="s">
        <v>3348</v>
      </c>
      <c r="D185" s="253">
        <v>0</v>
      </c>
      <c r="E185" s="253">
        <v>43669.200000000004</v>
      </c>
      <c r="F185" s="253">
        <v>2922080.34</v>
      </c>
      <c r="G185" s="546">
        <f t="shared" si="13"/>
        <v>2965749.54</v>
      </c>
      <c r="H185" s="254">
        <v>0</v>
      </c>
      <c r="I185" s="254">
        <v>0</v>
      </c>
      <c r="J185" s="254">
        <v>0</v>
      </c>
      <c r="K185" s="260">
        <f t="shared" si="15"/>
        <v>0</v>
      </c>
      <c r="L185" s="260">
        <f t="shared" si="16"/>
        <v>43669.200000000004</v>
      </c>
      <c r="M185" s="260">
        <f t="shared" si="17"/>
        <v>2922080.34</v>
      </c>
      <c r="N185" s="255">
        <f t="shared" si="14"/>
        <v>0</v>
      </c>
      <c r="O185" s="252" t="s">
        <v>3327</v>
      </c>
      <c r="P185" s="252"/>
      <c r="Q185" s="258">
        <f>SUMIF('Antelope Bailey Split BA'!$B$7:$B$29,B185,'Antelope Bailey Split BA'!$C$7:$C$29)</f>
        <v>0</v>
      </c>
      <c r="R185" s="258" t="str">
        <f>IF(AND(Q185=1,'Plant Total by Account'!$J$1=2),"EKWRA","")</f>
        <v/>
      </c>
    </row>
    <row r="186" spans="1:18" ht="12.75" customHeight="1" x14ac:dyDescent="0.2">
      <c r="A186" s="249" t="s">
        <v>2520</v>
      </c>
      <c r="B186" s="252" t="s">
        <v>1199</v>
      </c>
      <c r="C186" s="252" t="s">
        <v>3348</v>
      </c>
      <c r="D186" s="253">
        <v>152558.87000000002</v>
      </c>
      <c r="E186" s="253">
        <v>1480334.5799999998</v>
      </c>
      <c r="F186" s="253">
        <v>5590418.8000000007</v>
      </c>
      <c r="G186" s="546">
        <f t="shared" si="13"/>
        <v>7223312.2500000009</v>
      </c>
      <c r="H186" s="254">
        <v>0</v>
      </c>
      <c r="I186" s="254">
        <v>0</v>
      </c>
      <c r="J186" s="254">
        <v>0</v>
      </c>
      <c r="K186" s="260">
        <f t="shared" si="15"/>
        <v>152558.87000000002</v>
      </c>
      <c r="L186" s="260">
        <f t="shared" si="16"/>
        <v>1480334.5799999998</v>
      </c>
      <c r="M186" s="260">
        <f t="shared" si="17"/>
        <v>5590418.8000000007</v>
      </c>
      <c r="N186" s="255">
        <f t="shared" si="14"/>
        <v>0</v>
      </c>
      <c r="O186" s="252" t="s">
        <v>3327</v>
      </c>
      <c r="P186" s="252"/>
      <c r="Q186" s="258">
        <f>SUMIF('Antelope Bailey Split BA'!$B$7:$B$29,B186,'Antelope Bailey Split BA'!$C$7:$C$29)</f>
        <v>0</v>
      </c>
      <c r="R186" s="258" t="str">
        <f>IF(AND(Q186=1,'Plant Total by Account'!$J$1=2),"EKWRA","")</f>
        <v/>
      </c>
    </row>
    <row r="187" spans="1:18" ht="12.75" customHeight="1" x14ac:dyDescent="0.2">
      <c r="A187" s="249" t="s">
        <v>2521</v>
      </c>
      <c r="B187" s="252" t="s">
        <v>802</v>
      </c>
      <c r="C187" s="252" t="s">
        <v>3352</v>
      </c>
      <c r="D187" s="253">
        <v>44689.06</v>
      </c>
      <c r="E187" s="253">
        <v>446369.66000000003</v>
      </c>
      <c r="F187" s="253">
        <v>13590222.190000003</v>
      </c>
      <c r="G187" s="546">
        <f t="shared" si="13"/>
        <v>14081280.910000004</v>
      </c>
      <c r="H187" s="254">
        <v>0</v>
      </c>
      <c r="I187" s="254">
        <v>0</v>
      </c>
      <c r="J187" s="254">
        <v>0</v>
      </c>
      <c r="K187" s="260">
        <f t="shared" si="15"/>
        <v>44689.06</v>
      </c>
      <c r="L187" s="260">
        <f t="shared" si="16"/>
        <v>446369.66000000003</v>
      </c>
      <c r="M187" s="260">
        <f t="shared" si="17"/>
        <v>13590222.190000003</v>
      </c>
      <c r="N187" s="255">
        <f t="shared" si="14"/>
        <v>0</v>
      </c>
      <c r="O187" s="252" t="s">
        <v>3327</v>
      </c>
      <c r="P187" s="252"/>
      <c r="Q187" s="258">
        <f>SUMIF('Antelope Bailey Split BA'!$B$7:$B$29,B187,'Antelope Bailey Split BA'!$C$7:$C$29)</f>
        <v>0</v>
      </c>
      <c r="R187" s="258" t="str">
        <f>IF(AND(Q187=1,'Plant Total by Account'!$J$1=2),"EKWRA","")</f>
        <v/>
      </c>
    </row>
    <row r="188" spans="1:18" ht="12.75" customHeight="1" x14ac:dyDescent="0.2">
      <c r="A188" s="249" t="s">
        <v>2523</v>
      </c>
      <c r="B188" s="252" t="s">
        <v>1201</v>
      </c>
      <c r="C188" s="252" t="s">
        <v>3348</v>
      </c>
      <c r="D188" s="253">
        <v>22819.489999999998</v>
      </c>
      <c r="E188" s="253">
        <v>182400.77</v>
      </c>
      <c r="F188" s="253">
        <v>9464059.9600000009</v>
      </c>
      <c r="G188" s="546">
        <f t="shared" si="13"/>
        <v>9669280.2200000007</v>
      </c>
      <c r="H188" s="254">
        <v>0</v>
      </c>
      <c r="I188" s="254">
        <v>0</v>
      </c>
      <c r="J188" s="254">
        <v>0</v>
      </c>
      <c r="K188" s="260">
        <f t="shared" si="15"/>
        <v>22819.489999999998</v>
      </c>
      <c r="L188" s="260">
        <f t="shared" si="16"/>
        <v>182400.77</v>
      </c>
      <c r="M188" s="260">
        <f t="shared" si="17"/>
        <v>9464059.9600000009</v>
      </c>
      <c r="N188" s="255">
        <f t="shared" si="14"/>
        <v>0</v>
      </c>
      <c r="O188" s="252" t="s">
        <v>3327</v>
      </c>
      <c r="P188" s="252"/>
      <c r="Q188" s="258">
        <f>SUMIF('Antelope Bailey Split BA'!$B$7:$B$29,B188,'Antelope Bailey Split BA'!$C$7:$C$29)</f>
        <v>0</v>
      </c>
      <c r="R188" s="258" t="str">
        <f>IF(AND(Q188=1,'Plant Total by Account'!$J$1=2),"EKWRA","")</f>
        <v/>
      </c>
    </row>
    <row r="189" spans="1:18" ht="12.75" customHeight="1" x14ac:dyDescent="0.2">
      <c r="A189" s="249" t="s">
        <v>2524</v>
      </c>
      <c r="B189" s="252" t="s">
        <v>1202</v>
      </c>
      <c r="C189" s="252" t="s">
        <v>3348</v>
      </c>
      <c r="D189" s="253">
        <v>174874.56</v>
      </c>
      <c r="E189" s="253">
        <v>353997.58999999997</v>
      </c>
      <c r="F189" s="253">
        <v>4702739.4500000011</v>
      </c>
      <c r="G189" s="546">
        <f t="shared" si="13"/>
        <v>5231611.6000000015</v>
      </c>
      <c r="H189" s="254">
        <v>0</v>
      </c>
      <c r="I189" s="254">
        <v>0</v>
      </c>
      <c r="J189" s="254">
        <v>0</v>
      </c>
      <c r="K189" s="260">
        <f t="shared" si="15"/>
        <v>174874.56</v>
      </c>
      <c r="L189" s="260">
        <f t="shared" si="16"/>
        <v>353997.58999999997</v>
      </c>
      <c r="M189" s="260">
        <f t="shared" si="17"/>
        <v>4702739.4500000011</v>
      </c>
      <c r="N189" s="255">
        <f t="shared" si="14"/>
        <v>0</v>
      </c>
      <c r="O189" s="252" t="s">
        <v>3327</v>
      </c>
      <c r="P189" s="252"/>
      <c r="Q189" s="258">
        <f>SUMIF('Antelope Bailey Split BA'!$B$7:$B$29,B189,'Antelope Bailey Split BA'!$C$7:$C$29)</f>
        <v>0</v>
      </c>
      <c r="R189" s="258" t="str">
        <f>IF(AND(Q189=1,'Plant Total by Account'!$J$1=2),"EKWRA","")</f>
        <v/>
      </c>
    </row>
    <row r="190" spans="1:18" ht="12.75" customHeight="1" x14ac:dyDescent="0.2">
      <c r="A190" s="249" t="s">
        <v>2525</v>
      </c>
      <c r="B190" s="252" t="s">
        <v>1203</v>
      </c>
      <c r="C190" s="252" t="s">
        <v>3348</v>
      </c>
      <c r="D190" s="253">
        <v>27166.5</v>
      </c>
      <c r="E190" s="253">
        <v>341072.21999999991</v>
      </c>
      <c r="F190" s="253">
        <v>2889052.6899999981</v>
      </c>
      <c r="G190" s="546">
        <f t="shared" si="13"/>
        <v>3257291.4099999978</v>
      </c>
      <c r="H190" s="254">
        <v>0</v>
      </c>
      <c r="I190" s="254">
        <v>0</v>
      </c>
      <c r="J190" s="254">
        <v>0</v>
      </c>
      <c r="K190" s="260">
        <f t="shared" si="15"/>
        <v>27166.5</v>
      </c>
      <c r="L190" s="260">
        <f t="shared" si="16"/>
        <v>341072.21999999991</v>
      </c>
      <c r="M190" s="260">
        <f t="shared" si="17"/>
        <v>2889052.6899999981</v>
      </c>
      <c r="N190" s="255">
        <f t="shared" si="14"/>
        <v>0</v>
      </c>
      <c r="O190" s="252" t="s">
        <v>3327</v>
      </c>
      <c r="P190" s="252"/>
      <c r="Q190" s="258">
        <f>SUMIF('Antelope Bailey Split BA'!$B$7:$B$29,B190,'Antelope Bailey Split BA'!$C$7:$C$29)</f>
        <v>0</v>
      </c>
      <c r="R190" s="258" t="str">
        <f>IF(AND(Q190=1,'Plant Total by Account'!$J$1=2),"EKWRA","")</f>
        <v/>
      </c>
    </row>
    <row r="191" spans="1:18" ht="12.75" customHeight="1" x14ac:dyDescent="0.2">
      <c r="A191" s="249" t="s">
        <v>2526</v>
      </c>
      <c r="B191" s="252" t="s">
        <v>1204</v>
      </c>
      <c r="C191" s="252" t="s">
        <v>3348</v>
      </c>
      <c r="D191" s="253">
        <v>27869.759999999998</v>
      </c>
      <c r="E191" s="253">
        <v>594421.29</v>
      </c>
      <c r="F191" s="253">
        <v>8060072.7199999923</v>
      </c>
      <c r="G191" s="546">
        <f t="shared" si="13"/>
        <v>8682363.7699999921</v>
      </c>
      <c r="H191" s="254">
        <v>0</v>
      </c>
      <c r="I191" s="254">
        <v>0</v>
      </c>
      <c r="J191" s="254">
        <v>0</v>
      </c>
      <c r="K191" s="260">
        <f t="shared" si="15"/>
        <v>27869.759999999998</v>
      </c>
      <c r="L191" s="260">
        <f t="shared" si="16"/>
        <v>594421.29</v>
      </c>
      <c r="M191" s="260">
        <f t="shared" si="17"/>
        <v>8060072.7199999923</v>
      </c>
      <c r="N191" s="255">
        <f t="shared" si="14"/>
        <v>0</v>
      </c>
      <c r="O191" s="252" t="s">
        <v>3327</v>
      </c>
      <c r="P191" s="252"/>
      <c r="Q191" s="258">
        <f>SUMIF('Antelope Bailey Split BA'!$B$7:$B$29,B191,'Antelope Bailey Split BA'!$C$7:$C$29)</f>
        <v>0</v>
      </c>
      <c r="R191" s="258" t="str">
        <f>IF(AND(Q191=1,'Plant Total by Account'!$J$1=2),"EKWRA","")</f>
        <v/>
      </c>
    </row>
    <row r="192" spans="1:18" ht="12.75" customHeight="1" x14ac:dyDescent="0.2">
      <c r="A192" s="249" t="s">
        <v>2527</v>
      </c>
      <c r="B192" s="252" t="s">
        <v>1205</v>
      </c>
      <c r="C192" s="252" t="s">
        <v>3348</v>
      </c>
      <c r="D192" s="253">
        <v>38080.770000000004</v>
      </c>
      <c r="E192" s="253">
        <v>69777.960000000006</v>
      </c>
      <c r="F192" s="253">
        <v>4163817.1400000029</v>
      </c>
      <c r="G192" s="546">
        <f t="shared" si="13"/>
        <v>4271675.8700000029</v>
      </c>
      <c r="H192" s="254">
        <v>0</v>
      </c>
      <c r="I192" s="254">
        <v>0</v>
      </c>
      <c r="J192" s="254">
        <v>0</v>
      </c>
      <c r="K192" s="260">
        <f t="shared" si="15"/>
        <v>38080.770000000004</v>
      </c>
      <c r="L192" s="260">
        <f t="shared" si="16"/>
        <v>69777.960000000006</v>
      </c>
      <c r="M192" s="260">
        <f t="shared" si="17"/>
        <v>4163817.1400000029</v>
      </c>
      <c r="N192" s="255">
        <f t="shared" si="14"/>
        <v>0</v>
      </c>
      <c r="O192" s="252" t="s">
        <v>3327</v>
      </c>
      <c r="P192" s="252"/>
      <c r="Q192" s="258">
        <f>SUMIF('Antelope Bailey Split BA'!$B$7:$B$29,B192,'Antelope Bailey Split BA'!$C$7:$C$29)</f>
        <v>0</v>
      </c>
      <c r="R192" s="258" t="str">
        <f>IF(AND(Q192=1,'Plant Total by Account'!$J$1=2),"EKWRA","")</f>
        <v/>
      </c>
    </row>
    <row r="193" spans="1:18" ht="12.75" customHeight="1" x14ac:dyDescent="0.2">
      <c r="A193" s="249" t="s">
        <v>2528</v>
      </c>
      <c r="B193" s="252" t="s">
        <v>1206</v>
      </c>
      <c r="C193" s="252" t="s">
        <v>3348</v>
      </c>
      <c r="D193" s="253">
        <v>39143.800000000003</v>
      </c>
      <c r="E193" s="253">
        <v>0</v>
      </c>
      <c r="F193" s="253">
        <v>23872.93</v>
      </c>
      <c r="G193" s="546">
        <f t="shared" si="13"/>
        <v>63016.73</v>
      </c>
      <c r="H193" s="254">
        <v>0</v>
      </c>
      <c r="I193" s="254">
        <v>0</v>
      </c>
      <c r="J193" s="254">
        <v>0</v>
      </c>
      <c r="K193" s="260">
        <f t="shared" si="15"/>
        <v>39143.800000000003</v>
      </c>
      <c r="L193" s="260">
        <f t="shared" si="16"/>
        <v>0</v>
      </c>
      <c r="M193" s="260">
        <f t="shared" si="17"/>
        <v>23872.93</v>
      </c>
      <c r="N193" s="255">
        <f t="shared" si="14"/>
        <v>0</v>
      </c>
      <c r="O193" s="252" t="s">
        <v>3327</v>
      </c>
      <c r="P193" s="252"/>
      <c r="Q193" s="258">
        <f>SUMIF('Antelope Bailey Split BA'!$B$7:$B$29,B193,'Antelope Bailey Split BA'!$C$7:$C$29)</f>
        <v>0</v>
      </c>
      <c r="R193" s="258" t="str">
        <f>IF(AND(Q193=1,'Plant Total by Account'!$J$1=2),"EKWRA","")</f>
        <v/>
      </c>
    </row>
    <row r="194" spans="1:18" ht="12.75" customHeight="1" x14ac:dyDescent="0.2">
      <c r="A194" s="249" t="s">
        <v>2529</v>
      </c>
      <c r="B194" s="252" t="s">
        <v>1207</v>
      </c>
      <c r="C194" s="252" t="s">
        <v>3348</v>
      </c>
      <c r="D194" s="253">
        <v>0</v>
      </c>
      <c r="E194" s="253">
        <v>19706.84</v>
      </c>
      <c r="F194" s="253">
        <v>763536.97000000009</v>
      </c>
      <c r="G194" s="546">
        <f t="shared" si="13"/>
        <v>783243.81</v>
      </c>
      <c r="H194" s="254">
        <v>0</v>
      </c>
      <c r="I194" s="254">
        <v>0</v>
      </c>
      <c r="J194" s="254">
        <v>0</v>
      </c>
      <c r="K194" s="260">
        <f t="shared" si="15"/>
        <v>0</v>
      </c>
      <c r="L194" s="260">
        <f t="shared" si="16"/>
        <v>19706.84</v>
      </c>
      <c r="M194" s="260">
        <f t="shared" si="17"/>
        <v>763536.97000000009</v>
      </c>
      <c r="N194" s="255">
        <f t="shared" si="14"/>
        <v>0</v>
      </c>
      <c r="O194" s="252" t="s">
        <v>3327</v>
      </c>
      <c r="P194" s="252"/>
      <c r="Q194" s="258">
        <f>SUMIF('Antelope Bailey Split BA'!$B$7:$B$29,B194,'Antelope Bailey Split BA'!$C$7:$C$29)</f>
        <v>0</v>
      </c>
      <c r="R194" s="258" t="str">
        <f>IF(AND(Q194=1,'Plant Total by Account'!$J$1=2),"EKWRA","")</f>
        <v/>
      </c>
    </row>
    <row r="195" spans="1:18" ht="12.75" customHeight="1" x14ac:dyDescent="0.2">
      <c r="A195" s="249" t="s">
        <v>2530</v>
      </c>
      <c r="B195" s="252" t="s">
        <v>1208</v>
      </c>
      <c r="C195" s="252" t="s">
        <v>3355</v>
      </c>
      <c r="D195" s="253">
        <v>0</v>
      </c>
      <c r="E195" s="253">
        <v>64680.76</v>
      </c>
      <c r="F195" s="253">
        <v>7772339.4699999988</v>
      </c>
      <c r="G195" s="546">
        <f t="shared" si="13"/>
        <v>7837020.2299999986</v>
      </c>
      <c r="H195" s="254">
        <v>0</v>
      </c>
      <c r="I195" s="254">
        <v>0</v>
      </c>
      <c r="J195" s="254">
        <v>0</v>
      </c>
      <c r="K195" s="260">
        <f t="shared" si="15"/>
        <v>0</v>
      </c>
      <c r="L195" s="260">
        <f t="shared" si="16"/>
        <v>64680.76</v>
      </c>
      <c r="M195" s="260">
        <f t="shared" si="17"/>
        <v>7772339.4699999988</v>
      </c>
      <c r="N195" s="255">
        <f t="shared" si="14"/>
        <v>0</v>
      </c>
      <c r="O195" s="252" t="s">
        <v>3327</v>
      </c>
      <c r="P195" s="252"/>
      <c r="Q195" s="258">
        <f>SUMIF('Antelope Bailey Split BA'!$B$7:$B$29,B195,'Antelope Bailey Split BA'!$C$7:$C$29)</f>
        <v>0</v>
      </c>
      <c r="R195" s="258" t="str">
        <f>IF(AND(Q195=1,'Plant Total by Account'!$J$1=2),"EKWRA","")</f>
        <v/>
      </c>
    </row>
    <row r="196" spans="1:18" ht="12.75" customHeight="1" x14ac:dyDescent="0.2">
      <c r="A196" s="249" t="s">
        <v>2532</v>
      </c>
      <c r="B196" s="252" t="s">
        <v>1210</v>
      </c>
      <c r="C196" s="252" t="s">
        <v>3348</v>
      </c>
      <c r="D196" s="253">
        <v>0</v>
      </c>
      <c r="E196" s="253">
        <v>0</v>
      </c>
      <c r="F196" s="253">
        <v>1196850.5499999998</v>
      </c>
      <c r="G196" s="546">
        <f t="shared" si="13"/>
        <v>1196850.5499999998</v>
      </c>
      <c r="H196" s="254">
        <v>0</v>
      </c>
      <c r="I196" s="254">
        <v>0</v>
      </c>
      <c r="J196" s="254">
        <v>0</v>
      </c>
      <c r="K196" s="260">
        <f t="shared" si="15"/>
        <v>0</v>
      </c>
      <c r="L196" s="260">
        <f t="shared" si="16"/>
        <v>0</v>
      </c>
      <c r="M196" s="260">
        <f t="shared" si="17"/>
        <v>1196850.5499999998</v>
      </c>
      <c r="N196" s="255">
        <f t="shared" si="14"/>
        <v>0</v>
      </c>
      <c r="O196" s="252" t="s">
        <v>3327</v>
      </c>
      <c r="P196" s="252"/>
      <c r="Q196" s="258">
        <f>SUMIF('Antelope Bailey Split BA'!$B$7:$B$29,B196,'Antelope Bailey Split BA'!$C$7:$C$29)</f>
        <v>0</v>
      </c>
      <c r="R196" s="258" t="str">
        <f>IF(AND(Q196=1,'Plant Total by Account'!$J$1=2),"EKWRA","")</f>
        <v/>
      </c>
    </row>
    <row r="197" spans="1:18" ht="12.75" customHeight="1" x14ac:dyDescent="0.2">
      <c r="A197" s="249" t="s">
        <v>2533</v>
      </c>
      <c r="B197" s="252" t="s">
        <v>1211</v>
      </c>
      <c r="C197" s="252" t="s">
        <v>3348</v>
      </c>
      <c r="D197" s="253">
        <v>2976.42</v>
      </c>
      <c r="E197" s="253">
        <v>462.72</v>
      </c>
      <c r="F197" s="253">
        <v>271193.85000000003</v>
      </c>
      <c r="G197" s="546">
        <f t="shared" si="13"/>
        <v>274632.99000000005</v>
      </c>
      <c r="H197" s="254">
        <v>0</v>
      </c>
      <c r="I197" s="254">
        <v>0</v>
      </c>
      <c r="J197" s="254">
        <v>0</v>
      </c>
      <c r="K197" s="260">
        <f t="shared" si="15"/>
        <v>2976.42</v>
      </c>
      <c r="L197" s="260">
        <f t="shared" si="16"/>
        <v>462.72</v>
      </c>
      <c r="M197" s="260">
        <f t="shared" si="17"/>
        <v>271193.85000000003</v>
      </c>
      <c r="N197" s="255">
        <f t="shared" si="14"/>
        <v>0</v>
      </c>
      <c r="O197" s="252" t="s">
        <v>3327</v>
      </c>
      <c r="P197" s="252"/>
      <c r="Q197" s="258">
        <f>SUMIF('Antelope Bailey Split BA'!$B$7:$B$29,B197,'Antelope Bailey Split BA'!$C$7:$C$29)</f>
        <v>0</v>
      </c>
      <c r="R197" s="258" t="str">
        <f>IF(AND(Q197=1,'Plant Total by Account'!$J$1=2),"EKWRA","")</f>
        <v/>
      </c>
    </row>
    <row r="198" spans="1:18" ht="12.75" customHeight="1" x14ac:dyDescent="0.2">
      <c r="A198" s="249" t="s">
        <v>2535</v>
      </c>
      <c r="B198" s="252" t="s">
        <v>2260</v>
      </c>
      <c r="C198" s="252" t="s">
        <v>3348</v>
      </c>
      <c r="D198" s="253">
        <v>0</v>
      </c>
      <c r="E198" s="253">
        <v>0</v>
      </c>
      <c r="F198" s="253">
        <v>4275.01</v>
      </c>
      <c r="G198" s="546">
        <f t="shared" si="13"/>
        <v>4275.01</v>
      </c>
      <c r="H198" s="254">
        <v>0</v>
      </c>
      <c r="I198" s="254">
        <v>0</v>
      </c>
      <c r="J198" s="254">
        <v>0</v>
      </c>
      <c r="K198" s="260">
        <f t="shared" si="15"/>
        <v>0</v>
      </c>
      <c r="L198" s="260">
        <f t="shared" si="16"/>
        <v>0</v>
      </c>
      <c r="M198" s="260">
        <f t="shared" si="17"/>
        <v>4275.01</v>
      </c>
      <c r="N198" s="255">
        <f t="shared" si="14"/>
        <v>0</v>
      </c>
      <c r="O198" s="252" t="s">
        <v>3327</v>
      </c>
      <c r="P198" s="252"/>
      <c r="Q198" s="258">
        <f>SUMIF('Antelope Bailey Split BA'!$B$7:$B$29,B198,'Antelope Bailey Split BA'!$C$7:$C$29)</f>
        <v>0</v>
      </c>
      <c r="R198" s="258" t="str">
        <f>IF(AND(Q198=1,'Plant Total by Account'!$J$1=2),"EKWRA","")</f>
        <v/>
      </c>
    </row>
    <row r="199" spans="1:18" ht="12.75" customHeight="1" x14ac:dyDescent="0.2">
      <c r="A199" s="249" t="s">
        <v>2536</v>
      </c>
      <c r="B199" s="252" t="s">
        <v>1213</v>
      </c>
      <c r="C199" s="252" t="s">
        <v>3348</v>
      </c>
      <c r="D199" s="253">
        <v>0</v>
      </c>
      <c r="E199" s="253">
        <v>0</v>
      </c>
      <c r="F199" s="253">
        <v>9757.5400000000009</v>
      </c>
      <c r="G199" s="546">
        <f t="shared" si="13"/>
        <v>9757.5400000000009</v>
      </c>
      <c r="H199" s="254">
        <v>0</v>
      </c>
      <c r="I199" s="254">
        <v>0</v>
      </c>
      <c r="J199" s="254">
        <v>0</v>
      </c>
      <c r="K199" s="260">
        <f t="shared" si="15"/>
        <v>0</v>
      </c>
      <c r="L199" s="260">
        <f t="shared" si="16"/>
        <v>0</v>
      </c>
      <c r="M199" s="260">
        <f t="shared" si="17"/>
        <v>9757.5400000000009</v>
      </c>
      <c r="N199" s="255">
        <f t="shared" si="14"/>
        <v>0</v>
      </c>
      <c r="O199" s="252" t="s">
        <v>3327</v>
      </c>
      <c r="P199" s="252"/>
      <c r="Q199" s="258">
        <f>SUMIF('Antelope Bailey Split BA'!$B$7:$B$29,B199,'Antelope Bailey Split BA'!$C$7:$C$29)</f>
        <v>0</v>
      </c>
      <c r="R199" s="258" t="str">
        <f>IF(AND(Q199=1,'Plant Total by Account'!$J$1=2),"EKWRA","")</f>
        <v/>
      </c>
    </row>
    <row r="200" spans="1:18" ht="12.75" customHeight="1" x14ac:dyDescent="0.2">
      <c r="A200" s="249" t="s">
        <v>2537</v>
      </c>
      <c r="B200" s="252" t="s">
        <v>804</v>
      </c>
      <c r="C200" s="252" t="s">
        <v>3348</v>
      </c>
      <c r="D200" s="253">
        <v>0</v>
      </c>
      <c r="E200" s="253">
        <v>436151.07999999996</v>
      </c>
      <c r="F200" s="253">
        <v>2359288.0100000007</v>
      </c>
      <c r="G200" s="546">
        <f t="shared" si="13"/>
        <v>2795439.0900000008</v>
      </c>
      <c r="H200" s="254">
        <v>0</v>
      </c>
      <c r="I200" s="254">
        <v>0</v>
      </c>
      <c r="J200" s="254">
        <v>0</v>
      </c>
      <c r="K200" s="260">
        <f t="shared" si="15"/>
        <v>0</v>
      </c>
      <c r="L200" s="260">
        <f t="shared" si="16"/>
        <v>436151.07999999996</v>
      </c>
      <c r="M200" s="260">
        <f t="shared" si="17"/>
        <v>2359288.0100000007</v>
      </c>
      <c r="N200" s="255">
        <f t="shared" si="14"/>
        <v>0</v>
      </c>
      <c r="O200" s="252" t="s">
        <v>3327</v>
      </c>
      <c r="P200" s="252"/>
      <c r="Q200" s="258">
        <f>SUMIF('Antelope Bailey Split BA'!$B$7:$B$29,B200,'Antelope Bailey Split BA'!$C$7:$C$29)</f>
        <v>0</v>
      </c>
      <c r="R200" s="258" t="str">
        <f>IF(AND(Q200=1,'Plant Total by Account'!$J$1=2),"EKWRA","")</f>
        <v/>
      </c>
    </row>
    <row r="201" spans="1:18" ht="12.75" customHeight="1" x14ac:dyDescent="0.2">
      <c r="A201" s="249" t="s">
        <v>2538</v>
      </c>
      <c r="B201" s="252" t="s">
        <v>805</v>
      </c>
      <c r="C201" s="252" t="s">
        <v>3348</v>
      </c>
      <c r="D201" s="253">
        <v>166697.32</v>
      </c>
      <c r="E201" s="253">
        <v>1046840.5</v>
      </c>
      <c r="F201" s="253">
        <v>7481161.0400000038</v>
      </c>
      <c r="G201" s="546">
        <f t="shared" si="13"/>
        <v>8694698.8600000031</v>
      </c>
      <c r="H201" s="254">
        <v>0</v>
      </c>
      <c r="I201" s="254">
        <v>0</v>
      </c>
      <c r="J201" s="254">
        <v>0</v>
      </c>
      <c r="K201" s="260">
        <f t="shared" si="15"/>
        <v>166697.32</v>
      </c>
      <c r="L201" s="260">
        <f t="shared" si="16"/>
        <v>1046840.5</v>
      </c>
      <c r="M201" s="260">
        <f t="shared" si="17"/>
        <v>7481161.0400000038</v>
      </c>
      <c r="N201" s="255">
        <f t="shared" si="14"/>
        <v>0</v>
      </c>
      <c r="O201" s="252" t="s">
        <v>3327</v>
      </c>
      <c r="P201" s="252"/>
      <c r="Q201" s="258">
        <f>SUMIF('Antelope Bailey Split BA'!$B$7:$B$29,B201,'Antelope Bailey Split BA'!$C$7:$C$29)</f>
        <v>0</v>
      </c>
      <c r="R201" s="258" t="str">
        <f>IF(AND(Q201=1,'Plant Total by Account'!$J$1=2),"EKWRA","")</f>
        <v/>
      </c>
    </row>
    <row r="202" spans="1:18" ht="12.75" customHeight="1" x14ac:dyDescent="0.2">
      <c r="A202" s="249" t="s">
        <v>2102</v>
      </c>
      <c r="B202" s="252" t="s">
        <v>1214</v>
      </c>
      <c r="C202" s="252" t="s">
        <v>3348</v>
      </c>
      <c r="D202" s="253">
        <v>0</v>
      </c>
      <c r="E202" s="253">
        <v>0</v>
      </c>
      <c r="F202" s="253">
        <v>139483.14000000001</v>
      </c>
      <c r="G202" s="546">
        <f t="shared" ref="G202:G265" si="18">SUM(D202:F202)</f>
        <v>139483.14000000001</v>
      </c>
      <c r="H202" s="254">
        <v>0</v>
      </c>
      <c r="I202" s="254">
        <v>0</v>
      </c>
      <c r="J202" s="254">
        <v>0</v>
      </c>
      <c r="K202" s="260">
        <f t="shared" si="15"/>
        <v>0</v>
      </c>
      <c r="L202" s="260">
        <f t="shared" si="16"/>
        <v>0</v>
      </c>
      <c r="M202" s="260">
        <f t="shared" si="17"/>
        <v>139483.14000000001</v>
      </c>
      <c r="N202" s="255">
        <f t="shared" ref="N202:N262" si="19">G202-SUM(H202:M202)</f>
        <v>0</v>
      </c>
      <c r="O202" s="252" t="s">
        <v>3327</v>
      </c>
      <c r="P202" s="252"/>
      <c r="Q202" s="258">
        <f>SUMIF('Antelope Bailey Split BA'!$B$7:$B$29,B202,'Antelope Bailey Split BA'!$C$7:$C$29)</f>
        <v>0</v>
      </c>
      <c r="R202" s="258" t="str">
        <f>IF(AND(Q202=1,'Plant Total by Account'!$J$1=2),"EKWRA","")</f>
        <v/>
      </c>
    </row>
    <row r="203" spans="1:18" ht="12.75" customHeight="1" x14ac:dyDescent="0.2">
      <c r="A203" s="249" t="s">
        <v>2539</v>
      </c>
      <c r="B203" s="252" t="s">
        <v>1215</v>
      </c>
      <c r="C203" s="252" t="s">
        <v>3348</v>
      </c>
      <c r="D203" s="253">
        <v>7138.56</v>
      </c>
      <c r="E203" s="253">
        <v>178623.76</v>
      </c>
      <c r="F203" s="253">
        <v>1432133.67</v>
      </c>
      <c r="G203" s="546">
        <f t="shared" si="18"/>
        <v>1617895.99</v>
      </c>
      <c r="H203" s="254">
        <v>0</v>
      </c>
      <c r="I203" s="254">
        <v>0</v>
      </c>
      <c r="J203" s="254">
        <v>0</v>
      </c>
      <c r="K203" s="260">
        <f t="shared" si="15"/>
        <v>7138.56</v>
      </c>
      <c r="L203" s="260">
        <f t="shared" si="16"/>
        <v>178623.76</v>
      </c>
      <c r="M203" s="260">
        <f t="shared" si="17"/>
        <v>1432133.67</v>
      </c>
      <c r="N203" s="255">
        <f t="shared" si="19"/>
        <v>0</v>
      </c>
      <c r="O203" s="252" t="s">
        <v>3327</v>
      </c>
      <c r="P203" s="252"/>
      <c r="Q203" s="258">
        <f>SUMIF('Antelope Bailey Split BA'!$B$7:$B$29,B203,'Antelope Bailey Split BA'!$C$7:$C$29)</f>
        <v>0</v>
      </c>
      <c r="R203" s="258" t="str">
        <f>IF(AND(Q203=1,'Plant Total by Account'!$J$1=2),"EKWRA","")</f>
        <v/>
      </c>
    </row>
    <row r="204" spans="1:18" ht="12.75" customHeight="1" x14ac:dyDescent="0.2">
      <c r="A204" s="249" t="s">
        <v>2540</v>
      </c>
      <c r="B204" s="252" t="s">
        <v>1216</v>
      </c>
      <c r="C204" s="252" t="s">
        <v>3348</v>
      </c>
      <c r="D204" s="253">
        <v>119512.70000000001</v>
      </c>
      <c r="E204" s="253">
        <v>1892018.84</v>
      </c>
      <c r="F204" s="253">
        <v>7507281.3000000026</v>
      </c>
      <c r="G204" s="546">
        <f t="shared" si="18"/>
        <v>9518812.8400000036</v>
      </c>
      <c r="H204" s="254">
        <v>0</v>
      </c>
      <c r="I204" s="254">
        <v>0</v>
      </c>
      <c r="J204" s="254">
        <v>0</v>
      </c>
      <c r="K204" s="260">
        <f t="shared" si="15"/>
        <v>119512.70000000001</v>
      </c>
      <c r="L204" s="260">
        <f t="shared" si="16"/>
        <v>1892018.84</v>
      </c>
      <c r="M204" s="260">
        <f t="shared" si="17"/>
        <v>7507281.3000000026</v>
      </c>
      <c r="N204" s="255">
        <f t="shared" si="19"/>
        <v>0</v>
      </c>
      <c r="O204" s="252" t="s">
        <v>3327</v>
      </c>
      <c r="P204" s="252"/>
      <c r="Q204" s="258">
        <f>SUMIF('Antelope Bailey Split BA'!$B$7:$B$29,B204,'Antelope Bailey Split BA'!$C$7:$C$29)</f>
        <v>0</v>
      </c>
      <c r="R204" s="258" t="str">
        <f>IF(AND(Q204=1,'Plant Total by Account'!$J$1=2),"EKWRA","")</f>
        <v/>
      </c>
    </row>
    <row r="205" spans="1:18" ht="12.75" customHeight="1" x14ac:dyDescent="0.2">
      <c r="A205" s="249" t="s">
        <v>2541</v>
      </c>
      <c r="B205" s="252" t="s">
        <v>808</v>
      </c>
      <c r="C205" s="252" t="s">
        <v>3348</v>
      </c>
      <c r="D205" s="253">
        <v>2879.82</v>
      </c>
      <c r="E205" s="253">
        <v>899534.78999999992</v>
      </c>
      <c r="F205" s="253">
        <v>8998399.7700000126</v>
      </c>
      <c r="G205" s="546">
        <f t="shared" si="18"/>
        <v>9900814.380000012</v>
      </c>
      <c r="H205" s="254">
        <v>0</v>
      </c>
      <c r="I205" s="254">
        <v>0</v>
      </c>
      <c r="J205" s="254">
        <v>0</v>
      </c>
      <c r="K205" s="260">
        <f t="shared" si="15"/>
        <v>2879.82</v>
      </c>
      <c r="L205" s="260">
        <f t="shared" si="16"/>
        <v>899534.78999999992</v>
      </c>
      <c r="M205" s="260">
        <f t="shared" si="17"/>
        <v>8998399.7700000126</v>
      </c>
      <c r="N205" s="255">
        <f t="shared" si="19"/>
        <v>0</v>
      </c>
      <c r="O205" s="252" t="s">
        <v>3327</v>
      </c>
      <c r="P205" s="252"/>
      <c r="Q205" s="258">
        <f>SUMIF('Antelope Bailey Split BA'!$B$7:$B$29,B205,'Antelope Bailey Split BA'!$C$7:$C$29)</f>
        <v>0</v>
      </c>
      <c r="R205" s="258" t="str">
        <f>IF(AND(Q205=1,'Plant Total by Account'!$J$1=2),"EKWRA","")</f>
        <v/>
      </c>
    </row>
    <row r="206" spans="1:18" ht="12.75" customHeight="1" x14ac:dyDescent="0.2">
      <c r="A206" s="249" t="s">
        <v>2542</v>
      </c>
      <c r="B206" s="252" t="s">
        <v>1217</v>
      </c>
      <c r="C206" s="252" t="s">
        <v>3348</v>
      </c>
      <c r="D206" s="253">
        <v>104923.45</v>
      </c>
      <c r="E206" s="253">
        <v>728129.53</v>
      </c>
      <c r="F206" s="253">
        <v>3792567.7899999991</v>
      </c>
      <c r="G206" s="546">
        <f t="shared" si="18"/>
        <v>4625620.7699999996</v>
      </c>
      <c r="H206" s="254">
        <v>0</v>
      </c>
      <c r="I206" s="254">
        <v>0</v>
      </c>
      <c r="J206" s="254">
        <v>0</v>
      </c>
      <c r="K206" s="260">
        <f t="shared" si="15"/>
        <v>104923.45</v>
      </c>
      <c r="L206" s="260">
        <f t="shared" si="16"/>
        <v>728129.53</v>
      </c>
      <c r="M206" s="260">
        <f t="shared" si="17"/>
        <v>3792567.7899999991</v>
      </c>
      <c r="N206" s="255">
        <f t="shared" si="19"/>
        <v>0</v>
      </c>
      <c r="O206" s="252" t="s">
        <v>3327</v>
      </c>
      <c r="P206" s="252"/>
      <c r="Q206" s="258">
        <f>SUMIF('Antelope Bailey Split BA'!$B$7:$B$29,B206,'Antelope Bailey Split BA'!$C$7:$C$29)</f>
        <v>0</v>
      </c>
      <c r="R206" s="258" t="str">
        <f>IF(AND(Q206=1,'Plant Total by Account'!$J$1=2),"EKWRA","")</f>
        <v/>
      </c>
    </row>
    <row r="207" spans="1:18" ht="12.75" customHeight="1" x14ac:dyDescent="0.2">
      <c r="A207" s="249" t="s">
        <v>2543</v>
      </c>
      <c r="B207" s="252" t="s">
        <v>1218</v>
      </c>
      <c r="C207" s="252" t="s">
        <v>3348</v>
      </c>
      <c r="D207" s="253">
        <v>161883.11000000002</v>
      </c>
      <c r="E207" s="253">
        <v>697945.07000000007</v>
      </c>
      <c r="F207" s="253">
        <v>4042356.7399999998</v>
      </c>
      <c r="G207" s="546">
        <f t="shared" si="18"/>
        <v>4902184.92</v>
      </c>
      <c r="H207" s="254">
        <v>0</v>
      </c>
      <c r="I207" s="254">
        <v>0</v>
      </c>
      <c r="J207" s="254">
        <v>0</v>
      </c>
      <c r="K207" s="260">
        <f t="shared" si="15"/>
        <v>161883.11000000002</v>
      </c>
      <c r="L207" s="260">
        <f t="shared" si="16"/>
        <v>697945.07000000007</v>
      </c>
      <c r="M207" s="260">
        <f t="shared" si="17"/>
        <v>4042356.7399999998</v>
      </c>
      <c r="N207" s="255">
        <f t="shared" si="19"/>
        <v>0</v>
      </c>
      <c r="O207" s="252" t="s">
        <v>3327</v>
      </c>
      <c r="P207" s="252"/>
      <c r="Q207" s="258">
        <f>SUMIF('Antelope Bailey Split BA'!$B$7:$B$29,B207,'Antelope Bailey Split BA'!$C$7:$C$29)</f>
        <v>0</v>
      </c>
      <c r="R207" s="258" t="str">
        <f>IF(AND(Q207=1,'Plant Total by Account'!$J$1=2),"EKWRA","")</f>
        <v/>
      </c>
    </row>
    <row r="208" spans="1:18" ht="12.75" customHeight="1" x14ac:dyDescent="0.2">
      <c r="A208" s="249" t="s">
        <v>2544</v>
      </c>
      <c r="B208" s="252" t="s">
        <v>1219</v>
      </c>
      <c r="C208" s="252" t="s">
        <v>3348</v>
      </c>
      <c r="D208" s="253">
        <v>25836.29</v>
      </c>
      <c r="E208" s="253">
        <v>244939.89</v>
      </c>
      <c r="F208" s="253">
        <v>8911697.3400000036</v>
      </c>
      <c r="G208" s="546">
        <f t="shared" si="18"/>
        <v>9182473.5200000033</v>
      </c>
      <c r="H208" s="254">
        <v>0</v>
      </c>
      <c r="I208" s="254">
        <v>0</v>
      </c>
      <c r="J208" s="254">
        <v>0</v>
      </c>
      <c r="K208" s="260">
        <f t="shared" si="15"/>
        <v>25836.29</v>
      </c>
      <c r="L208" s="260">
        <f t="shared" si="16"/>
        <v>244939.89</v>
      </c>
      <c r="M208" s="260">
        <f t="shared" si="17"/>
        <v>8911697.3400000036</v>
      </c>
      <c r="N208" s="255">
        <f t="shared" si="19"/>
        <v>0</v>
      </c>
      <c r="O208" s="252" t="s">
        <v>3327</v>
      </c>
      <c r="P208" s="252"/>
      <c r="Q208" s="258">
        <f>SUMIF('Antelope Bailey Split BA'!$B$7:$B$29,B208,'Antelope Bailey Split BA'!$C$7:$C$29)</f>
        <v>0</v>
      </c>
      <c r="R208" s="258" t="str">
        <f>IF(AND(Q208=1,'Plant Total by Account'!$J$1=2),"EKWRA","")</f>
        <v/>
      </c>
    </row>
    <row r="209" spans="1:18" ht="12.75" customHeight="1" x14ac:dyDescent="0.2">
      <c r="A209" s="249" t="s">
        <v>2545</v>
      </c>
      <c r="B209" s="252" t="s">
        <v>1220</v>
      </c>
      <c r="C209" s="252" t="s">
        <v>3348</v>
      </c>
      <c r="D209" s="253">
        <v>22150.39</v>
      </c>
      <c r="E209" s="253">
        <v>187186.91</v>
      </c>
      <c r="F209" s="253">
        <v>4382632.8999999976</v>
      </c>
      <c r="G209" s="546">
        <f t="shared" si="18"/>
        <v>4591970.1999999974</v>
      </c>
      <c r="H209" s="254">
        <v>0</v>
      </c>
      <c r="I209" s="254">
        <v>0</v>
      </c>
      <c r="J209" s="254">
        <v>0</v>
      </c>
      <c r="K209" s="260">
        <f t="shared" si="15"/>
        <v>22150.39</v>
      </c>
      <c r="L209" s="260">
        <f t="shared" si="16"/>
        <v>187186.91</v>
      </c>
      <c r="M209" s="260">
        <f t="shared" si="17"/>
        <v>4382632.8999999976</v>
      </c>
      <c r="N209" s="255">
        <f t="shared" si="19"/>
        <v>0</v>
      </c>
      <c r="O209" s="252" t="s">
        <v>3327</v>
      </c>
      <c r="P209" s="252"/>
      <c r="Q209" s="258">
        <f>SUMIF('Antelope Bailey Split BA'!$B$7:$B$29,B209,'Antelope Bailey Split BA'!$C$7:$C$29)</f>
        <v>0</v>
      </c>
      <c r="R209" s="258" t="str">
        <f>IF(AND(Q209=1,'Plant Total by Account'!$J$1=2),"EKWRA","")</f>
        <v/>
      </c>
    </row>
    <row r="210" spans="1:18" ht="12.75" customHeight="1" x14ac:dyDescent="0.2">
      <c r="A210" s="249" t="s">
        <v>2546</v>
      </c>
      <c r="B210" s="252" t="s">
        <v>1221</v>
      </c>
      <c r="C210" s="252" t="s">
        <v>3348</v>
      </c>
      <c r="D210" s="253">
        <v>81206</v>
      </c>
      <c r="E210" s="253">
        <v>295714.64</v>
      </c>
      <c r="F210" s="253">
        <v>9689962.3500000071</v>
      </c>
      <c r="G210" s="546">
        <f t="shared" si="18"/>
        <v>10066882.990000008</v>
      </c>
      <c r="H210" s="254">
        <v>0</v>
      </c>
      <c r="I210" s="254">
        <v>0</v>
      </c>
      <c r="J210" s="254">
        <v>0</v>
      </c>
      <c r="K210" s="260">
        <f t="shared" si="15"/>
        <v>81206</v>
      </c>
      <c r="L210" s="260">
        <f t="shared" si="16"/>
        <v>295714.64</v>
      </c>
      <c r="M210" s="260">
        <f t="shared" si="17"/>
        <v>9689962.3500000071</v>
      </c>
      <c r="N210" s="255">
        <f t="shared" si="19"/>
        <v>0</v>
      </c>
      <c r="O210" s="252" t="s">
        <v>3327</v>
      </c>
      <c r="P210" s="252"/>
      <c r="Q210" s="258">
        <f>SUMIF('Antelope Bailey Split BA'!$B$7:$B$29,B210,'Antelope Bailey Split BA'!$C$7:$C$29)</f>
        <v>0</v>
      </c>
      <c r="R210" s="258" t="str">
        <f>IF(AND(Q210=1,'Plant Total by Account'!$J$1=2),"EKWRA","")</f>
        <v/>
      </c>
    </row>
    <row r="211" spans="1:18" ht="12.75" customHeight="1" x14ac:dyDescent="0.2">
      <c r="A211" s="249" t="s">
        <v>2547</v>
      </c>
      <c r="B211" s="252" t="s">
        <v>1222</v>
      </c>
      <c r="C211" s="252" t="s">
        <v>3348</v>
      </c>
      <c r="D211" s="253">
        <v>23089.89</v>
      </c>
      <c r="E211" s="253">
        <v>257195.43000000002</v>
      </c>
      <c r="F211" s="253">
        <v>6177082.3199999966</v>
      </c>
      <c r="G211" s="546">
        <f t="shared" si="18"/>
        <v>6457367.6399999969</v>
      </c>
      <c r="H211" s="254">
        <v>0</v>
      </c>
      <c r="I211" s="254">
        <v>0</v>
      </c>
      <c r="J211" s="254">
        <v>0</v>
      </c>
      <c r="K211" s="260">
        <f t="shared" si="15"/>
        <v>23089.89</v>
      </c>
      <c r="L211" s="260">
        <f t="shared" si="16"/>
        <v>257195.43000000002</v>
      </c>
      <c r="M211" s="260">
        <f t="shared" si="17"/>
        <v>6177082.3199999966</v>
      </c>
      <c r="N211" s="255">
        <f t="shared" si="19"/>
        <v>0</v>
      </c>
      <c r="O211" s="252" t="s">
        <v>3327</v>
      </c>
      <c r="P211" s="252"/>
      <c r="Q211" s="258">
        <f>SUMIF('Antelope Bailey Split BA'!$B$7:$B$29,B211,'Antelope Bailey Split BA'!$C$7:$C$29)</f>
        <v>0</v>
      </c>
      <c r="R211" s="258" t="str">
        <f>IF(AND(Q211=1,'Plant Total by Account'!$J$1=2),"EKWRA","")</f>
        <v/>
      </c>
    </row>
    <row r="212" spans="1:18" ht="12.75" customHeight="1" x14ac:dyDescent="0.2">
      <c r="A212" s="249" t="s">
        <v>2548</v>
      </c>
      <c r="B212" s="252" t="s">
        <v>1223</v>
      </c>
      <c r="C212" s="252" t="s">
        <v>3348</v>
      </c>
      <c r="D212" s="253">
        <v>0</v>
      </c>
      <c r="E212" s="253">
        <v>0</v>
      </c>
      <c r="F212" s="253">
        <v>87113.34</v>
      </c>
      <c r="G212" s="546">
        <f t="shared" si="18"/>
        <v>87113.34</v>
      </c>
      <c r="H212" s="254">
        <v>0</v>
      </c>
      <c r="I212" s="254">
        <v>0</v>
      </c>
      <c r="J212" s="254">
        <v>0</v>
      </c>
      <c r="K212" s="260">
        <f t="shared" si="15"/>
        <v>0</v>
      </c>
      <c r="L212" s="260">
        <f t="shared" si="16"/>
        <v>0</v>
      </c>
      <c r="M212" s="260">
        <f t="shared" si="17"/>
        <v>87113.34</v>
      </c>
      <c r="N212" s="255">
        <f t="shared" si="19"/>
        <v>0</v>
      </c>
      <c r="O212" s="252" t="s">
        <v>3327</v>
      </c>
      <c r="P212" s="252"/>
      <c r="Q212" s="258">
        <f>SUMIF('Antelope Bailey Split BA'!$B$7:$B$29,B212,'Antelope Bailey Split BA'!$C$7:$C$29)</f>
        <v>0</v>
      </c>
      <c r="R212" s="258" t="str">
        <f>IF(AND(Q212=1,'Plant Total by Account'!$J$1=2),"EKWRA","")</f>
        <v/>
      </c>
    </row>
    <row r="213" spans="1:18" ht="12.75" customHeight="1" x14ac:dyDescent="0.2">
      <c r="A213" s="249" t="s">
        <v>2549</v>
      </c>
      <c r="B213" s="252" t="s">
        <v>1224</v>
      </c>
      <c r="C213" s="252" t="s">
        <v>3355</v>
      </c>
      <c r="D213" s="253">
        <v>0</v>
      </c>
      <c r="E213" s="253">
        <v>0</v>
      </c>
      <c r="F213" s="253">
        <v>15843.599999999999</v>
      </c>
      <c r="G213" s="546">
        <f t="shared" si="18"/>
        <v>15843.599999999999</v>
      </c>
      <c r="H213" s="254">
        <v>0</v>
      </c>
      <c r="I213" s="254">
        <v>0</v>
      </c>
      <c r="J213" s="254">
        <v>0</v>
      </c>
      <c r="K213" s="260">
        <f t="shared" si="15"/>
        <v>0</v>
      </c>
      <c r="L213" s="260">
        <f t="shared" si="16"/>
        <v>0</v>
      </c>
      <c r="M213" s="260">
        <f t="shared" si="17"/>
        <v>15843.599999999999</v>
      </c>
      <c r="N213" s="255">
        <f t="shared" si="19"/>
        <v>0</v>
      </c>
      <c r="O213" s="252" t="s">
        <v>3327</v>
      </c>
      <c r="P213" s="252"/>
      <c r="Q213" s="258">
        <f>SUMIF('Antelope Bailey Split BA'!$B$7:$B$29,B213,'Antelope Bailey Split BA'!$C$7:$C$29)</f>
        <v>0</v>
      </c>
      <c r="R213" s="258" t="str">
        <f>IF(AND(Q213=1,'Plant Total by Account'!$J$1=2),"EKWRA","")</f>
        <v/>
      </c>
    </row>
    <row r="214" spans="1:18" ht="12.75" customHeight="1" x14ac:dyDescent="0.2">
      <c r="A214" s="249" t="s">
        <v>2550</v>
      </c>
      <c r="B214" s="252" t="s">
        <v>1225</v>
      </c>
      <c r="C214" s="252" t="s">
        <v>3355</v>
      </c>
      <c r="D214" s="253">
        <v>0</v>
      </c>
      <c r="E214" s="253">
        <v>0</v>
      </c>
      <c r="F214" s="253">
        <v>6807.4800000000005</v>
      </c>
      <c r="G214" s="546">
        <f t="shared" si="18"/>
        <v>6807.4800000000005</v>
      </c>
      <c r="H214" s="254">
        <v>0</v>
      </c>
      <c r="I214" s="254">
        <v>0</v>
      </c>
      <c r="J214" s="254">
        <v>0</v>
      </c>
      <c r="K214" s="260">
        <f t="shared" si="15"/>
        <v>0</v>
      </c>
      <c r="L214" s="260">
        <f t="shared" si="16"/>
        <v>0</v>
      </c>
      <c r="M214" s="260">
        <f t="shared" si="17"/>
        <v>6807.4800000000005</v>
      </c>
      <c r="N214" s="255">
        <f t="shared" si="19"/>
        <v>0</v>
      </c>
      <c r="O214" s="252" t="s">
        <v>3327</v>
      </c>
      <c r="P214" s="252"/>
      <c r="Q214" s="258">
        <f>SUMIF('Antelope Bailey Split BA'!$B$7:$B$29,B214,'Antelope Bailey Split BA'!$C$7:$C$29)</f>
        <v>0</v>
      </c>
      <c r="R214" s="258" t="str">
        <f>IF(AND(Q214=1,'Plant Total by Account'!$J$1=2),"EKWRA","")</f>
        <v/>
      </c>
    </row>
    <row r="215" spans="1:18" ht="12.75" customHeight="1" x14ac:dyDescent="0.2">
      <c r="A215" s="249" t="s">
        <v>2551</v>
      </c>
      <c r="B215" s="252" t="s">
        <v>1226</v>
      </c>
      <c r="C215" s="252" t="s">
        <v>3348</v>
      </c>
      <c r="D215" s="253">
        <v>42272.47</v>
      </c>
      <c r="E215" s="253">
        <v>402055.04</v>
      </c>
      <c r="F215" s="253">
        <v>8394319.9699999969</v>
      </c>
      <c r="G215" s="546">
        <f t="shared" si="18"/>
        <v>8838647.4799999967</v>
      </c>
      <c r="H215" s="254">
        <v>0</v>
      </c>
      <c r="I215" s="254">
        <v>0</v>
      </c>
      <c r="J215" s="254">
        <v>0</v>
      </c>
      <c r="K215" s="260">
        <f t="shared" si="15"/>
        <v>42272.47</v>
      </c>
      <c r="L215" s="260">
        <f t="shared" si="16"/>
        <v>402055.04</v>
      </c>
      <c r="M215" s="260">
        <f t="shared" si="17"/>
        <v>8394319.9699999969</v>
      </c>
      <c r="N215" s="255">
        <f t="shared" si="19"/>
        <v>0</v>
      </c>
      <c r="O215" s="252" t="s">
        <v>3327</v>
      </c>
      <c r="P215" s="252"/>
      <c r="Q215" s="258">
        <f>SUMIF('Antelope Bailey Split BA'!$B$7:$B$29,B215,'Antelope Bailey Split BA'!$C$7:$C$29)</f>
        <v>0</v>
      </c>
      <c r="R215" s="258" t="str">
        <f>IF(AND(Q215=1,'Plant Total by Account'!$J$1=2),"EKWRA","")</f>
        <v/>
      </c>
    </row>
    <row r="216" spans="1:18" ht="12.75" customHeight="1" x14ac:dyDescent="0.2">
      <c r="A216" s="249" t="s">
        <v>2552</v>
      </c>
      <c r="B216" s="252" t="s">
        <v>1227</v>
      </c>
      <c r="C216" s="252" t="s">
        <v>3348</v>
      </c>
      <c r="D216" s="253">
        <v>0</v>
      </c>
      <c r="E216" s="253">
        <v>284370.70000000007</v>
      </c>
      <c r="F216" s="253">
        <v>4861490.1199999992</v>
      </c>
      <c r="G216" s="546">
        <f t="shared" si="18"/>
        <v>5145860.8199999994</v>
      </c>
      <c r="H216" s="254">
        <v>0</v>
      </c>
      <c r="I216" s="254">
        <v>0</v>
      </c>
      <c r="J216" s="254">
        <v>0</v>
      </c>
      <c r="K216" s="260">
        <f t="shared" si="15"/>
        <v>0</v>
      </c>
      <c r="L216" s="260">
        <f t="shared" si="16"/>
        <v>284370.70000000007</v>
      </c>
      <c r="M216" s="260">
        <f t="shared" si="17"/>
        <v>4861490.1199999992</v>
      </c>
      <c r="N216" s="255">
        <f t="shared" si="19"/>
        <v>0</v>
      </c>
      <c r="O216" s="252" t="s">
        <v>3327</v>
      </c>
      <c r="P216" s="252"/>
      <c r="Q216" s="258">
        <f>SUMIF('Antelope Bailey Split BA'!$B$7:$B$29,B216,'Antelope Bailey Split BA'!$C$7:$C$29)</f>
        <v>0</v>
      </c>
      <c r="R216" s="258" t="str">
        <f>IF(AND(Q216=1,'Plant Total by Account'!$J$1=2),"EKWRA","")</f>
        <v/>
      </c>
    </row>
    <row r="217" spans="1:18" ht="12.75" customHeight="1" x14ac:dyDescent="0.2">
      <c r="A217" s="249" t="s">
        <v>2553</v>
      </c>
      <c r="B217" s="252" t="s">
        <v>1228</v>
      </c>
      <c r="C217" s="252" t="s">
        <v>3348</v>
      </c>
      <c r="D217" s="253">
        <v>23492.670000000002</v>
      </c>
      <c r="E217" s="253">
        <v>294559.36000000004</v>
      </c>
      <c r="F217" s="253">
        <v>7294089.4900000021</v>
      </c>
      <c r="G217" s="546">
        <f t="shared" si="18"/>
        <v>7612141.5200000023</v>
      </c>
      <c r="H217" s="254">
        <v>0</v>
      </c>
      <c r="I217" s="254">
        <v>0</v>
      </c>
      <c r="J217" s="254">
        <v>0</v>
      </c>
      <c r="K217" s="260">
        <f t="shared" si="15"/>
        <v>23492.670000000002</v>
      </c>
      <c r="L217" s="260">
        <f t="shared" si="16"/>
        <v>294559.36000000004</v>
      </c>
      <c r="M217" s="260">
        <f t="shared" si="17"/>
        <v>7294089.4900000021</v>
      </c>
      <c r="N217" s="255">
        <f t="shared" si="19"/>
        <v>0</v>
      </c>
      <c r="O217" s="252" t="s">
        <v>3327</v>
      </c>
      <c r="P217" s="252"/>
      <c r="Q217" s="258">
        <f>SUMIF('Antelope Bailey Split BA'!$B$7:$B$29,B217,'Antelope Bailey Split BA'!$C$7:$C$29)</f>
        <v>0</v>
      </c>
      <c r="R217" s="258" t="str">
        <f>IF(AND(Q217=1,'Plant Total by Account'!$J$1=2),"EKWRA","")</f>
        <v/>
      </c>
    </row>
    <row r="218" spans="1:18" ht="12.75" customHeight="1" x14ac:dyDescent="0.2">
      <c r="A218" s="249" t="s">
        <v>2554</v>
      </c>
      <c r="B218" s="252" t="s">
        <v>809</v>
      </c>
      <c r="C218" s="252" t="s">
        <v>3348</v>
      </c>
      <c r="D218" s="253">
        <v>27809.47</v>
      </c>
      <c r="E218" s="253">
        <v>1576175.28</v>
      </c>
      <c r="F218" s="253">
        <v>9081338.049999997</v>
      </c>
      <c r="G218" s="546">
        <f t="shared" si="18"/>
        <v>10685322.799999997</v>
      </c>
      <c r="H218" s="254">
        <v>0</v>
      </c>
      <c r="I218" s="254">
        <v>0</v>
      </c>
      <c r="J218" s="254">
        <v>0</v>
      </c>
      <c r="K218" s="260">
        <f t="shared" si="15"/>
        <v>27809.47</v>
      </c>
      <c r="L218" s="260">
        <f t="shared" si="16"/>
        <v>1576175.28</v>
      </c>
      <c r="M218" s="260">
        <f t="shared" si="17"/>
        <v>9081338.049999997</v>
      </c>
      <c r="N218" s="255">
        <f t="shared" si="19"/>
        <v>0</v>
      </c>
      <c r="O218" s="252" t="s">
        <v>3327</v>
      </c>
      <c r="P218" s="252"/>
      <c r="Q218" s="258">
        <f>SUMIF('Antelope Bailey Split BA'!$B$7:$B$29,B218,'Antelope Bailey Split BA'!$C$7:$C$29)</f>
        <v>0</v>
      </c>
      <c r="R218" s="258" t="str">
        <f>IF(AND(Q218=1,'Plant Total by Account'!$J$1=2),"EKWRA","")</f>
        <v/>
      </c>
    </row>
    <row r="219" spans="1:18" ht="12.75" customHeight="1" x14ac:dyDescent="0.2">
      <c r="A219" s="249" t="s">
        <v>2555</v>
      </c>
      <c r="B219" s="252" t="s">
        <v>1229</v>
      </c>
      <c r="C219" s="252" t="s">
        <v>3348</v>
      </c>
      <c r="D219" s="253">
        <v>4912.76</v>
      </c>
      <c r="E219" s="253">
        <v>7283.74</v>
      </c>
      <c r="F219" s="253">
        <v>217755.20999999993</v>
      </c>
      <c r="G219" s="546">
        <f t="shared" si="18"/>
        <v>229951.70999999993</v>
      </c>
      <c r="H219" s="254">
        <v>0</v>
      </c>
      <c r="I219" s="254">
        <v>0</v>
      </c>
      <c r="J219" s="254">
        <v>0</v>
      </c>
      <c r="K219" s="260">
        <f t="shared" si="15"/>
        <v>4912.76</v>
      </c>
      <c r="L219" s="260">
        <f t="shared" si="16"/>
        <v>7283.74</v>
      </c>
      <c r="M219" s="260">
        <f t="shared" si="17"/>
        <v>217755.20999999993</v>
      </c>
      <c r="N219" s="255">
        <f t="shared" si="19"/>
        <v>0</v>
      </c>
      <c r="O219" s="252" t="s">
        <v>3327</v>
      </c>
      <c r="P219" s="252"/>
      <c r="Q219" s="258">
        <f>SUMIF('Antelope Bailey Split BA'!$B$7:$B$29,B219,'Antelope Bailey Split BA'!$C$7:$C$29)</f>
        <v>0</v>
      </c>
      <c r="R219" s="258" t="str">
        <f>IF(AND(Q219=1,'Plant Total by Account'!$J$1=2),"EKWRA","")</f>
        <v/>
      </c>
    </row>
    <row r="220" spans="1:18" ht="12.75" customHeight="1" x14ac:dyDescent="0.2">
      <c r="A220" s="249" t="s">
        <v>2556</v>
      </c>
      <c r="B220" s="252" t="s">
        <v>1230</v>
      </c>
      <c r="C220" s="252" t="s">
        <v>3348</v>
      </c>
      <c r="D220" s="253">
        <v>189886.25</v>
      </c>
      <c r="E220" s="253">
        <v>504358.57</v>
      </c>
      <c r="F220" s="253">
        <v>4923980.8099999987</v>
      </c>
      <c r="G220" s="546">
        <f t="shared" si="18"/>
        <v>5618225.629999999</v>
      </c>
      <c r="H220" s="254">
        <v>0</v>
      </c>
      <c r="I220" s="254">
        <v>0</v>
      </c>
      <c r="J220" s="254">
        <v>0</v>
      </c>
      <c r="K220" s="260">
        <f t="shared" si="15"/>
        <v>189886.25</v>
      </c>
      <c r="L220" s="260">
        <f t="shared" si="16"/>
        <v>504358.57</v>
      </c>
      <c r="M220" s="260">
        <f t="shared" si="17"/>
        <v>4923980.8099999987</v>
      </c>
      <c r="N220" s="255">
        <f t="shared" si="19"/>
        <v>0</v>
      </c>
      <c r="O220" s="252" t="s">
        <v>3327</v>
      </c>
      <c r="P220" s="252"/>
      <c r="Q220" s="258">
        <f>SUMIF('Antelope Bailey Split BA'!$B$7:$B$29,B220,'Antelope Bailey Split BA'!$C$7:$C$29)</f>
        <v>0</v>
      </c>
      <c r="R220" s="258" t="str">
        <f>IF(AND(Q220=1,'Plant Total by Account'!$J$1=2),"EKWRA","")</f>
        <v/>
      </c>
    </row>
    <row r="221" spans="1:18" ht="12.75" customHeight="1" x14ac:dyDescent="0.2">
      <c r="A221" s="249" t="s">
        <v>2557</v>
      </c>
      <c r="B221" s="252" t="s">
        <v>1231</v>
      </c>
      <c r="C221" s="252" t="s">
        <v>3348</v>
      </c>
      <c r="D221" s="253">
        <v>125966.68000000001</v>
      </c>
      <c r="E221" s="253">
        <v>363862.09</v>
      </c>
      <c r="F221" s="253">
        <v>11386602.769999996</v>
      </c>
      <c r="G221" s="546">
        <f t="shared" si="18"/>
        <v>11876431.539999995</v>
      </c>
      <c r="H221" s="254">
        <v>0</v>
      </c>
      <c r="I221" s="254">
        <v>0</v>
      </c>
      <c r="J221" s="254">
        <v>0</v>
      </c>
      <c r="K221" s="260">
        <f t="shared" si="15"/>
        <v>125966.68000000001</v>
      </c>
      <c r="L221" s="260">
        <f t="shared" si="16"/>
        <v>363862.09</v>
      </c>
      <c r="M221" s="260">
        <f t="shared" si="17"/>
        <v>11386602.769999996</v>
      </c>
      <c r="N221" s="255">
        <f t="shared" si="19"/>
        <v>0</v>
      </c>
      <c r="O221" s="252" t="s">
        <v>3327</v>
      </c>
      <c r="P221" s="252"/>
      <c r="Q221" s="258">
        <f>SUMIF('Antelope Bailey Split BA'!$B$7:$B$29,B221,'Antelope Bailey Split BA'!$C$7:$C$29)</f>
        <v>0</v>
      </c>
      <c r="R221" s="258" t="str">
        <f>IF(AND(Q221=1,'Plant Total by Account'!$J$1=2),"EKWRA","")</f>
        <v/>
      </c>
    </row>
    <row r="222" spans="1:18" ht="12.75" customHeight="1" x14ac:dyDescent="0.2">
      <c r="A222" s="249" t="s">
        <v>2558</v>
      </c>
      <c r="B222" s="252" t="s">
        <v>815</v>
      </c>
      <c r="C222" s="252" t="s">
        <v>3352</v>
      </c>
      <c r="D222" s="253">
        <v>0</v>
      </c>
      <c r="E222" s="253">
        <v>0</v>
      </c>
      <c r="F222" s="253">
        <v>59447.16</v>
      </c>
      <c r="G222" s="546">
        <f t="shared" si="18"/>
        <v>59447.16</v>
      </c>
      <c r="H222" s="254">
        <v>0</v>
      </c>
      <c r="I222" s="254">
        <v>0</v>
      </c>
      <c r="J222" s="254">
        <v>0</v>
      </c>
      <c r="K222" s="260">
        <f t="shared" si="15"/>
        <v>0</v>
      </c>
      <c r="L222" s="260">
        <f t="shared" si="16"/>
        <v>0</v>
      </c>
      <c r="M222" s="260">
        <f t="shared" si="17"/>
        <v>59447.16</v>
      </c>
      <c r="N222" s="255">
        <f t="shared" si="19"/>
        <v>0</v>
      </c>
      <c r="O222" s="252" t="s">
        <v>3327</v>
      </c>
      <c r="P222" s="252"/>
      <c r="Q222" s="258">
        <f>SUMIF('Antelope Bailey Split BA'!$B$7:$B$29,B222,'Antelope Bailey Split BA'!$C$7:$C$29)</f>
        <v>0</v>
      </c>
      <c r="R222" s="258" t="str">
        <f>IF(AND(Q222=1,'Plant Total by Account'!$J$1=2),"EKWRA","")</f>
        <v/>
      </c>
    </row>
    <row r="223" spans="1:18" ht="12.75" customHeight="1" x14ac:dyDescent="0.2">
      <c r="A223" s="249" t="s">
        <v>2559</v>
      </c>
      <c r="B223" s="252" t="s">
        <v>816</v>
      </c>
      <c r="C223" s="252" t="s">
        <v>3352</v>
      </c>
      <c r="D223" s="253">
        <v>0</v>
      </c>
      <c r="E223" s="253">
        <v>0</v>
      </c>
      <c r="F223" s="253">
        <v>551028.21</v>
      </c>
      <c r="G223" s="546">
        <f t="shared" si="18"/>
        <v>551028.21</v>
      </c>
      <c r="H223" s="254">
        <v>0</v>
      </c>
      <c r="I223" s="254">
        <v>0</v>
      </c>
      <c r="J223" s="254">
        <v>0</v>
      </c>
      <c r="K223" s="260">
        <f t="shared" si="15"/>
        <v>0</v>
      </c>
      <c r="L223" s="260">
        <f t="shared" si="16"/>
        <v>0</v>
      </c>
      <c r="M223" s="260">
        <f t="shared" si="17"/>
        <v>551028.21</v>
      </c>
      <c r="N223" s="255">
        <f t="shared" si="19"/>
        <v>0</v>
      </c>
      <c r="O223" s="252" t="s">
        <v>3327</v>
      </c>
      <c r="P223" s="252"/>
      <c r="Q223" s="258">
        <f>SUMIF('Antelope Bailey Split BA'!$B$7:$B$29,B223,'Antelope Bailey Split BA'!$C$7:$C$29)</f>
        <v>0</v>
      </c>
      <c r="R223" s="258" t="str">
        <f>IF(AND(Q223=1,'Plant Total by Account'!$J$1=2),"EKWRA","")</f>
        <v/>
      </c>
    </row>
    <row r="224" spans="1:18" ht="12.75" customHeight="1" x14ac:dyDescent="0.2">
      <c r="A224" s="249" t="s">
        <v>2560</v>
      </c>
      <c r="B224" s="252" t="s">
        <v>817</v>
      </c>
      <c r="C224" s="252" t="s">
        <v>3352</v>
      </c>
      <c r="D224" s="253">
        <v>0</v>
      </c>
      <c r="E224" s="253">
        <v>0</v>
      </c>
      <c r="F224" s="253">
        <v>6702.59</v>
      </c>
      <c r="G224" s="546">
        <f t="shared" si="18"/>
        <v>6702.59</v>
      </c>
      <c r="H224" s="254">
        <v>0</v>
      </c>
      <c r="I224" s="254">
        <v>0</v>
      </c>
      <c r="J224" s="254">
        <v>0</v>
      </c>
      <c r="K224" s="260">
        <f t="shared" si="15"/>
        <v>0</v>
      </c>
      <c r="L224" s="260">
        <f t="shared" si="16"/>
        <v>0</v>
      </c>
      <c r="M224" s="260">
        <f t="shared" si="17"/>
        <v>6702.59</v>
      </c>
      <c r="N224" s="255">
        <f t="shared" si="19"/>
        <v>0</v>
      </c>
      <c r="O224" s="252" t="s">
        <v>3327</v>
      </c>
      <c r="P224" s="252"/>
      <c r="Q224" s="258">
        <f>SUMIF('Antelope Bailey Split BA'!$B$7:$B$29,B224,'Antelope Bailey Split BA'!$C$7:$C$29)</f>
        <v>0</v>
      </c>
      <c r="R224" s="258" t="str">
        <f>IF(AND(Q224=1,'Plant Total by Account'!$J$1=2),"EKWRA","")</f>
        <v/>
      </c>
    </row>
    <row r="225" spans="1:18" ht="12.75" customHeight="1" x14ac:dyDescent="0.2">
      <c r="A225" s="249" t="s">
        <v>2561</v>
      </c>
      <c r="B225" s="252" t="s">
        <v>820</v>
      </c>
      <c r="C225" s="252" t="s">
        <v>3352</v>
      </c>
      <c r="D225" s="253">
        <v>0</v>
      </c>
      <c r="E225" s="253">
        <v>15598.210000000001</v>
      </c>
      <c r="F225" s="253">
        <v>0</v>
      </c>
      <c r="G225" s="546">
        <f t="shared" si="18"/>
        <v>15598.210000000001</v>
      </c>
      <c r="H225" s="254">
        <v>0</v>
      </c>
      <c r="I225" s="254">
        <v>0</v>
      </c>
      <c r="J225" s="254">
        <v>0</v>
      </c>
      <c r="K225" s="260">
        <f t="shared" si="15"/>
        <v>0</v>
      </c>
      <c r="L225" s="260">
        <f t="shared" si="16"/>
        <v>15598.210000000001</v>
      </c>
      <c r="M225" s="260">
        <f t="shared" si="17"/>
        <v>0</v>
      </c>
      <c r="N225" s="255">
        <f t="shared" si="19"/>
        <v>0</v>
      </c>
      <c r="O225" s="252" t="s">
        <v>3327</v>
      </c>
      <c r="P225" s="252"/>
      <c r="Q225" s="258">
        <f>SUMIF('Antelope Bailey Split BA'!$B$7:$B$29,B225,'Antelope Bailey Split BA'!$C$7:$C$29)</f>
        <v>0</v>
      </c>
      <c r="R225" s="258" t="str">
        <f>IF(AND(Q225=1,'Plant Total by Account'!$J$1=2),"EKWRA","")</f>
        <v/>
      </c>
    </row>
    <row r="226" spans="1:18" ht="12.75" customHeight="1" x14ac:dyDescent="0.2">
      <c r="A226" s="249" t="s">
        <v>2562</v>
      </c>
      <c r="B226" s="252" t="s">
        <v>824</v>
      </c>
      <c r="C226" s="252" t="s">
        <v>3352</v>
      </c>
      <c r="D226" s="253">
        <v>0</v>
      </c>
      <c r="E226" s="253">
        <v>6086.63</v>
      </c>
      <c r="F226" s="253">
        <v>0</v>
      </c>
      <c r="G226" s="546">
        <f t="shared" si="18"/>
        <v>6086.63</v>
      </c>
      <c r="H226" s="254">
        <v>0</v>
      </c>
      <c r="I226" s="254">
        <v>0</v>
      </c>
      <c r="J226" s="254">
        <v>0</v>
      </c>
      <c r="K226" s="260">
        <f t="shared" si="15"/>
        <v>0</v>
      </c>
      <c r="L226" s="260">
        <f t="shared" si="16"/>
        <v>6086.63</v>
      </c>
      <c r="M226" s="260">
        <f t="shared" si="17"/>
        <v>0</v>
      </c>
      <c r="N226" s="255">
        <f t="shared" si="19"/>
        <v>0</v>
      </c>
      <c r="O226" s="252" t="s">
        <v>3327</v>
      </c>
      <c r="P226" s="252"/>
      <c r="Q226" s="258">
        <f>SUMIF('Antelope Bailey Split BA'!$B$7:$B$29,B226,'Antelope Bailey Split BA'!$C$7:$C$29)</f>
        <v>0</v>
      </c>
      <c r="R226" s="258" t="str">
        <f>IF(AND(Q226=1,'Plant Total by Account'!$J$1=2),"EKWRA","")</f>
        <v/>
      </c>
    </row>
    <row r="227" spans="1:18" ht="12.75" customHeight="1" x14ac:dyDescent="0.2">
      <c r="A227" s="249" t="s">
        <v>2563</v>
      </c>
      <c r="B227" s="252" t="s">
        <v>850</v>
      </c>
      <c r="C227" s="252" t="s">
        <v>3352</v>
      </c>
      <c r="D227" s="253">
        <v>0</v>
      </c>
      <c r="E227" s="253">
        <v>0</v>
      </c>
      <c r="F227" s="253">
        <v>1963210.58</v>
      </c>
      <c r="G227" s="546">
        <f t="shared" si="18"/>
        <v>1963210.58</v>
      </c>
      <c r="H227" s="254">
        <v>0</v>
      </c>
      <c r="I227" s="254">
        <v>0</v>
      </c>
      <c r="J227" s="254">
        <v>0</v>
      </c>
      <c r="K227" s="260">
        <f t="shared" si="15"/>
        <v>0</v>
      </c>
      <c r="L227" s="260">
        <f t="shared" si="16"/>
        <v>0</v>
      </c>
      <c r="M227" s="260">
        <f t="shared" si="17"/>
        <v>1963210.58</v>
      </c>
      <c r="N227" s="255">
        <f t="shared" si="19"/>
        <v>0</v>
      </c>
      <c r="O227" s="252" t="s">
        <v>3327</v>
      </c>
      <c r="P227" s="252"/>
      <c r="Q227" s="258">
        <f>SUMIF('Antelope Bailey Split BA'!$B$7:$B$29,B227,'Antelope Bailey Split BA'!$C$7:$C$29)</f>
        <v>0</v>
      </c>
      <c r="R227" s="258" t="str">
        <f>IF(AND(Q227=1,'Plant Total by Account'!$J$1=2),"EKWRA","")</f>
        <v/>
      </c>
    </row>
    <row r="228" spans="1:18" ht="12.75" customHeight="1" x14ac:dyDescent="0.2">
      <c r="A228" s="249" t="s">
        <v>2564</v>
      </c>
      <c r="B228" s="252" t="s">
        <v>858</v>
      </c>
      <c r="C228" s="252" t="s">
        <v>3352</v>
      </c>
      <c r="D228" s="253">
        <v>0</v>
      </c>
      <c r="E228" s="253">
        <v>0</v>
      </c>
      <c r="F228" s="253">
        <v>35758.410000000003</v>
      </c>
      <c r="G228" s="546">
        <f t="shared" si="18"/>
        <v>35758.410000000003</v>
      </c>
      <c r="H228" s="254">
        <v>0</v>
      </c>
      <c r="I228" s="254">
        <v>0</v>
      </c>
      <c r="J228" s="254">
        <v>0</v>
      </c>
      <c r="K228" s="260">
        <f t="shared" ref="K228:K290" si="20">D228</f>
        <v>0</v>
      </c>
      <c r="L228" s="260">
        <f t="shared" ref="L228:L290" si="21">E228</f>
        <v>0</v>
      </c>
      <c r="M228" s="260">
        <f t="shared" ref="M228:M290" si="22">F228</f>
        <v>35758.410000000003</v>
      </c>
      <c r="N228" s="255">
        <f t="shared" si="19"/>
        <v>0</v>
      </c>
      <c r="O228" s="252" t="s">
        <v>3327</v>
      </c>
      <c r="P228" s="252"/>
      <c r="Q228" s="258">
        <f>SUMIF('Antelope Bailey Split BA'!$B$7:$B$29,B228,'Antelope Bailey Split BA'!$C$7:$C$29)</f>
        <v>0</v>
      </c>
      <c r="R228" s="258" t="str">
        <f>IF(AND(Q228=1,'Plant Total by Account'!$J$1=2),"EKWRA","")</f>
        <v/>
      </c>
    </row>
    <row r="229" spans="1:18" ht="12.75" customHeight="1" x14ac:dyDescent="0.2">
      <c r="A229" s="249" t="s">
        <v>2565</v>
      </c>
      <c r="B229" s="252" t="s">
        <v>865</v>
      </c>
      <c r="C229" s="252" t="s">
        <v>3352</v>
      </c>
      <c r="D229" s="253">
        <v>0</v>
      </c>
      <c r="E229" s="253">
        <v>15110.49</v>
      </c>
      <c r="F229" s="253">
        <v>59657.819999999992</v>
      </c>
      <c r="G229" s="546">
        <f t="shared" si="18"/>
        <v>74768.31</v>
      </c>
      <c r="H229" s="254">
        <v>0</v>
      </c>
      <c r="I229" s="254">
        <v>0</v>
      </c>
      <c r="J229" s="254">
        <v>0</v>
      </c>
      <c r="K229" s="260">
        <f t="shared" si="20"/>
        <v>0</v>
      </c>
      <c r="L229" s="260">
        <f t="shared" si="21"/>
        <v>15110.49</v>
      </c>
      <c r="M229" s="260">
        <f t="shared" si="22"/>
        <v>59657.819999999992</v>
      </c>
      <c r="N229" s="255">
        <f t="shared" si="19"/>
        <v>0</v>
      </c>
      <c r="O229" s="252" t="s">
        <v>3327</v>
      </c>
      <c r="P229" s="252"/>
      <c r="Q229" s="258">
        <f>SUMIF('Antelope Bailey Split BA'!$B$7:$B$29,B229,'Antelope Bailey Split BA'!$C$7:$C$29)</f>
        <v>0</v>
      </c>
      <c r="R229" s="258" t="str">
        <f>IF(AND(Q229=1,'Plant Total by Account'!$J$1=2),"EKWRA","")</f>
        <v/>
      </c>
    </row>
    <row r="230" spans="1:18" ht="12.75" customHeight="1" x14ac:dyDescent="0.2">
      <c r="A230" s="249" t="s">
        <v>2566</v>
      </c>
      <c r="B230" s="252" t="s">
        <v>867</v>
      </c>
      <c r="C230" s="252" t="s">
        <v>3352</v>
      </c>
      <c r="D230" s="253">
        <v>0</v>
      </c>
      <c r="E230" s="253">
        <v>0</v>
      </c>
      <c r="F230" s="253">
        <v>5532.86</v>
      </c>
      <c r="G230" s="546">
        <f t="shared" si="18"/>
        <v>5532.86</v>
      </c>
      <c r="H230" s="254">
        <v>0</v>
      </c>
      <c r="I230" s="254">
        <v>0</v>
      </c>
      <c r="J230" s="254">
        <v>0</v>
      </c>
      <c r="K230" s="260">
        <f t="shared" si="20"/>
        <v>0</v>
      </c>
      <c r="L230" s="260">
        <f t="shared" si="21"/>
        <v>0</v>
      </c>
      <c r="M230" s="260">
        <f t="shared" si="22"/>
        <v>5532.86</v>
      </c>
      <c r="N230" s="255">
        <f t="shared" si="19"/>
        <v>0</v>
      </c>
      <c r="O230" s="252" t="s">
        <v>3327</v>
      </c>
      <c r="P230" s="252"/>
      <c r="Q230" s="258">
        <f>SUMIF('Antelope Bailey Split BA'!$B$7:$B$29,B230,'Antelope Bailey Split BA'!$C$7:$C$29)</f>
        <v>0</v>
      </c>
      <c r="R230" s="258" t="str">
        <f>IF(AND(Q230=1,'Plant Total by Account'!$J$1=2),"EKWRA","")</f>
        <v/>
      </c>
    </row>
    <row r="231" spans="1:18" ht="12.75" customHeight="1" x14ac:dyDescent="0.2">
      <c r="A231" s="249" t="s">
        <v>2567</v>
      </c>
      <c r="B231" s="252" t="s">
        <v>868</v>
      </c>
      <c r="C231" s="252" t="s">
        <v>3352</v>
      </c>
      <c r="D231" s="253">
        <v>0</v>
      </c>
      <c r="E231" s="253">
        <v>0</v>
      </c>
      <c r="F231" s="253">
        <v>41486.03</v>
      </c>
      <c r="G231" s="546">
        <f t="shared" si="18"/>
        <v>41486.03</v>
      </c>
      <c r="H231" s="254">
        <v>0</v>
      </c>
      <c r="I231" s="254">
        <v>0</v>
      </c>
      <c r="J231" s="254">
        <v>0</v>
      </c>
      <c r="K231" s="260">
        <f t="shared" si="20"/>
        <v>0</v>
      </c>
      <c r="L231" s="260">
        <f t="shared" si="21"/>
        <v>0</v>
      </c>
      <c r="M231" s="260">
        <f t="shared" si="22"/>
        <v>41486.03</v>
      </c>
      <c r="N231" s="255">
        <f t="shared" si="19"/>
        <v>0</v>
      </c>
      <c r="O231" s="252" t="s">
        <v>3327</v>
      </c>
      <c r="P231" s="252"/>
      <c r="Q231" s="258">
        <f>SUMIF('Antelope Bailey Split BA'!$B$7:$B$29,B231,'Antelope Bailey Split BA'!$C$7:$C$29)</f>
        <v>0</v>
      </c>
      <c r="R231" s="258" t="str">
        <f>IF(AND(Q231=1,'Plant Total by Account'!$J$1=2),"EKWRA","")</f>
        <v/>
      </c>
    </row>
    <row r="232" spans="1:18" ht="12.75" customHeight="1" x14ac:dyDescent="0.2">
      <c r="A232" s="249" t="s">
        <v>2568</v>
      </c>
      <c r="B232" s="252" t="s">
        <v>873</v>
      </c>
      <c r="C232" s="252" t="s">
        <v>3352</v>
      </c>
      <c r="D232" s="253">
        <v>0</v>
      </c>
      <c r="E232" s="253">
        <v>0</v>
      </c>
      <c r="F232" s="253">
        <v>5724.72</v>
      </c>
      <c r="G232" s="546">
        <f t="shared" si="18"/>
        <v>5724.72</v>
      </c>
      <c r="H232" s="254">
        <v>0</v>
      </c>
      <c r="I232" s="254">
        <v>0</v>
      </c>
      <c r="J232" s="254">
        <v>0</v>
      </c>
      <c r="K232" s="260">
        <f t="shared" si="20"/>
        <v>0</v>
      </c>
      <c r="L232" s="260">
        <f t="shared" si="21"/>
        <v>0</v>
      </c>
      <c r="M232" s="260">
        <f t="shared" si="22"/>
        <v>5724.72</v>
      </c>
      <c r="N232" s="255">
        <f t="shared" si="19"/>
        <v>0</v>
      </c>
      <c r="O232" s="252" t="s">
        <v>3327</v>
      </c>
      <c r="P232" s="252"/>
      <c r="Q232" s="258">
        <f>SUMIF('Antelope Bailey Split BA'!$B$7:$B$29,B232,'Antelope Bailey Split BA'!$C$7:$C$29)</f>
        <v>0</v>
      </c>
      <c r="R232" s="258" t="str">
        <f>IF(AND(Q232=1,'Plant Total by Account'!$J$1=2),"EKWRA","")</f>
        <v/>
      </c>
    </row>
    <row r="233" spans="1:18" ht="12.75" customHeight="1" x14ac:dyDescent="0.2">
      <c r="A233" s="249" t="s">
        <v>2569</v>
      </c>
      <c r="B233" s="252" t="s">
        <v>874</v>
      </c>
      <c r="C233" s="252" t="s">
        <v>3352</v>
      </c>
      <c r="D233" s="253">
        <v>0</v>
      </c>
      <c r="E233" s="253">
        <v>16206.960000000001</v>
      </c>
      <c r="F233" s="253">
        <v>56358.19</v>
      </c>
      <c r="G233" s="546">
        <f t="shared" si="18"/>
        <v>72565.150000000009</v>
      </c>
      <c r="H233" s="254">
        <v>0</v>
      </c>
      <c r="I233" s="254">
        <v>0</v>
      </c>
      <c r="J233" s="254">
        <v>0</v>
      </c>
      <c r="K233" s="260">
        <f t="shared" si="20"/>
        <v>0</v>
      </c>
      <c r="L233" s="260">
        <f t="shared" si="21"/>
        <v>16206.960000000001</v>
      </c>
      <c r="M233" s="260">
        <f t="shared" si="22"/>
        <v>56358.19</v>
      </c>
      <c r="N233" s="255">
        <f t="shared" si="19"/>
        <v>0</v>
      </c>
      <c r="O233" s="252" t="s">
        <v>3327</v>
      </c>
      <c r="P233" s="252"/>
      <c r="Q233" s="258">
        <f>SUMIF('Antelope Bailey Split BA'!$B$7:$B$29,B233,'Antelope Bailey Split BA'!$C$7:$C$29)</f>
        <v>0</v>
      </c>
      <c r="R233" s="258" t="str">
        <f>IF(AND(Q233=1,'Plant Total by Account'!$J$1=2),"EKWRA","")</f>
        <v/>
      </c>
    </row>
    <row r="234" spans="1:18" ht="12.75" customHeight="1" x14ac:dyDescent="0.2">
      <c r="A234" s="249" t="s">
        <v>2570</v>
      </c>
      <c r="B234" s="252" t="s">
        <v>875</v>
      </c>
      <c r="C234" s="252" t="s">
        <v>3352</v>
      </c>
      <c r="D234" s="253">
        <v>0</v>
      </c>
      <c r="E234" s="253">
        <v>0</v>
      </c>
      <c r="F234" s="253">
        <v>21179.71</v>
      </c>
      <c r="G234" s="546">
        <f t="shared" si="18"/>
        <v>21179.71</v>
      </c>
      <c r="H234" s="254">
        <v>0</v>
      </c>
      <c r="I234" s="254">
        <v>0</v>
      </c>
      <c r="J234" s="254">
        <v>0</v>
      </c>
      <c r="K234" s="260">
        <f t="shared" si="20"/>
        <v>0</v>
      </c>
      <c r="L234" s="260">
        <f t="shared" si="21"/>
        <v>0</v>
      </c>
      <c r="M234" s="260">
        <f t="shared" si="22"/>
        <v>21179.71</v>
      </c>
      <c r="N234" s="255">
        <f t="shared" si="19"/>
        <v>0</v>
      </c>
      <c r="O234" s="252" t="s">
        <v>3327</v>
      </c>
      <c r="P234" s="252"/>
      <c r="Q234" s="258">
        <f>SUMIF('Antelope Bailey Split BA'!$B$7:$B$29,B234,'Antelope Bailey Split BA'!$C$7:$C$29)</f>
        <v>0</v>
      </c>
      <c r="R234" s="258" t="str">
        <f>IF(AND(Q234=1,'Plant Total by Account'!$J$1=2),"EKWRA","")</f>
        <v/>
      </c>
    </row>
    <row r="235" spans="1:18" ht="12.75" customHeight="1" x14ac:dyDescent="0.2">
      <c r="A235" s="249" t="s">
        <v>2571</v>
      </c>
      <c r="B235" s="252" t="s">
        <v>876</v>
      </c>
      <c r="C235" s="252" t="s">
        <v>3352</v>
      </c>
      <c r="D235" s="253">
        <v>1616115.09</v>
      </c>
      <c r="E235" s="253">
        <v>0</v>
      </c>
      <c r="F235" s="253">
        <v>0</v>
      </c>
      <c r="G235" s="546">
        <f t="shared" si="18"/>
        <v>1616115.09</v>
      </c>
      <c r="H235" s="254">
        <v>0</v>
      </c>
      <c r="I235" s="254">
        <v>0</v>
      </c>
      <c r="J235" s="254">
        <v>0</v>
      </c>
      <c r="K235" s="260">
        <f t="shared" si="20"/>
        <v>1616115.09</v>
      </c>
      <c r="L235" s="260">
        <f t="shared" si="21"/>
        <v>0</v>
      </c>
      <c r="M235" s="260">
        <f t="shared" si="22"/>
        <v>0</v>
      </c>
      <c r="N235" s="255">
        <f t="shared" si="19"/>
        <v>0</v>
      </c>
      <c r="O235" s="252" t="s">
        <v>3327</v>
      </c>
      <c r="P235" s="252"/>
      <c r="Q235" s="258">
        <f>SUMIF('Antelope Bailey Split BA'!$B$7:$B$29,B235,'Antelope Bailey Split BA'!$C$7:$C$29)</f>
        <v>0</v>
      </c>
      <c r="R235" s="258" t="str">
        <f>IF(AND(Q235=1,'Plant Total by Account'!$J$1=2),"EKWRA","")</f>
        <v/>
      </c>
    </row>
    <row r="236" spans="1:18" ht="12.75" customHeight="1" x14ac:dyDescent="0.2">
      <c r="A236" s="249" t="s">
        <v>2572</v>
      </c>
      <c r="B236" s="252" t="s">
        <v>877</v>
      </c>
      <c r="C236" s="252" t="s">
        <v>3348</v>
      </c>
      <c r="D236" s="253">
        <v>0</v>
      </c>
      <c r="E236" s="253">
        <v>0</v>
      </c>
      <c r="F236" s="253">
        <v>939381.34000000008</v>
      </c>
      <c r="G236" s="546">
        <f t="shared" si="18"/>
        <v>939381.34000000008</v>
      </c>
      <c r="H236" s="254">
        <v>0</v>
      </c>
      <c r="I236" s="254">
        <v>0</v>
      </c>
      <c r="J236" s="254">
        <v>0</v>
      </c>
      <c r="K236" s="260">
        <f t="shared" si="20"/>
        <v>0</v>
      </c>
      <c r="L236" s="260">
        <f t="shared" si="21"/>
        <v>0</v>
      </c>
      <c r="M236" s="260">
        <f t="shared" si="22"/>
        <v>939381.34000000008</v>
      </c>
      <c r="N236" s="255">
        <f t="shared" si="19"/>
        <v>0</v>
      </c>
      <c r="O236" s="252" t="s">
        <v>3327</v>
      </c>
      <c r="P236" s="252"/>
      <c r="Q236" s="258">
        <f>SUMIF('Antelope Bailey Split BA'!$B$7:$B$29,B236,'Antelope Bailey Split BA'!$C$7:$C$29)</f>
        <v>0</v>
      </c>
      <c r="R236" s="258" t="str">
        <f>IF(AND(Q236=1,'Plant Total by Account'!$J$1=2),"EKWRA","")</f>
        <v/>
      </c>
    </row>
    <row r="237" spans="1:18" ht="12.75" customHeight="1" x14ac:dyDescent="0.2">
      <c r="A237" s="249" t="s">
        <v>2573</v>
      </c>
      <c r="B237" s="252" t="s">
        <v>878</v>
      </c>
      <c r="C237" s="252" t="s">
        <v>3352</v>
      </c>
      <c r="D237" s="253">
        <v>0</v>
      </c>
      <c r="E237" s="253">
        <v>0</v>
      </c>
      <c r="F237" s="253">
        <v>132415.95000000001</v>
      </c>
      <c r="G237" s="546">
        <f t="shared" si="18"/>
        <v>132415.95000000001</v>
      </c>
      <c r="H237" s="254">
        <v>0</v>
      </c>
      <c r="I237" s="254">
        <v>0</v>
      </c>
      <c r="J237" s="254">
        <v>0</v>
      </c>
      <c r="K237" s="260">
        <f t="shared" si="20"/>
        <v>0</v>
      </c>
      <c r="L237" s="260">
        <f t="shared" si="21"/>
        <v>0</v>
      </c>
      <c r="M237" s="260">
        <f t="shared" si="22"/>
        <v>132415.95000000001</v>
      </c>
      <c r="N237" s="255">
        <f t="shared" si="19"/>
        <v>0</v>
      </c>
      <c r="O237" s="252" t="s">
        <v>3327</v>
      </c>
      <c r="P237" s="252"/>
      <c r="Q237" s="258">
        <f>SUMIF('Antelope Bailey Split BA'!$B$7:$B$29,B237,'Antelope Bailey Split BA'!$C$7:$C$29)</f>
        <v>0</v>
      </c>
      <c r="R237" s="258" t="str">
        <f>IF(AND(Q237=1,'Plant Total by Account'!$J$1=2),"EKWRA","")</f>
        <v/>
      </c>
    </row>
    <row r="238" spans="1:18" ht="12.75" customHeight="1" x14ac:dyDescent="0.2">
      <c r="A238" s="249" t="s">
        <v>2574</v>
      </c>
      <c r="B238" s="252" t="s">
        <v>880</v>
      </c>
      <c r="C238" s="252" t="s">
        <v>3352</v>
      </c>
      <c r="D238" s="253">
        <v>0</v>
      </c>
      <c r="E238" s="253">
        <v>19231.990000000002</v>
      </c>
      <c r="F238" s="253">
        <v>0</v>
      </c>
      <c r="G238" s="546">
        <f t="shared" si="18"/>
        <v>19231.990000000002</v>
      </c>
      <c r="H238" s="254">
        <v>0</v>
      </c>
      <c r="I238" s="254">
        <v>0</v>
      </c>
      <c r="J238" s="254">
        <v>0</v>
      </c>
      <c r="K238" s="260">
        <f t="shared" si="20"/>
        <v>0</v>
      </c>
      <c r="L238" s="260">
        <f t="shared" si="21"/>
        <v>19231.990000000002</v>
      </c>
      <c r="M238" s="260">
        <f t="shared" si="22"/>
        <v>0</v>
      </c>
      <c r="N238" s="255">
        <f t="shared" si="19"/>
        <v>0</v>
      </c>
      <c r="O238" s="252" t="s">
        <v>3327</v>
      </c>
      <c r="P238" s="252"/>
      <c r="Q238" s="258">
        <f>SUMIF('Antelope Bailey Split BA'!$B$7:$B$29,B238,'Antelope Bailey Split BA'!$C$7:$C$29)</f>
        <v>0</v>
      </c>
      <c r="R238" s="258" t="str">
        <f>IF(AND(Q238=1,'Plant Total by Account'!$J$1=2),"EKWRA","")</f>
        <v/>
      </c>
    </row>
    <row r="239" spans="1:18" ht="12.75" customHeight="1" x14ac:dyDescent="0.2">
      <c r="A239" s="249" t="s">
        <v>2575</v>
      </c>
      <c r="B239" s="252" t="s">
        <v>886</v>
      </c>
      <c r="C239" s="252" t="s">
        <v>3352</v>
      </c>
      <c r="D239" s="253">
        <v>0</v>
      </c>
      <c r="E239" s="253">
        <v>0</v>
      </c>
      <c r="F239" s="253">
        <v>5578.2300000000005</v>
      </c>
      <c r="G239" s="546">
        <f t="shared" si="18"/>
        <v>5578.2300000000005</v>
      </c>
      <c r="H239" s="254">
        <v>0</v>
      </c>
      <c r="I239" s="254">
        <v>0</v>
      </c>
      <c r="J239" s="254">
        <v>0</v>
      </c>
      <c r="K239" s="260">
        <f t="shared" si="20"/>
        <v>0</v>
      </c>
      <c r="L239" s="260">
        <f t="shared" si="21"/>
        <v>0</v>
      </c>
      <c r="M239" s="260">
        <f t="shared" si="22"/>
        <v>5578.2300000000005</v>
      </c>
      <c r="N239" s="255">
        <f t="shared" si="19"/>
        <v>0</v>
      </c>
      <c r="O239" s="252" t="s">
        <v>3327</v>
      </c>
      <c r="P239" s="252"/>
      <c r="Q239" s="258">
        <f>SUMIF('Antelope Bailey Split BA'!$B$7:$B$29,B239,'Antelope Bailey Split BA'!$C$7:$C$29)</f>
        <v>0</v>
      </c>
      <c r="R239" s="258" t="str">
        <f>IF(AND(Q239=1,'Plant Total by Account'!$J$1=2),"EKWRA","")</f>
        <v/>
      </c>
    </row>
    <row r="240" spans="1:18" ht="12.75" customHeight="1" x14ac:dyDescent="0.2">
      <c r="A240" s="249" t="s">
        <v>2576</v>
      </c>
      <c r="B240" s="252" t="s">
        <v>888</v>
      </c>
      <c r="C240" s="252" t="s">
        <v>3352</v>
      </c>
      <c r="D240" s="253">
        <v>0</v>
      </c>
      <c r="E240" s="253">
        <v>30643.760000000002</v>
      </c>
      <c r="F240" s="253">
        <v>0</v>
      </c>
      <c r="G240" s="546">
        <f t="shared" si="18"/>
        <v>30643.760000000002</v>
      </c>
      <c r="H240" s="254">
        <v>0</v>
      </c>
      <c r="I240" s="254">
        <v>0</v>
      </c>
      <c r="J240" s="254">
        <v>0</v>
      </c>
      <c r="K240" s="260">
        <f t="shared" si="20"/>
        <v>0</v>
      </c>
      <c r="L240" s="260">
        <f t="shared" si="21"/>
        <v>30643.760000000002</v>
      </c>
      <c r="M240" s="260">
        <f t="shared" si="22"/>
        <v>0</v>
      </c>
      <c r="N240" s="255">
        <f t="shared" si="19"/>
        <v>0</v>
      </c>
      <c r="O240" s="252" t="s">
        <v>3327</v>
      </c>
      <c r="P240" s="252"/>
      <c r="Q240" s="258">
        <f>SUMIF('Antelope Bailey Split BA'!$B$7:$B$29,B240,'Antelope Bailey Split BA'!$C$7:$C$29)</f>
        <v>0</v>
      </c>
      <c r="R240" s="258" t="str">
        <f>IF(AND(Q240=1,'Plant Total by Account'!$J$1=2),"EKWRA","")</f>
        <v/>
      </c>
    </row>
    <row r="241" spans="1:18" ht="12.75" customHeight="1" x14ac:dyDescent="0.2">
      <c r="A241" s="249" t="s">
        <v>2577</v>
      </c>
      <c r="B241" s="252" t="s">
        <v>897</v>
      </c>
      <c r="C241" s="252" t="s">
        <v>3352</v>
      </c>
      <c r="D241" s="253">
        <v>0</v>
      </c>
      <c r="E241" s="253">
        <v>6271.88</v>
      </c>
      <c r="F241" s="253">
        <v>0</v>
      </c>
      <c r="G241" s="546">
        <f t="shared" si="18"/>
        <v>6271.88</v>
      </c>
      <c r="H241" s="254">
        <v>0</v>
      </c>
      <c r="I241" s="254">
        <v>0</v>
      </c>
      <c r="J241" s="254">
        <v>0</v>
      </c>
      <c r="K241" s="260">
        <f t="shared" si="20"/>
        <v>0</v>
      </c>
      <c r="L241" s="260">
        <f t="shared" si="21"/>
        <v>6271.88</v>
      </c>
      <c r="M241" s="260">
        <f t="shared" si="22"/>
        <v>0</v>
      </c>
      <c r="N241" s="255">
        <f t="shared" si="19"/>
        <v>0</v>
      </c>
      <c r="O241" s="252" t="s">
        <v>3327</v>
      </c>
      <c r="P241" s="252"/>
      <c r="Q241" s="258">
        <f>SUMIF('Antelope Bailey Split BA'!$B$7:$B$29,B241,'Antelope Bailey Split BA'!$C$7:$C$29)</f>
        <v>0</v>
      </c>
      <c r="R241" s="258" t="str">
        <f>IF(AND(Q241=1,'Plant Total by Account'!$J$1=2),"EKWRA","")</f>
        <v/>
      </c>
    </row>
    <row r="242" spans="1:18" ht="12.75" customHeight="1" x14ac:dyDescent="0.2">
      <c r="A242" s="249" t="s">
        <v>2578</v>
      </c>
      <c r="B242" s="252" t="s">
        <v>899</v>
      </c>
      <c r="C242" s="252" t="s">
        <v>3352</v>
      </c>
      <c r="D242" s="253">
        <v>0</v>
      </c>
      <c r="E242" s="253">
        <v>0</v>
      </c>
      <c r="F242" s="253">
        <v>2106.5300000000002</v>
      </c>
      <c r="G242" s="546">
        <f t="shared" si="18"/>
        <v>2106.5300000000002</v>
      </c>
      <c r="H242" s="254">
        <v>0</v>
      </c>
      <c r="I242" s="254">
        <v>0</v>
      </c>
      <c r="J242" s="254">
        <v>0</v>
      </c>
      <c r="K242" s="260">
        <f t="shared" si="20"/>
        <v>0</v>
      </c>
      <c r="L242" s="260">
        <f t="shared" si="21"/>
        <v>0</v>
      </c>
      <c r="M242" s="260">
        <f t="shared" si="22"/>
        <v>2106.5300000000002</v>
      </c>
      <c r="N242" s="255">
        <f t="shared" si="19"/>
        <v>0</v>
      </c>
      <c r="O242" s="252" t="s">
        <v>3327</v>
      </c>
      <c r="P242" s="252"/>
      <c r="Q242" s="258">
        <f>SUMIF('Antelope Bailey Split BA'!$B$7:$B$29,B242,'Antelope Bailey Split BA'!$C$7:$C$29)</f>
        <v>0</v>
      </c>
      <c r="R242" s="258" t="str">
        <f>IF(AND(Q242=1,'Plant Total by Account'!$J$1=2),"EKWRA","")</f>
        <v/>
      </c>
    </row>
    <row r="243" spans="1:18" ht="12.75" customHeight="1" x14ac:dyDescent="0.2">
      <c r="A243" s="249" t="s">
        <v>2579</v>
      </c>
      <c r="B243" s="252" t="s">
        <v>900</v>
      </c>
      <c r="C243" s="252" t="s">
        <v>3352</v>
      </c>
      <c r="D243" s="253">
        <v>0</v>
      </c>
      <c r="E243" s="253">
        <v>17025.73</v>
      </c>
      <c r="F243" s="253">
        <v>30776.309999999998</v>
      </c>
      <c r="G243" s="546">
        <f t="shared" si="18"/>
        <v>47802.039999999994</v>
      </c>
      <c r="H243" s="254">
        <v>0</v>
      </c>
      <c r="I243" s="254">
        <v>0</v>
      </c>
      <c r="J243" s="254">
        <v>0</v>
      </c>
      <c r="K243" s="260">
        <f t="shared" si="20"/>
        <v>0</v>
      </c>
      <c r="L243" s="260">
        <f t="shared" si="21"/>
        <v>17025.73</v>
      </c>
      <c r="M243" s="260">
        <f t="shared" si="22"/>
        <v>30776.309999999998</v>
      </c>
      <c r="N243" s="255">
        <f t="shared" si="19"/>
        <v>0</v>
      </c>
      <c r="O243" s="252" t="s">
        <v>3327</v>
      </c>
      <c r="P243" s="252"/>
      <c r="Q243" s="258">
        <f>SUMIF('Antelope Bailey Split BA'!$B$7:$B$29,B243,'Antelope Bailey Split BA'!$C$7:$C$29)</f>
        <v>0</v>
      </c>
      <c r="R243" s="258" t="str">
        <f>IF(AND(Q243=1,'Plant Total by Account'!$J$1=2),"EKWRA","")</f>
        <v/>
      </c>
    </row>
    <row r="244" spans="1:18" ht="12.75" customHeight="1" x14ac:dyDescent="0.2">
      <c r="A244" s="249" t="s">
        <v>2580</v>
      </c>
      <c r="B244" s="252" t="s">
        <v>901</v>
      </c>
      <c r="C244" s="252" t="s">
        <v>3352</v>
      </c>
      <c r="D244" s="253">
        <v>0</v>
      </c>
      <c r="E244" s="253">
        <v>0</v>
      </c>
      <c r="F244" s="253">
        <v>17438.310000000001</v>
      </c>
      <c r="G244" s="546">
        <f t="shared" si="18"/>
        <v>17438.310000000001</v>
      </c>
      <c r="H244" s="254">
        <v>0</v>
      </c>
      <c r="I244" s="254">
        <v>0</v>
      </c>
      <c r="J244" s="254">
        <v>0</v>
      </c>
      <c r="K244" s="260">
        <f t="shared" si="20"/>
        <v>0</v>
      </c>
      <c r="L244" s="260">
        <f t="shared" si="21"/>
        <v>0</v>
      </c>
      <c r="M244" s="260">
        <f t="shared" si="22"/>
        <v>17438.310000000001</v>
      </c>
      <c r="N244" s="255">
        <f t="shared" si="19"/>
        <v>0</v>
      </c>
      <c r="O244" s="252" t="s">
        <v>3327</v>
      </c>
      <c r="P244" s="252"/>
      <c r="Q244" s="258">
        <f>SUMIF('Antelope Bailey Split BA'!$B$7:$B$29,B244,'Antelope Bailey Split BA'!$C$7:$C$29)</f>
        <v>0</v>
      </c>
      <c r="R244" s="258" t="str">
        <f>IF(AND(Q244=1,'Plant Total by Account'!$J$1=2),"EKWRA","")</f>
        <v/>
      </c>
    </row>
    <row r="245" spans="1:18" ht="12.75" customHeight="1" x14ac:dyDescent="0.2">
      <c r="A245" s="249" t="s">
        <v>2581</v>
      </c>
      <c r="B245" s="252" t="s">
        <v>905</v>
      </c>
      <c r="C245" s="252" t="s">
        <v>3352</v>
      </c>
      <c r="D245" s="253">
        <v>0</v>
      </c>
      <c r="E245" s="253">
        <v>0</v>
      </c>
      <c r="F245" s="253">
        <v>10232.040000000001</v>
      </c>
      <c r="G245" s="546">
        <f t="shared" si="18"/>
        <v>10232.040000000001</v>
      </c>
      <c r="H245" s="254">
        <v>0</v>
      </c>
      <c r="I245" s="254">
        <v>0</v>
      </c>
      <c r="J245" s="254">
        <v>0</v>
      </c>
      <c r="K245" s="260">
        <f t="shared" si="20"/>
        <v>0</v>
      </c>
      <c r="L245" s="260">
        <f t="shared" si="21"/>
        <v>0</v>
      </c>
      <c r="M245" s="260">
        <f t="shared" si="22"/>
        <v>10232.040000000001</v>
      </c>
      <c r="N245" s="255">
        <f t="shared" si="19"/>
        <v>0</v>
      </c>
      <c r="O245" s="252" t="s">
        <v>3327</v>
      </c>
      <c r="P245" s="252"/>
      <c r="Q245" s="258">
        <f>SUMIF('Antelope Bailey Split BA'!$B$7:$B$29,B245,'Antelope Bailey Split BA'!$C$7:$C$29)</f>
        <v>0</v>
      </c>
      <c r="R245" s="258" t="str">
        <f>IF(AND(Q245=1,'Plant Total by Account'!$J$1=2),"EKWRA","")</f>
        <v/>
      </c>
    </row>
    <row r="246" spans="1:18" ht="12.75" customHeight="1" x14ac:dyDescent="0.2">
      <c r="A246" s="249" t="s">
        <v>2582</v>
      </c>
      <c r="B246" s="252" t="s">
        <v>909</v>
      </c>
      <c r="C246" s="252" t="s">
        <v>3352</v>
      </c>
      <c r="D246" s="253">
        <v>0</v>
      </c>
      <c r="E246" s="253">
        <v>3370.6</v>
      </c>
      <c r="F246" s="253">
        <v>3370.6</v>
      </c>
      <c r="G246" s="546">
        <f t="shared" si="18"/>
        <v>6741.2</v>
      </c>
      <c r="H246" s="254">
        <v>0</v>
      </c>
      <c r="I246" s="254">
        <v>0</v>
      </c>
      <c r="J246" s="254">
        <v>0</v>
      </c>
      <c r="K246" s="260">
        <f t="shared" si="20"/>
        <v>0</v>
      </c>
      <c r="L246" s="260">
        <f t="shared" si="21"/>
        <v>3370.6</v>
      </c>
      <c r="M246" s="260">
        <f t="shared" si="22"/>
        <v>3370.6</v>
      </c>
      <c r="N246" s="255">
        <f t="shared" si="19"/>
        <v>0</v>
      </c>
      <c r="O246" s="252" t="s">
        <v>3327</v>
      </c>
      <c r="P246" s="252"/>
      <c r="Q246" s="258">
        <f>SUMIF('Antelope Bailey Split BA'!$B$7:$B$29,B246,'Antelope Bailey Split BA'!$C$7:$C$29)</f>
        <v>0</v>
      </c>
      <c r="R246" s="258" t="str">
        <f>IF(AND(Q246=1,'Plant Total by Account'!$J$1=2),"EKWRA","")</f>
        <v/>
      </c>
    </row>
    <row r="247" spans="1:18" ht="12.75" customHeight="1" x14ac:dyDescent="0.2">
      <c r="A247" s="249" t="s">
        <v>2583</v>
      </c>
      <c r="B247" s="252" t="s">
        <v>911</v>
      </c>
      <c r="C247" s="252" t="s">
        <v>3352</v>
      </c>
      <c r="D247" s="253">
        <v>0</v>
      </c>
      <c r="E247" s="253">
        <v>0</v>
      </c>
      <c r="F247" s="253">
        <v>4235.93</v>
      </c>
      <c r="G247" s="546">
        <f t="shared" si="18"/>
        <v>4235.93</v>
      </c>
      <c r="H247" s="254">
        <v>0</v>
      </c>
      <c r="I247" s="254">
        <v>0</v>
      </c>
      <c r="J247" s="254">
        <v>0</v>
      </c>
      <c r="K247" s="260">
        <f t="shared" si="20"/>
        <v>0</v>
      </c>
      <c r="L247" s="260">
        <f t="shared" si="21"/>
        <v>0</v>
      </c>
      <c r="M247" s="260">
        <f t="shared" si="22"/>
        <v>4235.93</v>
      </c>
      <c r="N247" s="255">
        <f t="shared" si="19"/>
        <v>0</v>
      </c>
      <c r="O247" s="252" t="s">
        <v>3327</v>
      </c>
      <c r="P247" s="252"/>
      <c r="Q247" s="258">
        <f>SUMIF('Antelope Bailey Split BA'!$B$7:$B$29,B247,'Antelope Bailey Split BA'!$C$7:$C$29)</f>
        <v>0</v>
      </c>
      <c r="R247" s="258" t="str">
        <f>IF(AND(Q247=1,'Plant Total by Account'!$J$1=2),"EKWRA","")</f>
        <v/>
      </c>
    </row>
    <row r="248" spans="1:18" ht="12.75" customHeight="1" x14ac:dyDescent="0.2">
      <c r="A248" s="249" t="s">
        <v>2584</v>
      </c>
      <c r="B248" s="252" t="s">
        <v>921</v>
      </c>
      <c r="C248" s="252" t="s">
        <v>3352</v>
      </c>
      <c r="D248" s="253">
        <v>0</v>
      </c>
      <c r="E248" s="253">
        <v>0</v>
      </c>
      <c r="F248" s="253">
        <v>27795.78</v>
      </c>
      <c r="G248" s="546">
        <f t="shared" si="18"/>
        <v>27795.78</v>
      </c>
      <c r="H248" s="254">
        <v>0</v>
      </c>
      <c r="I248" s="254">
        <v>0</v>
      </c>
      <c r="J248" s="254">
        <v>0</v>
      </c>
      <c r="K248" s="260">
        <f t="shared" si="20"/>
        <v>0</v>
      </c>
      <c r="L248" s="260">
        <f t="shared" si="21"/>
        <v>0</v>
      </c>
      <c r="M248" s="260">
        <f t="shared" si="22"/>
        <v>27795.78</v>
      </c>
      <c r="N248" s="255">
        <f t="shared" si="19"/>
        <v>0</v>
      </c>
      <c r="O248" s="252" t="s">
        <v>3327</v>
      </c>
      <c r="P248" s="252"/>
      <c r="Q248" s="258">
        <f>SUMIF('Antelope Bailey Split BA'!$B$7:$B$29,B248,'Antelope Bailey Split BA'!$C$7:$C$29)</f>
        <v>0</v>
      </c>
      <c r="R248" s="258" t="str">
        <f>IF(AND(Q248=1,'Plant Total by Account'!$J$1=2),"EKWRA","")</f>
        <v/>
      </c>
    </row>
    <row r="249" spans="1:18" ht="12.75" customHeight="1" x14ac:dyDescent="0.2">
      <c r="A249" s="249" t="s">
        <v>2585</v>
      </c>
      <c r="B249" s="252" t="s">
        <v>2261</v>
      </c>
      <c r="C249" s="252" t="s">
        <v>3348</v>
      </c>
      <c r="D249" s="253">
        <v>0</v>
      </c>
      <c r="E249" s="253">
        <v>1775355.47</v>
      </c>
      <c r="F249" s="253">
        <v>8689830.0600000005</v>
      </c>
      <c r="G249" s="546">
        <f t="shared" si="18"/>
        <v>10465185.530000001</v>
      </c>
      <c r="H249" s="254">
        <v>0</v>
      </c>
      <c r="I249" s="254">
        <v>0</v>
      </c>
      <c r="J249" s="254">
        <v>0</v>
      </c>
      <c r="K249" s="260">
        <f t="shared" si="20"/>
        <v>0</v>
      </c>
      <c r="L249" s="260">
        <f t="shared" si="21"/>
        <v>1775355.47</v>
      </c>
      <c r="M249" s="260">
        <f t="shared" si="22"/>
        <v>8689830.0600000005</v>
      </c>
      <c r="N249" s="255">
        <f t="shared" si="19"/>
        <v>0</v>
      </c>
      <c r="O249" s="252" t="s">
        <v>3327</v>
      </c>
      <c r="P249" s="252"/>
      <c r="Q249" s="258">
        <f>SUMIF('Antelope Bailey Split BA'!$B$7:$B$29,B249,'Antelope Bailey Split BA'!$C$7:$C$29)</f>
        <v>0</v>
      </c>
      <c r="R249" s="258" t="str">
        <f>IF(AND(Q249=1,'Plant Total by Account'!$J$1=2),"EKWRA","")</f>
        <v/>
      </c>
    </row>
    <row r="250" spans="1:18" ht="12.75" customHeight="1" x14ac:dyDescent="0.2">
      <c r="A250" s="249" t="s">
        <v>2586</v>
      </c>
      <c r="B250" s="252" t="s">
        <v>927</v>
      </c>
      <c r="C250" s="252" t="s">
        <v>3352</v>
      </c>
      <c r="D250" s="253">
        <v>0</v>
      </c>
      <c r="E250" s="253">
        <v>0</v>
      </c>
      <c r="F250" s="253">
        <v>3630062.6500000004</v>
      </c>
      <c r="G250" s="546">
        <f t="shared" si="18"/>
        <v>3630062.6500000004</v>
      </c>
      <c r="H250" s="254">
        <v>0</v>
      </c>
      <c r="I250" s="254">
        <v>0</v>
      </c>
      <c r="J250" s="254">
        <v>0</v>
      </c>
      <c r="K250" s="260">
        <f t="shared" si="20"/>
        <v>0</v>
      </c>
      <c r="L250" s="260">
        <f t="shared" si="21"/>
        <v>0</v>
      </c>
      <c r="M250" s="260">
        <f t="shared" si="22"/>
        <v>3630062.6500000004</v>
      </c>
      <c r="N250" s="255">
        <f t="shared" si="19"/>
        <v>0</v>
      </c>
      <c r="O250" s="252" t="s">
        <v>3327</v>
      </c>
      <c r="P250" s="252"/>
      <c r="Q250" s="258">
        <f>SUMIF('Antelope Bailey Split BA'!$B$7:$B$29,B250,'Antelope Bailey Split BA'!$C$7:$C$29)</f>
        <v>0</v>
      </c>
      <c r="R250" s="258" t="str">
        <f>IF(AND(Q250=1,'Plant Total by Account'!$J$1=2),"EKWRA","")</f>
        <v/>
      </c>
    </row>
    <row r="251" spans="1:18" ht="12.75" customHeight="1" x14ac:dyDescent="0.2">
      <c r="A251" s="249" t="s">
        <v>2587</v>
      </c>
      <c r="B251" s="252" t="s">
        <v>929</v>
      </c>
      <c r="C251" s="252" t="s">
        <v>3348</v>
      </c>
      <c r="D251" s="253">
        <v>0</v>
      </c>
      <c r="E251" s="253">
        <v>0</v>
      </c>
      <c r="F251" s="253">
        <v>13126.75</v>
      </c>
      <c r="G251" s="546">
        <f t="shared" si="18"/>
        <v>13126.75</v>
      </c>
      <c r="H251" s="254">
        <v>0</v>
      </c>
      <c r="I251" s="254">
        <v>0</v>
      </c>
      <c r="J251" s="254">
        <v>0</v>
      </c>
      <c r="K251" s="260">
        <f t="shared" si="20"/>
        <v>0</v>
      </c>
      <c r="L251" s="260">
        <f t="shared" si="21"/>
        <v>0</v>
      </c>
      <c r="M251" s="260">
        <f t="shared" si="22"/>
        <v>13126.75</v>
      </c>
      <c r="N251" s="255">
        <f t="shared" si="19"/>
        <v>0</v>
      </c>
      <c r="O251" s="252" t="s">
        <v>3327</v>
      </c>
      <c r="P251" s="252"/>
      <c r="Q251" s="258">
        <f>SUMIF('Antelope Bailey Split BA'!$B$7:$B$29,B251,'Antelope Bailey Split BA'!$C$7:$C$29)</f>
        <v>0</v>
      </c>
      <c r="R251" s="258" t="str">
        <f>IF(AND(Q251=1,'Plant Total by Account'!$J$1=2),"EKWRA","")</f>
        <v/>
      </c>
    </row>
    <row r="252" spans="1:18" ht="12.75" customHeight="1" x14ac:dyDescent="0.2">
      <c r="A252" s="249" t="s">
        <v>2588</v>
      </c>
      <c r="B252" s="252" t="s">
        <v>1232</v>
      </c>
      <c r="C252" s="252" t="s">
        <v>3348</v>
      </c>
      <c r="D252" s="253">
        <v>0</v>
      </c>
      <c r="E252" s="253">
        <v>4639.95</v>
      </c>
      <c r="F252" s="253">
        <v>752388.41999999969</v>
      </c>
      <c r="G252" s="546">
        <f t="shared" si="18"/>
        <v>757028.36999999965</v>
      </c>
      <c r="H252" s="254">
        <v>0</v>
      </c>
      <c r="I252" s="254">
        <v>0</v>
      </c>
      <c r="J252" s="254">
        <v>0</v>
      </c>
      <c r="K252" s="260">
        <f t="shared" si="20"/>
        <v>0</v>
      </c>
      <c r="L252" s="260">
        <f t="shared" si="21"/>
        <v>4639.95</v>
      </c>
      <c r="M252" s="260">
        <f t="shared" si="22"/>
        <v>752388.41999999969</v>
      </c>
      <c r="N252" s="255">
        <f t="shared" si="19"/>
        <v>0</v>
      </c>
      <c r="O252" s="252" t="s">
        <v>3327</v>
      </c>
      <c r="P252" s="252"/>
      <c r="Q252" s="258">
        <f>SUMIF('Antelope Bailey Split BA'!$B$7:$B$29,B252,'Antelope Bailey Split BA'!$C$7:$C$29)</f>
        <v>0</v>
      </c>
      <c r="R252" s="258" t="str">
        <f>IF(AND(Q252=1,'Plant Total by Account'!$J$1=2),"EKWRA","")</f>
        <v/>
      </c>
    </row>
    <row r="253" spans="1:18" ht="12.75" customHeight="1" x14ac:dyDescent="0.2">
      <c r="A253" s="249" t="s">
        <v>2589</v>
      </c>
      <c r="B253" s="252" t="s">
        <v>931</v>
      </c>
      <c r="C253" s="252" t="s">
        <v>3348</v>
      </c>
      <c r="D253" s="253">
        <v>0</v>
      </c>
      <c r="E253" s="253">
        <v>0</v>
      </c>
      <c r="F253" s="253">
        <v>8341.61</v>
      </c>
      <c r="G253" s="546">
        <f t="shared" si="18"/>
        <v>8341.61</v>
      </c>
      <c r="H253" s="254">
        <v>0</v>
      </c>
      <c r="I253" s="254">
        <v>0</v>
      </c>
      <c r="J253" s="254">
        <v>0</v>
      </c>
      <c r="K253" s="260">
        <f t="shared" si="20"/>
        <v>0</v>
      </c>
      <c r="L253" s="260">
        <f t="shared" si="21"/>
        <v>0</v>
      </c>
      <c r="M253" s="260">
        <f t="shared" si="22"/>
        <v>8341.61</v>
      </c>
      <c r="N253" s="255">
        <f t="shared" si="19"/>
        <v>0</v>
      </c>
      <c r="O253" s="252" t="s">
        <v>3327</v>
      </c>
      <c r="P253" s="252"/>
      <c r="Q253" s="258">
        <f>SUMIF('Antelope Bailey Split BA'!$B$7:$B$29,B253,'Antelope Bailey Split BA'!$C$7:$C$29)</f>
        <v>0</v>
      </c>
      <c r="R253" s="258" t="str">
        <f>IF(AND(Q253=1,'Plant Total by Account'!$J$1=2),"EKWRA","")</f>
        <v/>
      </c>
    </row>
    <row r="254" spans="1:18" ht="12.75" customHeight="1" x14ac:dyDescent="0.2">
      <c r="A254" s="249" t="s">
        <v>2590</v>
      </c>
      <c r="B254" s="252" t="s">
        <v>1233</v>
      </c>
      <c r="C254" s="252" t="s">
        <v>3348</v>
      </c>
      <c r="D254" s="253">
        <v>0</v>
      </c>
      <c r="E254" s="253">
        <v>15102.37</v>
      </c>
      <c r="F254" s="253">
        <v>832520.66999999993</v>
      </c>
      <c r="G254" s="546">
        <f t="shared" si="18"/>
        <v>847623.03999999992</v>
      </c>
      <c r="H254" s="254">
        <v>0</v>
      </c>
      <c r="I254" s="254">
        <v>0</v>
      </c>
      <c r="J254" s="254">
        <v>0</v>
      </c>
      <c r="K254" s="260">
        <f t="shared" si="20"/>
        <v>0</v>
      </c>
      <c r="L254" s="260">
        <f t="shared" si="21"/>
        <v>15102.37</v>
      </c>
      <c r="M254" s="260">
        <f t="shared" si="22"/>
        <v>832520.66999999993</v>
      </c>
      <c r="N254" s="255">
        <f t="shared" si="19"/>
        <v>0</v>
      </c>
      <c r="O254" s="252" t="s">
        <v>3327</v>
      </c>
      <c r="P254" s="252"/>
      <c r="Q254" s="258">
        <f>SUMIF('Antelope Bailey Split BA'!$B$7:$B$29,B254,'Antelope Bailey Split BA'!$C$7:$C$29)</f>
        <v>0</v>
      </c>
      <c r="R254" s="258" t="str">
        <f>IF(AND(Q254=1,'Plant Total by Account'!$J$1=2),"EKWRA","")</f>
        <v/>
      </c>
    </row>
    <row r="255" spans="1:18" ht="12.75" customHeight="1" x14ac:dyDescent="0.2">
      <c r="A255" s="249" t="s">
        <v>2591</v>
      </c>
      <c r="B255" s="252" t="s">
        <v>1234</v>
      </c>
      <c r="C255" s="252" t="s">
        <v>3348</v>
      </c>
      <c r="D255" s="253">
        <v>0</v>
      </c>
      <c r="E255" s="253">
        <v>0</v>
      </c>
      <c r="F255" s="253">
        <v>104029.27000000002</v>
      </c>
      <c r="G255" s="546">
        <f t="shared" si="18"/>
        <v>104029.27000000002</v>
      </c>
      <c r="H255" s="254">
        <v>0</v>
      </c>
      <c r="I255" s="254">
        <v>0</v>
      </c>
      <c r="J255" s="254">
        <v>0</v>
      </c>
      <c r="K255" s="260">
        <f t="shared" si="20"/>
        <v>0</v>
      </c>
      <c r="L255" s="260">
        <f t="shared" si="21"/>
        <v>0</v>
      </c>
      <c r="M255" s="260">
        <f t="shared" si="22"/>
        <v>104029.27000000002</v>
      </c>
      <c r="N255" s="255">
        <f t="shared" si="19"/>
        <v>0</v>
      </c>
      <c r="O255" s="252" t="s">
        <v>3327</v>
      </c>
      <c r="P255" s="252"/>
      <c r="Q255" s="258">
        <f>SUMIF('Antelope Bailey Split BA'!$B$7:$B$29,B255,'Antelope Bailey Split BA'!$C$7:$C$29)</f>
        <v>0</v>
      </c>
      <c r="R255" s="258" t="str">
        <f>IF(AND(Q255=1,'Plant Total by Account'!$J$1=2),"EKWRA","")</f>
        <v/>
      </c>
    </row>
    <row r="256" spans="1:18" ht="12.75" customHeight="1" x14ac:dyDescent="0.2">
      <c r="A256" s="249" t="s">
        <v>2592</v>
      </c>
      <c r="B256" s="252" t="s">
        <v>1235</v>
      </c>
      <c r="C256" s="252" t="s">
        <v>3348</v>
      </c>
      <c r="D256" s="253">
        <v>0</v>
      </c>
      <c r="E256" s="253">
        <v>25365.89</v>
      </c>
      <c r="F256" s="253">
        <v>799240.18</v>
      </c>
      <c r="G256" s="546">
        <f t="shared" si="18"/>
        <v>824606.07000000007</v>
      </c>
      <c r="H256" s="254">
        <v>0</v>
      </c>
      <c r="I256" s="254">
        <v>0</v>
      </c>
      <c r="J256" s="254">
        <v>0</v>
      </c>
      <c r="K256" s="260">
        <f t="shared" si="20"/>
        <v>0</v>
      </c>
      <c r="L256" s="260">
        <f t="shared" si="21"/>
        <v>25365.89</v>
      </c>
      <c r="M256" s="260">
        <f t="shared" si="22"/>
        <v>799240.18</v>
      </c>
      <c r="N256" s="255">
        <f t="shared" si="19"/>
        <v>0</v>
      </c>
      <c r="O256" s="252" t="s">
        <v>3327</v>
      </c>
      <c r="P256" s="252"/>
      <c r="Q256" s="258">
        <f>SUMIF('Antelope Bailey Split BA'!$B$7:$B$29,B256,'Antelope Bailey Split BA'!$C$7:$C$29)</f>
        <v>0</v>
      </c>
      <c r="R256" s="258" t="str">
        <f>IF(AND(Q256=1,'Plant Total by Account'!$J$1=2),"EKWRA","")</f>
        <v/>
      </c>
    </row>
    <row r="257" spans="1:18" ht="12.75" customHeight="1" x14ac:dyDescent="0.2">
      <c r="A257" s="249" t="s">
        <v>2593</v>
      </c>
      <c r="B257" s="252" t="s">
        <v>1236</v>
      </c>
      <c r="C257" s="252" t="s">
        <v>3348</v>
      </c>
      <c r="D257" s="253">
        <v>0</v>
      </c>
      <c r="E257" s="253">
        <v>21039.47</v>
      </c>
      <c r="F257" s="253">
        <v>2287049.84</v>
      </c>
      <c r="G257" s="546">
        <f t="shared" si="18"/>
        <v>2308089.31</v>
      </c>
      <c r="H257" s="254">
        <v>0</v>
      </c>
      <c r="I257" s="254">
        <v>0</v>
      </c>
      <c r="J257" s="254">
        <v>0</v>
      </c>
      <c r="K257" s="260">
        <f t="shared" si="20"/>
        <v>0</v>
      </c>
      <c r="L257" s="260">
        <f t="shared" si="21"/>
        <v>21039.47</v>
      </c>
      <c r="M257" s="260">
        <f t="shared" si="22"/>
        <v>2287049.84</v>
      </c>
      <c r="N257" s="255">
        <f t="shared" si="19"/>
        <v>0</v>
      </c>
      <c r="O257" s="252" t="s">
        <v>3327</v>
      </c>
      <c r="P257" s="252"/>
      <c r="Q257" s="258">
        <f>SUMIF('Antelope Bailey Split BA'!$B$7:$B$29,B257,'Antelope Bailey Split BA'!$C$7:$C$29)</f>
        <v>0</v>
      </c>
      <c r="R257" s="258" t="str">
        <f>IF(AND(Q257=1,'Plant Total by Account'!$J$1=2),"EKWRA","")</f>
        <v/>
      </c>
    </row>
    <row r="258" spans="1:18" ht="12.75" customHeight="1" x14ac:dyDescent="0.2">
      <c r="A258" s="249" t="s">
        <v>2594</v>
      </c>
      <c r="B258" s="252" t="s">
        <v>1237</v>
      </c>
      <c r="C258" s="252" t="s">
        <v>3348</v>
      </c>
      <c r="D258" s="253">
        <v>0</v>
      </c>
      <c r="E258" s="253">
        <v>1022.11</v>
      </c>
      <c r="F258" s="253">
        <v>29919.100000000002</v>
      </c>
      <c r="G258" s="546">
        <f t="shared" si="18"/>
        <v>30941.210000000003</v>
      </c>
      <c r="H258" s="254">
        <v>0</v>
      </c>
      <c r="I258" s="254">
        <v>0</v>
      </c>
      <c r="J258" s="254">
        <v>0</v>
      </c>
      <c r="K258" s="260">
        <f t="shared" si="20"/>
        <v>0</v>
      </c>
      <c r="L258" s="260">
        <f t="shared" si="21"/>
        <v>1022.11</v>
      </c>
      <c r="M258" s="260">
        <f t="shared" si="22"/>
        <v>29919.100000000002</v>
      </c>
      <c r="N258" s="255">
        <f t="shared" si="19"/>
        <v>0</v>
      </c>
      <c r="O258" s="252" t="s">
        <v>3327</v>
      </c>
      <c r="P258" s="252"/>
      <c r="Q258" s="258">
        <f>SUMIF('Antelope Bailey Split BA'!$B$7:$B$29,B258,'Antelope Bailey Split BA'!$C$7:$C$29)</f>
        <v>0</v>
      </c>
      <c r="R258" s="258" t="str">
        <f>IF(AND(Q258=1,'Plant Total by Account'!$J$1=2),"EKWRA","")</f>
        <v/>
      </c>
    </row>
    <row r="259" spans="1:18" ht="12.75" customHeight="1" x14ac:dyDescent="0.2">
      <c r="A259" s="249" t="s">
        <v>2595</v>
      </c>
      <c r="B259" s="252" t="s">
        <v>1238</v>
      </c>
      <c r="C259" s="252" t="s">
        <v>3348</v>
      </c>
      <c r="D259" s="253">
        <v>0</v>
      </c>
      <c r="E259" s="253">
        <v>5398.4800000000005</v>
      </c>
      <c r="F259" s="253">
        <v>176632.87</v>
      </c>
      <c r="G259" s="546">
        <f t="shared" si="18"/>
        <v>182031.35</v>
      </c>
      <c r="H259" s="254">
        <v>0</v>
      </c>
      <c r="I259" s="254">
        <v>0</v>
      </c>
      <c r="J259" s="254">
        <v>0</v>
      </c>
      <c r="K259" s="260">
        <f t="shared" si="20"/>
        <v>0</v>
      </c>
      <c r="L259" s="260">
        <f t="shared" si="21"/>
        <v>5398.4800000000005</v>
      </c>
      <c r="M259" s="260">
        <f t="shared" si="22"/>
        <v>176632.87</v>
      </c>
      <c r="N259" s="255">
        <f t="shared" si="19"/>
        <v>0</v>
      </c>
      <c r="O259" s="252" t="s">
        <v>3327</v>
      </c>
      <c r="P259" s="252"/>
      <c r="Q259" s="258">
        <f>SUMIF('Antelope Bailey Split BA'!$B$7:$B$29,B259,'Antelope Bailey Split BA'!$C$7:$C$29)</f>
        <v>0</v>
      </c>
      <c r="R259" s="258" t="str">
        <f>IF(AND(Q259=1,'Plant Total by Account'!$J$1=2),"EKWRA","")</f>
        <v/>
      </c>
    </row>
    <row r="260" spans="1:18" ht="12.75" customHeight="1" x14ac:dyDescent="0.2">
      <c r="A260" s="249" t="s">
        <v>2596</v>
      </c>
      <c r="B260" s="252" t="s">
        <v>1239</v>
      </c>
      <c r="C260" s="252" t="s">
        <v>3348</v>
      </c>
      <c r="D260" s="253">
        <v>0</v>
      </c>
      <c r="E260" s="253">
        <v>4899.46</v>
      </c>
      <c r="F260" s="253">
        <v>85323.82</v>
      </c>
      <c r="G260" s="546">
        <f t="shared" si="18"/>
        <v>90223.280000000013</v>
      </c>
      <c r="H260" s="254">
        <v>0</v>
      </c>
      <c r="I260" s="254">
        <v>0</v>
      </c>
      <c r="J260" s="254">
        <v>0</v>
      </c>
      <c r="K260" s="260">
        <f t="shared" si="20"/>
        <v>0</v>
      </c>
      <c r="L260" s="260">
        <f t="shared" si="21"/>
        <v>4899.46</v>
      </c>
      <c r="M260" s="260">
        <f t="shared" si="22"/>
        <v>85323.82</v>
      </c>
      <c r="N260" s="255">
        <f t="shared" si="19"/>
        <v>0</v>
      </c>
      <c r="O260" s="252" t="s">
        <v>3327</v>
      </c>
      <c r="P260" s="252"/>
      <c r="Q260" s="258">
        <f>SUMIF('Antelope Bailey Split BA'!$B$7:$B$29,B260,'Antelope Bailey Split BA'!$C$7:$C$29)</f>
        <v>0</v>
      </c>
      <c r="R260" s="258" t="str">
        <f>IF(AND(Q260=1,'Plant Total by Account'!$J$1=2),"EKWRA","")</f>
        <v/>
      </c>
    </row>
    <row r="261" spans="1:18" ht="12.75" customHeight="1" x14ac:dyDescent="0.2">
      <c r="A261" s="249" t="s">
        <v>2597</v>
      </c>
      <c r="B261" s="252" t="s">
        <v>932</v>
      </c>
      <c r="C261" s="252" t="s">
        <v>3348</v>
      </c>
      <c r="D261" s="253">
        <v>532.24</v>
      </c>
      <c r="E261" s="253">
        <v>1599.8500000000001</v>
      </c>
      <c r="F261" s="253">
        <v>12970.05</v>
      </c>
      <c r="G261" s="546">
        <f t="shared" si="18"/>
        <v>15102.14</v>
      </c>
      <c r="H261" s="254">
        <v>0</v>
      </c>
      <c r="I261" s="254">
        <v>0</v>
      </c>
      <c r="J261" s="254">
        <v>0</v>
      </c>
      <c r="K261" s="260">
        <f t="shared" si="20"/>
        <v>532.24</v>
      </c>
      <c r="L261" s="260">
        <f t="shared" si="21"/>
        <v>1599.8500000000001</v>
      </c>
      <c r="M261" s="260">
        <f t="shared" si="22"/>
        <v>12970.05</v>
      </c>
      <c r="N261" s="255">
        <f t="shared" si="19"/>
        <v>0</v>
      </c>
      <c r="O261" s="252" t="s">
        <v>3327</v>
      </c>
      <c r="P261" s="252"/>
      <c r="Q261" s="258">
        <f>SUMIF('Antelope Bailey Split BA'!$B$7:$B$29,B261,'Antelope Bailey Split BA'!$C$7:$C$29)</f>
        <v>0</v>
      </c>
      <c r="R261" s="258" t="str">
        <f>IF(AND(Q261=1,'Plant Total by Account'!$J$1=2),"EKWRA","")</f>
        <v/>
      </c>
    </row>
    <row r="262" spans="1:18" ht="12.75" customHeight="1" x14ac:dyDescent="0.2">
      <c r="A262" s="249" t="s">
        <v>2598</v>
      </c>
      <c r="B262" s="252" t="s">
        <v>1240</v>
      </c>
      <c r="C262" s="252" t="s">
        <v>3348</v>
      </c>
      <c r="D262" s="253">
        <v>0</v>
      </c>
      <c r="E262" s="253">
        <v>100993.25</v>
      </c>
      <c r="F262" s="253">
        <v>2033246.3600000003</v>
      </c>
      <c r="G262" s="546">
        <f t="shared" si="18"/>
        <v>2134239.6100000003</v>
      </c>
      <c r="H262" s="254">
        <v>0</v>
      </c>
      <c r="I262" s="254">
        <v>0</v>
      </c>
      <c r="J262" s="254">
        <v>0</v>
      </c>
      <c r="K262" s="260">
        <f t="shared" si="20"/>
        <v>0</v>
      </c>
      <c r="L262" s="260">
        <f t="shared" si="21"/>
        <v>100993.25</v>
      </c>
      <c r="M262" s="260">
        <f t="shared" si="22"/>
        <v>2033246.3600000003</v>
      </c>
      <c r="N262" s="255">
        <f t="shared" si="19"/>
        <v>0</v>
      </c>
      <c r="O262" s="252" t="s">
        <v>3327</v>
      </c>
      <c r="P262" s="252"/>
      <c r="Q262" s="258">
        <f>SUMIF('Antelope Bailey Split BA'!$B$7:$B$29,B262,'Antelope Bailey Split BA'!$C$7:$C$29)</f>
        <v>0</v>
      </c>
      <c r="R262" s="258" t="str">
        <f>IF(AND(Q262=1,'Plant Total by Account'!$J$1=2),"EKWRA","")</f>
        <v/>
      </c>
    </row>
    <row r="263" spans="1:18" ht="12.75" customHeight="1" x14ac:dyDescent="0.2">
      <c r="A263" s="249" t="s">
        <v>2599</v>
      </c>
      <c r="B263" s="252" t="s">
        <v>1241</v>
      </c>
      <c r="C263" s="252" t="s">
        <v>3348</v>
      </c>
      <c r="D263" s="253">
        <v>0</v>
      </c>
      <c r="E263" s="253">
        <v>0</v>
      </c>
      <c r="F263" s="253">
        <v>17519.41</v>
      </c>
      <c r="G263" s="546">
        <f t="shared" si="18"/>
        <v>17519.41</v>
      </c>
      <c r="H263" s="254">
        <v>0</v>
      </c>
      <c r="I263" s="254">
        <v>0</v>
      </c>
      <c r="J263" s="254">
        <v>0</v>
      </c>
      <c r="K263" s="259">
        <f t="shared" si="20"/>
        <v>0</v>
      </c>
      <c r="L263" s="259">
        <f t="shared" si="21"/>
        <v>0</v>
      </c>
      <c r="M263" s="259">
        <f t="shared" si="22"/>
        <v>17519.41</v>
      </c>
      <c r="N263" s="255">
        <f t="shared" ref="N263:N270" si="23">G263-SUM(K263:M263)</f>
        <v>0</v>
      </c>
      <c r="O263" s="252" t="s">
        <v>3327</v>
      </c>
      <c r="P263" s="252"/>
      <c r="Q263" s="258">
        <f>SUMIF('Antelope Bailey Split BA'!$B$7:$B$29,B263,'Antelope Bailey Split BA'!$C$7:$C$29)</f>
        <v>0</v>
      </c>
      <c r="R263" s="258" t="str">
        <f>IF(AND(Q263=1,'Plant Total by Account'!$J$1=2),"EKWRA","")</f>
        <v/>
      </c>
    </row>
    <row r="264" spans="1:18" ht="12.75" customHeight="1" x14ac:dyDescent="0.2">
      <c r="A264" s="249" t="s">
        <v>2600</v>
      </c>
      <c r="B264" s="252" t="s">
        <v>1242</v>
      </c>
      <c r="C264" s="252" t="s">
        <v>3348</v>
      </c>
      <c r="D264" s="253">
        <v>0</v>
      </c>
      <c r="E264" s="253">
        <v>0</v>
      </c>
      <c r="F264" s="253">
        <v>11754.550000000001</v>
      </c>
      <c r="G264" s="546">
        <f t="shared" si="18"/>
        <v>11754.550000000001</v>
      </c>
      <c r="H264" s="254">
        <v>0</v>
      </c>
      <c r="I264" s="254">
        <v>0</v>
      </c>
      <c r="J264" s="254">
        <v>0</v>
      </c>
      <c r="K264" s="259">
        <f t="shared" si="20"/>
        <v>0</v>
      </c>
      <c r="L264" s="259">
        <f t="shared" si="21"/>
        <v>0</v>
      </c>
      <c r="M264" s="259">
        <f t="shared" si="22"/>
        <v>11754.550000000001</v>
      </c>
      <c r="N264" s="255">
        <f t="shared" si="23"/>
        <v>0</v>
      </c>
      <c r="O264" s="252" t="s">
        <v>3327</v>
      </c>
      <c r="P264" s="252"/>
      <c r="Q264" s="258">
        <f>SUMIF('Antelope Bailey Split BA'!$B$7:$B$29,B264,'Antelope Bailey Split BA'!$C$7:$C$29)</f>
        <v>0</v>
      </c>
      <c r="R264" s="258" t="str">
        <f>IF(AND(Q264=1,'Plant Total by Account'!$J$1=2),"EKWRA","")</f>
        <v/>
      </c>
    </row>
    <row r="265" spans="1:18" ht="12.75" customHeight="1" x14ac:dyDescent="0.2">
      <c r="A265" s="249" t="s">
        <v>2601</v>
      </c>
      <c r="B265" s="252" t="s">
        <v>1243</v>
      </c>
      <c r="C265" s="252" t="s">
        <v>3348</v>
      </c>
      <c r="D265" s="253">
        <v>0</v>
      </c>
      <c r="E265" s="253">
        <v>0</v>
      </c>
      <c r="F265" s="253">
        <v>9731.17</v>
      </c>
      <c r="G265" s="546">
        <f t="shared" si="18"/>
        <v>9731.17</v>
      </c>
      <c r="H265" s="254">
        <v>0</v>
      </c>
      <c r="I265" s="254">
        <v>0</v>
      </c>
      <c r="J265" s="254">
        <v>0</v>
      </c>
      <c r="K265" s="259">
        <f t="shared" si="20"/>
        <v>0</v>
      </c>
      <c r="L265" s="259">
        <f t="shared" si="21"/>
        <v>0</v>
      </c>
      <c r="M265" s="259">
        <f t="shared" si="22"/>
        <v>9731.17</v>
      </c>
      <c r="N265" s="255">
        <f t="shared" si="23"/>
        <v>0</v>
      </c>
      <c r="O265" s="252" t="s">
        <v>3327</v>
      </c>
      <c r="P265" s="252"/>
      <c r="Q265" s="258">
        <f>SUMIF('Antelope Bailey Split BA'!$B$7:$B$29,B265,'Antelope Bailey Split BA'!$C$7:$C$29)</f>
        <v>0</v>
      </c>
      <c r="R265" s="258" t="str">
        <f>IF(AND(Q265=1,'Plant Total by Account'!$J$1=2),"EKWRA","")</f>
        <v/>
      </c>
    </row>
    <row r="266" spans="1:18" ht="12.75" customHeight="1" x14ac:dyDescent="0.2">
      <c r="A266" s="249" t="s">
        <v>2602</v>
      </c>
      <c r="B266" s="252" t="s">
        <v>1244</v>
      </c>
      <c r="C266" s="252" t="s">
        <v>3348</v>
      </c>
      <c r="D266" s="253">
        <v>0</v>
      </c>
      <c r="E266" s="253">
        <v>0</v>
      </c>
      <c r="F266" s="253">
        <v>8814.14</v>
      </c>
      <c r="G266" s="546">
        <f t="shared" ref="G266:G296" si="24">SUM(D266:F266)</f>
        <v>8814.14</v>
      </c>
      <c r="H266" s="254">
        <v>0</v>
      </c>
      <c r="I266" s="254">
        <v>0</v>
      </c>
      <c r="J266" s="254">
        <v>0</v>
      </c>
      <c r="K266" s="259">
        <f t="shared" si="20"/>
        <v>0</v>
      </c>
      <c r="L266" s="259">
        <f t="shared" si="21"/>
        <v>0</v>
      </c>
      <c r="M266" s="259">
        <f t="shared" si="22"/>
        <v>8814.14</v>
      </c>
      <c r="N266" s="255">
        <f t="shared" si="23"/>
        <v>0</v>
      </c>
      <c r="O266" s="252" t="s">
        <v>3327</v>
      </c>
      <c r="P266" s="252"/>
      <c r="Q266" s="258">
        <f>SUMIF('Antelope Bailey Split BA'!$B$7:$B$29,B266,'Antelope Bailey Split BA'!$C$7:$C$29)</f>
        <v>0</v>
      </c>
      <c r="R266" s="258" t="str">
        <f>IF(AND(Q266=1,'Plant Total by Account'!$J$1=2),"EKWRA","")</f>
        <v/>
      </c>
    </row>
    <row r="267" spans="1:18" ht="12.75" customHeight="1" x14ac:dyDescent="0.2">
      <c r="A267" s="249" t="s">
        <v>2603</v>
      </c>
      <c r="B267" s="252" t="s">
        <v>1245</v>
      </c>
      <c r="C267" s="252" t="s">
        <v>3348</v>
      </c>
      <c r="D267" s="253">
        <v>0</v>
      </c>
      <c r="E267" s="253">
        <v>0</v>
      </c>
      <c r="F267" s="253">
        <v>29933.06</v>
      </c>
      <c r="G267" s="546">
        <f t="shared" si="24"/>
        <v>29933.06</v>
      </c>
      <c r="H267" s="254">
        <v>0</v>
      </c>
      <c r="I267" s="254">
        <v>0</v>
      </c>
      <c r="J267" s="254">
        <v>0</v>
      </c>
      <c r="K267" s="259">
        <f t="shared" si="20"/>
        <v>0</v>
      </c>
      <c r="L267" s="259">
        <f t="shared" si="21"/>
        <v>0</v>
      </c>
      <c r="M267" s="259">
        <f t="shared" si="22"/>
        <v>29933.06</v>
      </c>
      <c r="N267" s="255">
        <f t="shared" si="23"/>
        <v>0</v>
      </c>
      <c r="O267" s="252" t="s">
        <v>3327</v>
      </c>
      <c r="P267" s="252"/>
      <c r="Q267" s="258">
        <f>SUMIF('Antelope Bailey Split BA'!$B$7:$B$29,B267,'Antelope Bailey Split BA'!$C$7:$C$29)</f>
        <v>0</v>
      </c>
      <c r="R267" s="258" t="str">
        <f>IF(AND(Q267=1,'Plant Total by Account'!$J$1=2),"EKWRA","")</f>
        <v/>
      </c>
    </row>
    <row r="268" spans="1:18" ht="12.75" customHeight="1" x14ac:dyDescent="0.2">
      <c r="A268" s="249" t="s">
        <v>2604</v>
      </c>
      <c r="B268" s="252" t="s">
        <v>1246</v>
      </c>
      <c r="C268" s="252" t="s">
        <v>3348</v>
      </c>
      <c r="D268" s="253">
        <v>0</v>
      </c>
      <c r="E268" s="253">
        <v>0</v>
      </c>
      <c r="F268" s="253">
        <v>119703.79000000001</v>
      </c>
      <c r="G268" s="546">
        <f t="shared" si="24"/>
        <v>119703.79000000001</v>
      </c>
      <c r="H268" s="254">
        <v>0</v>
      </c>
      <c r="I268" s="254">
        <v>0</v>
      </c>
      <c r="J268" s="254">
        <v>0</v>
      </c>
      <c r="K268" s="259">
        <f t="shared" si="20"/>
        <v>0</v>
      </c>
      <c r="L268" s="259">
        <f t="shared" si="21"/>
        <v>0</v>
      </c>
      <c r="M268" s="259">
        <f t="shared" si="22"/>
        <v>119703.79000000001</v>
      </c>
      <c r="N268" s="255">
        <f t="shared" si="23"/>
        <v>0</v>
      </c>
      <c r="O268" s="252" t="s">
        <v>3327</v>
      </c>
      <c r="P268" s="252"/>
      <c r="Q268" s="258">
        <f>SUMIF('Antelope Bailey Split BA'!$B$7:$B$29,B268,'Antelope Bailey Split BA'!$C$7:$C$29)</f>
        <v>0</v>
      </c>
      <c r="R268" s="258" t="str">
        <f>IF(AND(Q268=1,'Plant Total by Account'!$J$1=2),"EKWRA","")</f>
        <v/>
      </c>
    </row>
    <row r="269" spans="1:18" ht="12.75" customHeight="1" x14ac:dyDescent="0.2">
      <c r="A269" s="249" t="s">
        <v>2605</v>
      </c>
      <c r="B269" s="252" t="s">
        <v>1247</v>
      </c>
      <c r="C269" s="252" t="s">
        <v>3350</v>
      </c>
      <c r="D269" s="253">
        <v>0</v>
      </c>
      <c r="E269" s="253">
        <v>0</v>
      </c>
      <c r="F269" s="253">
        <v>83149.77</v>
      </c>
      <c r="G269" s="546">
        <f t="shared" si="24"/>
        <v>83149.77</v>
      </c>
      <c r="H269" s="254">
        <v>0</v>
      </c>
      <c r="I269" s="254">
        <v>0</v>
      </c>
      <c r="J269" s="254">
        <v>0</v>
      </c>
      <c r="K269" s="259">
        <f t="shared" si="20"/>
        <v>0</v>
      </c>
      <c r="L269" s="259">
        <f t="shared" si="21"/>
        <v>0</v>
      </c>
      <c r="M269" s="259">
        <f t="shared" si="22"/>
        <v>83149.77</v>
      </c>
      <c r="N269" s="255">
        <f t="shared" si="23"/>
        <v>0</v>
      </c>
      <c r="O269" s="252" t="s">
        <v>3327</v>
      </c>
      <c r="P269" s="252"/>
      <c r="Q269" s="258">
        <f>SUMIF('Antelope Bailey Split BA'!$B$7:$B$29,B269,'Antelope Bailey Split BA'!$C$7:$C$29)</f>
        <v>0</v>
      </c>
      <c r="R269" s="258" t="str">
        <f>IF(AND(Q269=1,'Plant Total by Account'!$J$1=2),"EKWRA","")</f>
        <v/>
      </c>
    </row>
    <row r="270" spans="1:18" ht="12.75" customHeight="1" x14ac:dyDescent="0.2">
      <c r="A270" s="249" t="s">
        <v>2606</v>
      </c>
      <c r="B270" s="252" t="s">
        <v>1248</v>
      </c>
      <c r="C270" s="252" t="s">
        <v>3350</v>
      </c>
      <c r="D270" s="253">
        <v>0</v>
      </c>
      <c r="E270" s="253">
        <v>0</v>
      </c>
      <c r="F270" s="253">
        <v>74084.899999999994</v>
      </c>
      <c r="G270" s="546">
        <f t="shared" si="24"/>
        <v>74084.899999999994</v>
      </c>
      <c r="H270" s="254">
        <v>0</v>
      </c>
      <c r="I270" s="254">
        <v>0</v>
      </c>
      <c r="J270" s="254">
        <v>0</v>
      </c>
      <c r="K270" s="259">
        <f t="shared" si="20"/>
        <v>0</v>
      </c>
      <c r="L270" s="259">
        <f t="shared" si="21"/>
        <v>0</v>
      </c>
      <c r="M270" s="259">
        <f t="shared" si="22"/>
        <v>74084.899999999994</v>
      </c>
      <c r="N270" s="255">
        <f t="shared" si="23"/>
        <v>0</v>
      </c>
      <c r="O270" s="252" t="s">
        <v>3327</v>
      </c>
      <c r="P270" s="252"/>
      <c r="Q270" s="258">
        <f>SUMIF('Antelope Bailey Split BA'!$B$7:$B$29,B270,'Antelope Bailey Split BA'!$C$7:$C$29)</f>
        <v>0</v>
      </c>
      <c r="R270" s="258" t="str">
        <f>IF(AND(Q270=1,'Plant Total by Account'!$J$1=2),"EKWRA","")</f>
        <v/>
      </c>
    </row>
    <row r="271" spans="1:18" ht="12.75" customHeight="1" x14ac:dyDescent="0.2">
      <c r="A271" s="249" t="s">
        <v>2607</v>
      </c>
      <c r="B271" s="252" t="s">
        <v>139</v>
      </c>
      <c r="C271" s="252" t="s">
        <v>3348</v>
      </c>
      <c r="D271" s="253">
        <v>0</v>
      </c>
      <c r="E271" s="253">
        <v>35643.780000000006</v>
      </c>
      <c r="F271" s="253">
        <v>654011.68999999971</v>
      </c>
      <c r="G271" s="546">
        <f t="shared" si="24"/>
        <v>689655.46999999974</v>
      </c>
      <c r="H271" s="254">
        <v>0</v>
      </c>
      <c r="I271" s="254">
        <v>0</v>
      </c>
      <c r="J271" s="254">
        <v>0</v>
      </c>
      <c r="K271" s="260">
        <f t="shared" si="20"/>
        <v>0</v>
      </c>
      <c r="L271" s="260">
        <f t="shared" si="21"/>
        <v>35643.780000000006</v>
      </c>
      <c r="M271" s="260">
        <f t="shared" si="22"/>
        <v>654011.68999999971</v>
      </c>
      <c r="N271" s="255">
        <f t="shared" ref="N271:N282" si="25">G271-SUM(H271:M271)</f>
        <v>0</v>
      </c>
      <c r="O271" s="252" t="s">
        <v>3327</v>
      </c>
      <c r="P271" s="252"/>
      <c r="Q271" s="258">
        <f>SUMIF('Antelope Bailey Split BA'!$B$7:$B$29,B271,'Antelope Bailey Split BA'!$C$7:$C$29)</f>
        <v>0</v>
      </c>
      <c r="R271" s="258" t="str">
        <f>IF(AND(Q271=1,'Plant Total by Account'!$J$1=2),"EKWRA","")</f>
        <v/>
      </c>
    </row>
    <row r="272" spans="1:18" ht="12.75" customHeight="1" x14ac:dyDescent="0.2">
      <c r="A272" s="249" t="s">
        <v>2608</v>
      </c>
      <c r="B272" s="252" t="s">
        <v>933</v>
      </c>
      <c r="C272" s="252" t="s">
        <v>3348</v>
      </c>
      <c r="D272" s="253">
        <v>51171.62</v>
      </c>
      <c r="E272" s="253">
        <v>668136.26999999979</v>
      </c>
      <c r="F272" s="253">
        <v>10651190.96000001</v>
      </c>
      <c r="G272" s="546">
        <f t="shared" si="24"/>
        <v>11370498.850000011</v>
      </c>
      <c r="H272" s="254">
        <v>0</v>
      </c>
      <c r="I272" s="254">
        <v>0</v>
      </c>
      <c r="J272" s="254">
        <v>0</v>
      </c>
      <c r="K272" s="260">
        <f t="shared" si="20"/>
        <v>51171.62</v>
      </c>
      <c r="L272" s="260">
        <f t="shared" si="21"/>
        <v>668136.26999999979</v>
      </c>
      <c r="M272" s="260">
        <f t="shared" si="22"/>
        <v>10651190.96000001</v>
      </c>
      <c r="N272" s="255">
        <f t="shared" si="25"/>
        <v>0</v>
      </c>
      <c r="O272" s="252" t="s">
        <v>3327</v>
      </c>
      <c r="P272" s="252"/>
      <c r="Q272" s="258">
        <f>SUMIF('Antelope Bailey Split BA'!$B$7:$B$29,B272,'Antelope Bailey Split BA'!$C$7:$C$29)</f>
        <v>0</v>
      </c>
      <c r="R272" s="258" t="str">
        <f>IF(AND(Q272=1,'Plant Total by Account'!$J$1=2),"EKWRA","")</f>
        <v/>
      </c>
    </row>
    <row r="273" spans="1:18" ht="12.75" customHeight="1" x14ac:dyDescent="0.2">
      <c r="A273" s="249" t="s">
        <v>2609</v>
      </c>
      <c r="B273" s="252" t="s">
        <v>934</v>
      </c>
      <c r="C273" s="252" t="s">
        <v>3348</v>
      </c>
      <c r="D273" s="253">
        <v>20960.510000000002</v>
      </c>
      <c r="E273" s="253">
        <v>267730.49</v>
      </c>
      <c r="F273" s="253">
        <v>11540756.75999999</v>
      </c>
      <c r="G273" s="546">
        <f t="shared" si="24"/>
        <v>11829447.75999999</v>
      </c>
      <c r="H273" s="254">
        <v>0</v>
      </c>
      <c r="I273" s="254">
        <v>0</v>
      </c>
      <c r="J273" s="254">
        <v>0</v>
      </c>
      <c r="K273" s="260">
        <f t="shared" si="20"/>
        <v>20960.510000000002</v>
      </c>
      <c r="L273" s="260">
        <f t="shared" si="21"/>
        <v>267730.49</v>
      </c>
      <c r="M273" s="260">
        <f t="shared" si="22"/>
        <v>11540756.75999999</v>
      </c>
      <c r="N273" s="255">
        <f t="shared" si="25"/>
        <v>0</v>
      </c>
      <c r="O273" s="252" t="s">
        <v>3327</v>
      </c>
      <c r="P273" s="252"/>
      <c r="Q273" s="258">
        <f>SUMIF('Antelope Bailey Split BA'!$B$7:$B$29,B273,'Antelope Bailey Split BA'!$C$7:$C$29)</f>
        <v>0</v>
      </c>
      <c r="R273" s="258" t="str">
        <f>IF(AND(Q273=1,'Plant Total by Account'!$J$1=2),"EKWRA","")</f>
        <v/>
      </c>
    </row>
    <row r="274" spans="1:18" ht="12.75" customHeight="1" x14ac:dyDescent="0.2">
      <c r="A274" s="249" t="s">
        <v>2610</v>
      </c>
      <c r="B274" s="252" t="s">
        <v>935</v>
      </c>
      <c r="C274" s="252" t="s">
        <v>3348</v>
      </c>
      <c r="D274" s="253">
        <v>12178.56</v>
      </c>
      <c r="E274" s="253">
        <v>138277.93</v>
      </c>
      <c r="F274" s="253">
        <v>1878913.1200000003</v>
      </c>
      <c r="G274" s="546">
        <f t="shared" si="24"/>
        <v>2029369.6100000003</v>
      </c>
      <c r="H274" s="254">
        <v>0</v>
      </c>
      <c r="I274" s="254">
        <v>0</v>
      </c>
      <c r="J274" s="254">
        <v>0</v>
      </c>
      <c r="K274" s="260">
        <f t="shared" si="20"/>
        <v>12178.56</v>
      </c>
      <c r="L274" s="260">
        <f t="shared" si="21"/>
        <v>138277.93</v>
      </c>
      <c r="M274" s="260">
        <f t="shared" si="22"/>
        <v>1878913.1200000003</v>
      </c>
      <c r="N274" s="255">
        <f t="shared" si="25"/>
        <v>0</v>
      </c>
      <c r="O274" s="252" t="s">
        <v>3327</v>
      </c>
      <c r="P274" s="252"/>
      <c r="Q274" s="258">
        <f>SUMIF('Antelope Bailey Split BA'!$B$7:$B$29,B274,'Antelope Bailey Split BA'!$C$7:$C$29)</f>
        <v>0</v>
      </c>
      <c r="R274" s="258" t="str">
        <f>IF(AND(Q274=1,'Plant Total by Account'!$J$1=2),"EKWRA","")</f>
        <v/>
      </c>
    </row>
    <row r="275" spans="1:18" ht="12.75" customHeight="1" x14ac:dyDescent="0.2">
      <c r="A275" s="249" t="s">
        <v>2611</v>
      </c>
      <c r="B275" s="252" t="s">
        <v>936</v>
      </c>
      <c r="C275" s="252" t="s">
        <v>3348</v>
      </c>
      <c r="D275" s="253">
        <v>222599.95</v>
      </c>
      <c r="E275" s="253">
        <v>827990.83000000007</v>
      </c>
      <c r="F275" s="253">
        <v>11385271.949999997</v>
      </c>
      <c r="G275" s="546">
        <f t="shared" si="24"/>
        <v>12435862.729999997</v>
      </c>
      <c r="H275" s="254">
        <v>0</v>
      </c>
      <c r="I275" s="254">
        <v>0</v>
      </c>
      <c r="J275" s="254">
        <v>0</v>
      </c>
      <c r="K275" s="260">
        <f t="shared" si="20"/>
        <v>222599.95</v>
      </c>
      <c r="L275" s="260">
        <f t="shared" si="21"/>
        <v>827990.83000000007</v>
      </c>
      <c r="M275" s="260">
        <f t="shared" si="22"/>
        <v>11385271.949999997</v>
      </c>
      <c r="N275" s="255">
        <f t="shared" si="25"/>
        <v>0</v>
      </c>
      <c r="O275" s="252" t="s">
        <v>3327</v>
      </c>
      <c r="P275" s="252"/>
      <c r="Q275" s="258">
        <f>SUMIF('Antelope Bailey Split BA'!$B$7:$B$29,B275,'Antelope Bailey Split BA'!$C$7:$C$29)</f>
        <v>0</v>
      </c>
      <c r="R275" s="258" t="str">
        <f>IF(AND(Q275=1,'Plant Total by Account'!$J$1=2),"EKWRA","")</f>
        <v/>
      </c>
    </row>
    <row r="276" spans="1:18" ht="12.75" customHeight="1" x14ac:dyDescent="0.2">
      <c r="A276" s="249" t="s">
        <v>2612</v>
      </c>
      <c r="B276" s="252" t="s">
        <v>1249</v>
      </c>
      <c r="C276" s="252" t="s">
        <v>3348</v>
      </c>
      <c r="D276" s="253">
        <v>560578.85000000009</v>
      </c>
      <c r="E276" s="253">
        <v>844656.49000000011</v>
      </c>
      <c r="F276" s="253">
        <v>10579688.270000016</v>
      </c>
      <c r="G276" s="546">
        <f t="shared" si="24"/>
        <v>11984923.610000016</v>
      </c>
      <c r="H276" s="254">
        <v>0</v>
      </c>
      <c r="I276" s="254">
        <v>0</v>
      </c>
      <c r="J276" s="254">
        <v>0</v>
      </c>
      <c r="K276" s="260">
        <f t="shared" si="20"/>
        <v>560578.85000000009</v>
      </c>
      <c r="L276" s="260">
        <f t="shared" si="21"/>
        <v>844656.49000000011</v>
      </c>
      <c r="M276" s="260">
        <f t="shared" si="22"/>
        <v>10579688.270000016</v>
      </c>
      <c r="N276" s="255">
        <f t="shared" si="25"/>
        <v>0</v>
      </c>
      <c r="O276" s="252" t="s">
        <v>3327</v>
      </c>
      <c r="P276" s="252"/>
      <c r="Q276" s="258">
        <f>SUMIF('Antelope Bailey Split BA'!$B$7:$B$29,B276,'Antelope Bailey Split BA'!$C$7:$C$29)</f>
        <v>0</v>
      </c>
      <c r="R276" s="258" t="str">
        <f>IF(AND(Q276=1,'Plant Total by Account'!$J$1=2),"EKWRA","")</f>
        <v/>
      </c>
    </row>
    <row r="277" spans="1:18" ht="12.75" customHeight="1" x14ac:dyDescent="0.2">
      <c r="A277" s="249" t="s">
        <v>2613</v>
      </c>
      <c r="B277" s="252" t="s">
        <v>937</v>
      </c>
      <c r="C277" s="252" t="s">
        <v>3348</v>
      </c>
      <c r="D277" s="253">
        <v>40719.870000000003</v>
      </c>
      <c r="E277" s="253">
        <v>142522.91</v>
      </c>
      <c r="F277" s="253">
        <v>14086188.719999988</v>
      </c>
      <c r="G277" s="546">
        <f t="shared" si="24"/>
        <v>14269431.499999987</v>
      </c>
      <c r="H277" s="254">
        <v>0</v>
      </c>
      <c r="I277" s="254">
        <v>0</v>
      </c>
      <c r="J277" s="254">
        <v>0</v>
      </c>
      <c r="K277" s="260">
        <f t="shared" si="20"/>
        <v>40719.870000000003</v>
      </c>
      <c r="L277" s="260">
        <f t="shared" si="21"/>
        <v>142522.91</v>
      </c>
      <c r="M277" s="260">
        <f t="shared" si="22"/>
        <v>14086188.719999988</v>
      </c>
      <c r="N277" s="255">
        <f t="shared" si="25"/>
        <v>0</v>
      </c>
      <c r="O277" s="252" t="s">
        <v>3327</v>
      </c>
      <c r="P277" s="252"/>
      <c r="Q277" s="258">
        <f>SUMIF('Antelope Bailey Split BA'!$B$7:$B$29,B277,'Antelope Bailey Split BA'!$C$7:$C$29)</f>
        <v>0</v>
      </c>
      <c r="R277" s="258" t="str">
        <f>IF(AND(Q277=1,'Plant Total by Account'!$J$1=2),"EKWRA","")</f>
        <v/>
      </c>
    </row>
    <row r="278" spans="1:18" ht="12.75" customHeight="1" x14ac:dyDescent="0.2">
      <c r="A278" s="249" t="s">
        <v>2614</v>
      </c>
      <c r="B278" s="252" t="s">
        <v>1250</v>
      </c>
      <c r="C278" s="252" t="s">
        <v>3348</v>
      </c>
      <c r="D278" s="253">
        <v>119.93</v>
      </c>
      <c r="E278" s="253">
        <v>4439.62</v>
      </c>
      <c r="F278" s="253">
        <v>696181.35</v>
      </c>
      <c r="G278" s="546">
        <f t="shared" si="24"/>
        <v>700740.9</v>
      </c>
      <c r="H278" s="254">
        <v>0</v>
      </c>
      <c r="I278" s="254">
        <v>0</v>
      </c>
      <c r="J278" s="254">
        <v>0</v>
      </c>
      <c r="K278" s="260">
        <f t="shared" si="20"/>
        <v>119.93</v>
      </c>
      <c r="L278" s="260">
        <f t="shared" si="21"/>
        <v>4439.62</v>
      </c>
      <c r="M278" s="260">
        <f t="shared" si="22"/>
        <v>696181.35</v>
      </c>
      <c r="N278" s="255">
        <f t="shared" si="25"/>
        <v>0</v>
      </c>
      <c r="O278" s="252" t="s">
        <v>3327</v>
      </c>
      <c r="P278" s="252"/>
      <c r="Q278" s="258">
        <f>SUMIF('Antelope Bailey Split BA'!$B$7:$B$29,B278,'Antelope Bailey Split BA'!$C$7:$C$29)</f>
        <v>0</v>
      </c>
      <c r="R278" s="258" t="str">
        <f>IF(AND(Q278=1,'Plant Total by Account'!$J$1=2),"EKWRA","")</f>
        <v/>
      </c>
    </row>
    <row r="279" spans="1:18" ht="12.75" customHeight="1" x14ac:dyDescent="0.2">
      <c r="A279" s="249" t="s">
        <v>2615</v>
      </c>
      <c r="B279" s="252" t="s">
        <v>1251</v>
      </c>
      <c r="C279" s="252" t="s">
        <v>3348</v>
      </c>
      <c r="D279" s="253">
        <v>0</v>
      </c>
      <c r="E279" s="253">
        <v>0</v>
      </c>
      <c r="F279" s="253">
        <v>151192.72</v>
      </c>
      <c r="G279" s="546">
        <f t="shared" si="24"/>
        <v>151192.72</v>
      </c>
      <c r="H279" s="254">
        <v>0</v>
      </c>
      <c r="I279" s="254">
        <v>0</v>
      </c>
      <c r="J279" s="254">
        <v>0</v>
      </c>
      <c r="K279" s="260">
        <f t="shared" si="20"/>
        <v>0</v>
      </c>
      <c r="L279" s="260">
        <f t="shared" si="21"/>
        <v>0</v>
      </c>
      <c r="M279" s="260">
        <f t="shared" si="22"/>
        <v>151192.72</v>
      </c>
      <c r="N279" s="255">
        <f t="shared" si="25"/>
        <v>0</v>
      </c>
      <c r="O279" s="252" t="s">
        <v>3327</v>
      </c>
      <c r="P279" s="252"/>
      <c r="Q279" s="258">
        <f>SUMIF('Antelope Bailey Split BA'!$B$7:$B$29,B279,'Antelope Bailey Split BA'!$C$7:$C$29)</f>
        <v>0</v>
      </c>
      <c r="R279" s="258" t="str">
        <f>IF(AND(Q279=1,'Plant Total by Account'!$J$1=2),"EKWRA","")</f>
        <v/>
      </c>
    </row>
    <row r="280" spans="1:18" ht="12.75" customHeight="1" x14ac:dyDescent="0.2">
      <c r="A280" s="249" t="s">
        <v>2616</v>
      </c>
      <c r="B280" s="252" t="s">
        <v>1252</v>
      </c>
      <c r="C280" s="252" t="s">
        <v>3348</v>
      </c>
      <c r="D280" s="253">
        <v>0</v>
      </c>
      <c r="E280" s="253">
        <v>78654.66</v>
      </c>
      <c r="F280" s="253">
        <v>1076360.4600000004</v>
      </c>
      <c r="G280" s="546">
        <f t="shared" si="24"/>
        <v>1155015.1200000003</v>
      </c>
      <c r="H280" s="254">
        <v>0</v>
      </c>
      <c r="I280" s="254">
        <v>0</v>
      </c>
      <c r="J280" s="254">
        <v>0</v>
      </c>
      <c r="K280" s="260">
        <f t="shared" si="20"/>
        <v>0</v>
      </c>
      <c r="L280" s="260">
        <f t="shared" si="21"/>
        <v>78654.66</v>
      </c>
      <c r="M280" s="260">
        <f t="shared" si="22"/>
        <v>1076360.4600000004</v>
      </c>
      <c r="N280" s="255">
        <f t="shared" si="25"/>
        <v>0</v>
      </c>
      <c r="O280" s="252" t="s">
        <v>3327</v>
      </c>
      <c r="P280" s="252"/>
      <c r="Q280" s="258">
        <f>SUMIF('Antelope Bailey Split BA'!$B$7:$B$29,B280,'Antelope Bailey Split BA'!$C$7:$C$29)</f>
        <v>0</v>
      </c>
      <c r="R280" s="258" t="str">
        <f>IF(AND(Q280=1,'Plant Total by Account'!$J$1=2),"EKWRA","")</f>
        <v/>
      </c>
    </row>
    <row r="281" spans="1:18" ht="12.75" customHeight="1" x14ac:dyDescent="0.2">
      <c r="A281" s="249" t="s">
        <v>2617</v>
      </c>
      <c r="B281" s="252" t="s">
        <v>1253</v>
      </c>
      <c r="C281" s="252" t="s">
        <v>3348</v>
      </c>
      <c r="D281" s="253">
        <v>0</v>
      </c>
      <c r="E281" s="253">
        <v>5169.82</v>
      </c>
      <c r="F281" s="253">
        <v>1089069.05</v>
      </c>
      <c r="G281" s="546">
        <f t="shared" si="24"/>
        <v>1094238.8700000001</v>
      </c>
      <c r="H281" s="254">
        <v>0</v>
      </c>
      <c r="I281" s="254">
        <v>0</v>
      </c>
      <c r="J281" s="254">
        <v>0</v>
      </c>
      <c r="K281" s="260">
        <f t="shared" si="20"/>
        <v>0</v>
      </c>
      <c r="L281" s="260">
        <f t="shared" si="21"/>
        <v>5169.82</v>
      </c>
      <c r="M281" s="260">
        <f t="shared" si="22"/>
        <v>1089069.05</v>
      </c>
      <c r="N281" s="255">
        <f t="shared" si="25"/>
        <v>0</v>
      </c>
      <c r="O281" s="252" t="s">
        <v>3327</v>
      </c>
      <c r="P281" s="252"/>
      <c r="Q281" s="258">
        <f>SUMIF('Antelope Bailey Split BA'!$B$7:$B$29,B281,'Antelope Bailey Split BA'!$C$7:$C$29)</f>
        <v>0</v>
      </c>
      <c r="R281" s="258" t="str">
        <f>IF(AND(Q281=1,'Plant Total by Account'!$J$1=2),"EKWRA","")</f>
        <v/>
      </c>
    </row>
    <row r="282" spans="1:18" ht="12.75" customHeight="1" x14ac:dyDescent="0.2">
      <c r="A282" s="249" t="s">
        <v>2618</v>
      </c>
      <c r="B282" s="252" t="s">
        <v>1254</v>
      </c>
      <c r="C282" s="252" t="s">
        <v>3353</v>
      </c>
      <c r="D282" s="253">
        <v>0</v>
      </c>
      <c r="E282" s="253">
        <v>0</v>
      </c>
      <c r="F282" s="253">
        <v>29688.19</v>
      </c>
      <c r="G282" s="546">
        <f t="shared" si="24"/>
        <v>29688.19</v>
      </c>
      <c r="H282" s="254">
        <v>0</v>
      </c>
      <c r="I282" s="254">
        <v>0</v>
      </c>
      <c r="J282" s="254">
        <v>0</v>
      </c>
      <c r="K282" s="260">
        <f t="shared" si="20"/>
        <v>0</v>
      </c>
      <c r="L282" s="260">
        <f t="shared" si="21"/>
        <v>0</v>
      </c>
      <c r="M282" s="260">
        <f t="shared" si="22"/>
        <v>29688.19</v>
      </c>
      <c r="N282" s="255">
        <f t="shared" si="25"/>
        <v>0</v>
      </c>
      <c r="O282" s="252" t="s">
        <v>3327</v>
      </c>
      <c r="P282" s="252"/>
      <c r="Q282" s="258">
        <f>SUMIF('Antelope Bailey Split BA'!$B$7:$B$29,B282,'Antelope Bailey Split BA'!$C$7:$C$29)</f>
        <v>0</v>
      </c>
      <c r="R282" s="258" t="str">
        <f>IF(AND(Q282=1,'Plant Total by Account'!$J$1=2),"EKWRA","")</f>
        <v/>
      </c>
    </row>
    <row r="283" spans="1:18" ht="12.75" customHeight="1" x14ac:dyDescent="0.2">
      <c r="A283" s="249" t="s">
        <v>2619</v>
      </c>
      <c r="B283" s="252" t="s">
        <v>2262</v>
      </c>
      <c r="C283" s="252" t="s">
        <v>3348</v>
      </c>
      <c r="D283" s="253">
        <v>85358.34</v>
      </c>
      <c r="E283" s="253">
        <v>0</v>
      </c>
      <c r="F283" s="253">
        <v>0</v>
      </c>
      <c r="G283" s="546">
        <f t="shared" si="24"/>
        <v>85358.34</v>
      </c>
      <c r="H283" s="254">
        <v>0</v>
      </c>
      <c r="I283" s="254">
        <v>0</v>
      </c>
      <c r="J283" s="254">
        <v>0</v>
      </c>
      <c r="K283" s="259">
        <f t="shared" si="20"/>
        <v>85358.34</v>
      </c>
      <c r="L283" s="259">
        <f t="shared" si="21"/>
        <v>0</v>
      </c>
      <c r="M283" s="259">
        <f t="shared" si="22"/>
        <v>0</v>
      </c>
      <c r="N283" s="255">
        <f>G283-SUM(K283:M283)</f>
        <v>0</v>
      </c>
      <c r="O283" s="252" t="s">
        <v>3327</v>
      </c>
      <c r="P283" s="252"/>
      <c r="Q283" s="258">
        <f>SUMIF('Antelope Bailey Split BA'!$B$7:$B$29,B283,'Antelope Bailey Split BA'!$C$7:$C$29)</f>
        <v>0</v>
      </c>
      <c r="R283" s="258" t="str">
        <f>IF(AND(Q283=1,'Plant Total by Account'!$J$1=2),"EKWRA","")</f>
        <v/>
      </c>
    </row>
    <row r="284" spans="1:18" ht="12.75" customHeight="1" x14ac:dyDescent="0.2">
      <c r="A284" s="249" t="s">
        <v>2620</v>
      </c>
      <c r="B284" s="252" t="s">
        <v>1255</v>
      </c>
      <c r="C284" s="252" t="s">
        <v>3348</v>
      </c>
      <c r="D284" s="253">
        <v>0</v>
      </c>
      <c r="E284" s="253">
        <v>210316.97000000003</v>
      </c>
      <c r="F284" s="253">
        <v>2609845.0200000005</v>
      </c>
      <c r="G284" s="546">
        <f t="shared" si="24"/>
        <v>2820161.9900000007</v>
      </c>
      <c r="H284" s="254">
        <v>0</v>
      </c>
      <c r="I284" s="254">
        <v>0</v>
      </c>
      <c r="J284" s="254">
        <v>0</v>
      </c>
      <c r="K284" s="260">
        <f t="shared" si="20"/>
        <v>0</v>
      </c>
      <c r="L284" s="260">
        <f t="shared" si="21"/>
        <v>210316.97000000003</v>
      </c>
      <c r="M284" s="260">
        <f t="shared" si="22"/>
        <v>2609845.0200000005</v>
      </c>
      <c r="N284" s="255">
        <f t="shared" ref="N284:N291" si="26">G284-SUM(H284:M284)</f>
        <v>0</v>
      </c>
      <c r="O284" s="252" t="s">
        <v>3327</v>
      </c>
      <c r="P284" s="252"/>
      <c r="Q284" s="258">
        <f>SUMIF('Antelope Bailey Split BA'!$B$7:$B$29,B284,'Antelope Bailey Split BA'!$C$7:$C$29)</f>
        <v>0</v>
      </c>
      <c r="R284" s="258" t="str">
        <f>IF(AND(Q284=1,'Plant Total by Account'!$J$1=2),"EKWRA","")</f>
        <v/>
      </c>
    </row>
    <row r="285" spans="1:18" ht="12.75" customHeight="1" x14ac:dyDescent="0.2">
      <c r="A285" s="249" t="s">
        <v>2622</v>
      </c>
      <c r="B285" s="252" t="s">
        <v>942</v>
      </c>
      <c r="C285" s="252" t="s">
        <v>3353</v>
      </c>
      <c r="D285" s="253">
        <v>0</v>
      </c>
      <c r="E285" s="253">
        <v>0</v>
      </c>
      <c r="F285" s="253">
        <v>43288.94</v>
      </c>
      <c r="G285" s="546">
        <f t="shared" si="24"/>
        <v>43288.94</v>
      </c>
      <c r="H285" s="254">
        <v>0</v>
      </c>
      <c r="I285" s="254">
        <v>0</v>
      </c>
      <c r="J285" s="254">
        <v>0</v>
      </c>
      <c r="K285" s="260">
        <f t="shared" si="20"/>
        <v>0</v>
      </c>
      <c r="L285" s="260">
        <f t="shared" si="21"/>
        <v>0</v>
      </c>
      <c r="M285" s="260">
        <f t="shared" si="22"/>
        <v>43288.94</v>
      </c>
      <c r="N285" s="255">
        <f t="shared" si="26"/>
        <v>0</v>
      </c>
      <c r="O285" s="252" t="s">
        <v>3327</v>
      </c>
      <c r="P285" s="252"/>
      <c r="Q285" s="258">
        <f>SUMIF('Antelope Bailey Split BA'!$B$7:$B$29,B285,'Antelope Bailey Split BA'!$C$7:$C$29)</f>
        <v>0</v>
      </c>
      <c r="R285" s="258" t="str">
        <f>IF(AND(Q285=1,'Plant Total by Account'!$J$1=2),"EKWRA","")</f>
        <v/>
      </c>
    </row>
    <row r="286" spans="1:18" ht="12.75" customHeight="1" x14ac:dyDescent="0.2">
      <c r="A286" s="249" t="s">
        <v>2623</v>
      </c>
      <c r="B286" s="252" t="s">
        <v>949</v>
      </c>
      <c r="C286" s="252" t="s">
        <v>3353</v>
      </c>
      <c r="D286" s="253">
        <v>4670.97</v>
      </c>
      <c r="E286" s="253">
        <v>0</v>
      </c>
      <c r="F286" s="253">
        <v>0</v>
      </c>
      <c r="G286" s="546">
        <f t="shared" si="24"/>
        <v>4670.97</v>
      </c>
      <c r="H286" s="254">
        <v>0</v>
      </c>
      <c r="I286" s="254">
        <v>0</v>
      </c>
      <c r="J286" s="254">
        <v>0</v>
      </c>
      <c r="K286" s="260">
        <f t="shared" si="20"/>
        <v>4670.97</v>
      </c>
      <c r="L286" s="260">
        <f t="shared" si="21"/>
        <v>0</v>
      </c>
      <c r="M286" s="260">
        <f t="shared" si="22"/>
        <v>0</v>
      </c>
      <c r="N286" s="255">
        <f t="shared" si="26"/>
        <v>0</v>
      </c>
      <c r="O286" s="252" t="s">
        <v>3327</v>
      </c>
      <c r="P286" s="252"/>
      <c r="Q286" s="258">
        <f>SUMIF('Antelope Bailey Split BA'!$B$7:$B$29,B286,'Antelope Bailey Split BA'!$C$7:$C$29)</f>
        <v>0</v>
      </c>
      <c r="R286" s="258" t="str">
        <f>IF(AND(Q286=1,'Plant Total by Account'!$J$1=2),"EKWRA","")</f>
        <v/>
      </c>
    </row>
    <row r="287" spans="1:18" ht="12.75" customHeight="1" x14ac:dyDescent="0.2">
      <c r="A287" s="249" t="s">
        <v>2624</v>
      </c>
      <c r="B287" s="252" t="s">
        <v>957</v>
      </c>
      <c r="C287" s="252" t="s">
        <v>3353</v>
      </c>
      <c r="D287" s="253">
        <v>1188141.7899999998</v>
      </c>
      <c r="E287" s="253">
        <v>0</v>
      </c>
      <c r="F287" s="253">
        <v>0</v>
      </c>
      <c r="G287" s="546">
        <f t="shared" si="24"/>
        <v>1188141.7899999998</v>
      </c>
      <c r="H287" s="254">
        <v>0</v>
      </c>
      <c r="I287" s="254">
        <v>0</v>
      </c>
      <c r="J287" s="254">
        <v>0</v>
      </c>
      <c r="K287" s="260">
        <f t="shared" si="20"/>
        <v>1188141.7899999998</v>
      </c>
      <c r="L287" s="260">
        <f t="shared" si="21"/>
        <v>0</v>
      </c>
      <c r="M287" s="260">
        <f t="shared" si="22"/>
        <v>0</v>
      </c>
      <c r="N287" s="255">
        <f t="shared" si="26"/>
        <v>0</v>
      </c>
      <c r="O287" s="252" t="s">
        <v>3327</v>
      </c>
      <c r="P287" s="252"/>
      <c r="Q287" s="258">
        <f>SUMIF('Antelope Bailey Split BA'!$B$7:$B$29,B287,'Antelope Bailey Split BA'!$C$7:$C$29)</f>
        <v>0</v>
      </c>
      <c r="R287" s="258" t="str">
        <f>IF(AND(Q287=1,'Plant Total by Account'!$J$1=2),"EKWRA","")</f>
        <v/>
      </c>
    </row>
    <row r="288" spans="1:18" ht="12.75" customHeight="1" x14ac:dyDescent="0.2">
      <c r="A288" s="249" t="s">
        <v>2628</v>
      </c>
      <c r="B288" s="252" t="s">
        <v>1260</v>
      </c>
      <c r="C288" s="252" t="s">
        <v>2629</v>
      </c>
      <c r="D288" s="253">
        <v>0</v>
      </c>
      <c r="E288" s="253">
        <v>0</v>
      </c>
      <c r="F288" s="253">
        <v>556935.62000000011</v>
      </c>
      <c r="G288" s="546">
        <f t="shared" si="24"/>
        <v>556935.62000000011</v>
      </c>
      <c r="H288" s="254">
        <v>0</v>
      </c>
      <c r="I288" s="254">
        <v>0</v>
      </c>
      <c r="J288" s="254">
        <v>0</v>
      </c>
      <c r="K288" s="260">
        <f t="shared" si="20"/>
        <v>0</v>
      </c>
      <c r="L288" s="260">
        <f t="shared" si="21"/>
        <v>0</v>
      </c>
      <c r="M288" s="260">
        <f t="shared" si="22"/>
        <v>556935.62000000011</v>
      </c>
      <c r="N288" s="255">
        <f t="shared" si="26"/>
        <v>0</v>
      </c>
      <c r="O288" s="252" t="s">
        <v>3327</v>
      </c>
      <c r="P288" s="252"/>
      <c r="Q288" s="258">
        <f>SUMIF('Antelope Bailey Split BA'!$B$7:$B$29,B288,'Antelope Bailey Split BA'!$C$7:$C$29)</f>
        <v>0</v>
      </c>
      <c r="R288" s="258" t="str">
        <f>IF(AND(Q288=1,'Plant Total by Account'!$J$1=2),"EKWRA","")</f>
        <v/>
      </c>
    </row>
    <row r="289" spans="1:18" ht="12.75" customHeight="1" x14ac:dyDescent="0.2">
      <c r="A289" s="249" t="s">
        <v>2631</v>
      </c>
      <c r="B289" s="252" t="s">
        <v>972</v>
      </c>
      <c r="C289" s="252" t="s">
        <v>2270</v>
      </c>
      <c r="D289" s="253">
        <v>327825.73</v>
      </c>
      <c r="E289" s="253">
        <v>0</v>
      </c>
      <c r="F289" s="253">
        <v>0</v>
      </c>
      <c r="G289" s="546">
        <f t="shared" si="24"/>
        <v>327825.73</v>
      </c>
      <c r="H289" s="254">
        <v>0</v>
      </c>
      <c r="I289" s="254">
        <v>0</v>
      </c>
      <c r="J289" s="254">
        <v>0</v>
      </c>
      <c r="K289" s="260">
        <f t="shared" si="20"/>
        <v>327825.73</v>
      </c>
      <c r="L289" s="260">
        <f t="shared" si="21"/>
        <v>0</v>
      </c>
      <c r="M289" s="260">
        <f t="shared" si="22"/>
        <v>0</v>
      </c>
      <c r="N289" s="255">
        <f t="shared" si="26"/>
        <v>0</v>
      </c>
      <c r="O289" s="252" t="s">
        <v>3327</v>
      </c>
      <c r="P289" s="252"/>
      <c r="Q289" s="258">
        <f>SUMIF('Antelope Bailey Split BA'!$B$7:$B$29,B289,'Antelope Bailey Split BA'!$C$7:$C$29)</f>
        <v>0</v>
      </c>
      <c r="R289" s="258" t="str">
        <f>IF(AND(Q289=1,'Plant Total by Account'!$J$1=2),"EKWRA","")</f>
        <v/>
      </c>
    </row>
    <row r="290" spans="1:18" ht="12.75" customHeight="1" x14ac:dyDescent="0.2">
      <c r="A290" s="249" t="s">
        <v>2632</v>
      </c>
      <c r="B290" s="252" t="s">
        <v>976</v>
      </c>
      <c r="C290" s="252" t="s">
        <v>2629</v>
      </c>
      <c r="D290" s="253">
        <v>631.3900000000001</v>
      </c>
      <c r="E290" s="253">
        <v>0</v>
      </c>
      <c r="F290" s="253">
        <v>0</v>
      </c>
      <c r="G290" s="546">
        <f t="shared" si="24"/>
        <v>631.3900000000001</v>
      </c>
      <c r="H290" s="254">
        <v>0</v>
      </c>
      <c r="I290" s="254">
        <v>0</v>
      </c>
      <c r="J290" s="254">
        <v>0</v>
      </c>
      <c r="K290" s="260">
        <f t="shared" si="20"/>
        <v>631.3900000000001</v>
      </c>
      <c r="L290" s="260">
        <f t="shared" si="21"/>
        <v>0</v>
      </c>
      <c r="M290" s="260">
        <f t="shared" si="22"/>
        <v>0</v>
      </c>
      <c r="N290" s="255">
        <f t="shared" si="26"/>
        <v>0</v>
      </c>
      <c r="O290" s="252" t="s">
        <v>3327</v>
      </c>
      <c r="P290" s="252"/>
      <c r="Q290" s="258">
        <f>SUMIF('Antelope Bailey Split BA'!$B$7:$B$29,B290,'Antelope Bailey Split BA'!$C$7:$C$29)</f>
        <v>0</v>
      </c>
      <c r="R290" s="258" t="str">
        <f>IF(AND(Q290=1,'Plant Total by Account'!$J$1=2),"EKWRA","")</f>
        <v/>
      </c>
    </row>
    <row r="291" spans="1:18" ht="12.75" customHeight="1" x14ac:dyDescent="0.2">
      <c r="A291" s="264" t="s">
        <v>2294</v>
      </c>
      <c r="B291" s="252" t="s">
        <v>1063</v>
      </c>
      <c r="C291" s="252" t="s">
        <v>3353</v>
      </c>
      <c r="D291" s="265">
        <v>0</v>
      </c>
      <c r="E291" s="266">
        <v>4183.66</v>
      </c>
      <c r="F291" s="266">
        <v>354262.18000000011</v>
      </c>
      <c r="G291" s="546">
        <f>SUM(D291:F291)</f>
        <v>358445.84000000008</v>
      </c>
      <c r="H291" s="260">
        <f>IF($R291="EKWRA",SUMIF('Antelope Bailey Split BA'!$B$7:$B$29,$B291,'Antelope Bailey Split BA'!$AE$7:$AE$29),0)</f>
        <v>0</v>
      </c>
      <c r="I291" s="260">
        <f>IF($R291="EKWRA",SUMIF('Antelope Bailey Split BA'!$B$7:$B$29,$B291,'Antelope Bailey Split BA'!$AF$7:$AF$29),0)</f>
        <v>2138.0428429581966</v>
      </c>
      <c r="J291" s="260">
        <f>IF($R291="EKWRA",SUMIF('Antelope Bailey Split BA'!$B$7:$B$29,$B291,'Antelope Bailey Split BA'!$AG$7:$AG$29),0)</f>
        <v>181855.91936040806</v>
      </c>
      <c r="K291" s="260">
        <f>IF(R291="EKWRA",SUMIF('Antelope Bailey Split BA'!$B$7:$B$29,B291,'Antelope Bailey Split BA'!$AH$7:$AH$29)+SUMIF('Antelope Bailey Split BA'!$B$7:$B$29,B291,'Antelope Bailey Split BA'!$AB$7:$AB$29),$D291)</f>
        <v>0</v>
      </c>
      <c r="L291" s="260">
        <f>IF(R291="EKWRA",SUMIF('Antelope Bailey Split BA'!$B$7:$B$29,B291,'Antelope Bailey Split BA'!$AI$7:$AI$29)+SUMIF('Antelope Bailey Split BA'!$B$7:$B$29,B291,'Antelope Bailey Split BA'!$AC$7:$AC$29),$E291)</f>
        <v>2045.6171570418051</v>
      </c>
      <c r="M291" s="260">
        <f>IF(R291="EKWRA",SUMIF('Antelope Bailey Split BA'!$B$7:$B$29,B291,'Antelope Bailey Split BA'!$AJ$7:$AJ$29)+SUMIF('Antelope Bailey Split BA'!$B$7:$B$29,B291,'Antelope Bailey Split BA'!$AD$7:$AD$29),$F291)</f>
        <v>172406.26063959228</v>
      </c>
      <c r="N291" s="255">
        <f t="shared" si="26"/>
        <v>0</v>
      </c>
      <c r="O291" s="252" t="str">
        <f t="shared" ref="O291:O308" si="27">IF(R291="EKWRA","Mix","Non-ISO")</f>
        <v>Mix</v>
      </c>
      <c r="P291" s="257" t="s">
        <v>1478</v>
      </c>
      <c r="Q291" s="258">
        <f>SUMIF('Antelope Bailey Split BA'!$B$7:$B$29,B291,'Antelope Bailey Split BA'!$C$7:$C$29)</f>
        <v>1</v>
      </c>
      <c r="R291" s="258" t="str">
        <f>IF(AND(Q291=1,'Plant Total by Account'!$J$1=2),"EKWRA","")</f>
        <v>EKWRA</v>
      </c>
    </row>
    <row r="292" spans="1:18" ht="12.75" customHeight="1" x14ac:dyDescent="0.2">
      <c r="A292" s="249" t="s">
        <v>2440</v>
      </c>
      <c r="B292" s="252" t="s">
        <v>404</v>
      </c>
      <c r="C292" s="252" t="s">
        <v>3353</v>
      </c>
      <c r="D292" s="253">
        <v>0</v>
      </c>
      <c r="E292" s="253">
        <v>0</v>
      </c>
      <c r="F292" s="253">
        <v>50024.65</v>
      </c>
      <c r="G292" s="546">
        <f t="shared" si="24"/>
        <v>50024.65</v>
      </c>
      <c r="H292" s="260">
        <f>IF($R292="EKWRA",SUMIF('Antelope Bailey Split BA'!$B$7:$B$29,$B292,'Antelope Bailey Split BA'!$AE$7:$AE$29),0)</f>
        <v>0</v>
      </c>
      <c r="I292" s="260">
        <f>IF($R292="EKWRA",SUMIF('Antelope Bailey Split BA'!$B$7:$B$29,$B292,'Antelope Bailey Split BA'!$AF$7:$AF$29),0)</f>
        <v>0</v>
      </c>
      <c r="J292" s="260">
        <f>IF($R292="EKWRA",SUMIF('Antelope Bailey Split BA'!$B$7:$B$29,$B292,'Antelope Bailey Split BA'!$AG$7:$AG$29),0)</f>
        <v>50024.649999999994</v>
      </c>
      <c r="K292" s="260">
        <f>IF(R292="EKWRA",SUMIF('Antelope Bailey Split BA'!$B$7:$B$29,B292,'Antelope Bailey Split BA'!$AH$7:$AH$29)+SUMIF('Antelope Bailey Split BA'!$B$7:$B$29,B292,'Antelope Bailey Split BA'!$AB$7:$AB$29),$D292)</f>
        <v>0</v>
      </c>
      <c r="L292" s="260">
        <f>IF(R292="EKWRA",SUMIF('Antelope Bailey Split BA'!$B$7:$B$29,B292,'Antelope Bailey Split BA'!$AI$7:$AI$29)+SUMIF('Antelope Bailey Split BA'!$B$7:$B$29,B292,'Antelope Bailey Split BA'!$AC$7:$AC$29),$E292)</f>
        <v>0</v>
      </c>
      <c r="M292" s="260">
        <f>IF(R292="EKWRA",SUMIF('Antelope Bailey Split BA'!$B$7:$B$29,B292,'Antelope Bailey Split BA'!$AJ$7:$AJ$29)+SUMIF('Antelope Bailey Split BA'!$B$7:$B$29,B292,'Antelope Bailey Split BA'!$AD$7:$AD$29),$F292)</f>
        <v>0</v>
      </c>
      <c r="N292" s="255">
        <f t="shared" ref="N292:N314" si="28">G292-SUM(H292:M292)</f>
        <v>0</v>
      </c>
      <c r="O292" s="252" t="str">
        <f t="shared" si="27"/>
        <v>Mix</v>
      </c>
      <c r="P292" s="267" t="s">
        <v>1478</v>
      </c>
      <c r="Q292" s="258">
        <f>SUMIF('Antelope Bailey Split BA'!$B$7:$B$29,B292,'Antelope Bailey Split BA'!$C$7:$C$29)</f>
        <v>1</v>
      </c>
      <c r="R292" s="258" t="str">
        <f>IF(AND(Q292=1,'Plant Total by Account'!$J$1=2),"EKWRA","")</f>
        <v>EKWRA</v>
      </c>
    </row>
    <row r="293" spans="1:18" ht="12.75" customHeight="1" x14ac:dyDescent="0.2">
      <c r="A293" s="249" t="s">
        <v>2441</v>
      </c>
      <c r="B293" s="252" t="s">
        <v>405</v>
      </c>
      <c r="C293" s="252" t="s">
        <v>3353</v>
      </c>
      <c r="D293" s="253">
        <v>0</v>
      </c>
      <c r="E293" s="253">
        <v>0</v>
      </c>
      <c r="F293" s="253">
        <v>1245448.76</v>
      </c>
      <c r="G293" s="546">
        <f t="shared" si="24"/>
        <v>1245448.76</v>
      </c>
      <c r="H293" s="260">
        <f>IF($R293="EKWRA",SUMIF('Antelope Bailey Split BA'!$B$7:$B$29,$B293,'Antelope Bailey Split BA'!$AE$7:$AE$29),0)</f>
        <v>0</v>
      </c>
      <c r="I293" s="260">
        <f>IF($R293="EKWRA",SUMIF('Antelope Bailey Split BA'!$B$7:$B$29,$B293,'Antelope Bailey Split BA'!$AF$7:$AF$29),0)</f>
        <v>0</v>
      </c>
      <c r="J293" s="260">
        <f>IF($R293="EKWRA",SUMIF('Antelope Bailey Split BA'!$B$7:$B$29,$B293,'Antelope Bailey Split BA'!$AG$7:$AG$29),0)</f>
        <v>1142050.1482824141</v>
      </c>
      <c r="K293" s="260">
        <f>IF(R293="EKWRA",SUMIF('Antelope Bailey Split BA'!$B$7:$B$29,B293,'Antelope Bailey Split BA'!$AH$7:$AH$29)+SUMIF('Antelope Bailey Split BA'!$B$7:$B$29,B293,'Antelope Bailey Split BA'!$AB$7:$AB$29),$D293)</f>
        <v>0</v>
      </c>
      <c r="L293" s="260">
        <f>IF(R293="EKWRA",SUMIF('Antelope Bailey Split BA'!$B$7:$B$29,B293,'Antelope Bailey Split BA'!$AI$7:$AI$29)+SUMIF('Antelope Bailey Split BA'!$B$7:$B$29,B293,'Antelope Bailey Split BA'!$AC$7:$AC$29),$E293)</f>
        <v>0</v>
      </c>
      <c r="M293" s="260">
        <f>IF(R293="EKWRA",SUMIF('Antelope Bailey Split BA'!$B$7:$B$29,B293,'Antelope Bailey Split BA'!$AJ$7:$AJ$29)+SUMIF('Antelope Bailey Split BA'!$B$7:$B$29,B293,'Antelope Bailey Split BA'!$AD$7:$AD$29),$F293)</f>
        <v>103398.61171758593</v>
      </c>
      <c r="N293" s="255">
        <f t="shared" si="28"/>
        <v>0</v>
      </c>
      <c r="O293" s="252" t="str">
        <f t="shared" si="27"/>
        <v>Mix</v>
      </c>
      <c r="P293" s="267" t="s">
        <v>1478</v>
      </c>
      <c r="Q293" s="258">
        <f>SUMIF('Antelope Bailey Split BA'!$B$7:$B$29,B293,'Antelope Bailey Split BA'!$C$7:$C$29)</f>
        <v>1</v>
      </c>
      <c r="R293" s="258" t="str">
        <f>IF(AND(Q293=1,'Plant Total by Account'!$J$1=2),"EKWRA","")</f>
        <v>EKWRA</v>
      </c>
    </row>
    <row r="294" spans="1:18" ht="12.75" customHeight="1" x14ac:dyDescent="0.2">
      <c r="A294" s="249" t="s">
        <v>2442</v>
      </c>
      <c r="B294" s="252" t="s">
        <v>410</v>
      </c>
      <c r="C294" s="252" t="s">
        <v>3353</v>
      </c>
      <c r="D294" s="253">
        <v>24167.43</v>
      </c>
      <c r="E294" s="253">
        <v>0</v>
      </c>
      <c r="F294" s="253">
        <v>0</v>
      </c>
      <c r="G294" s="546">
        <f t="shared" si="24"/>
        <v>24167.43</v>
      </c>
      <c r="H294" s="260">
        <f>IF($R294="EKWRA",SUMIF('Antelope Bailey Split BA'!$B$7:$B$29,$B294,'Antelope Bailey Split BA'!$AE$7:$AE$29),0)</f>
        <v>3768.4967583776702</v>
      </c>
      <c r="I294" s="260">
        <f>IF($R294="EKWRA",SUMIF('Antelope Bailey Split BA'!$B$7:$B$29,$B294,'Antelope Bailey Split BA'!$AF$7:$AF$29),0)</f>
        <v>0</v>
      </c>
      <c r="J294" s="260">
        <f>IF($R294="EKWRA",SUMIF('Antelope Bailey Split BA'!$B$7:$B$29,$B294,'Antelope Bailey Split BA'!$AG$7:$AG$29),0)</f>
        <v>0</v>
      </c>
      <c r="K294" s="260">
        <f>IF(R294="EKWRA",SUMIF('Antelope Bailey Split BA'!$B$7:$B$29,B294,'Antelope Bailey Split BA'!$AH$7:$AH$29)+SUMIF('Antelope Bailey Split BA'!$B$7:$B$29,B294,'Antelope Bailey Split BA'!$AB$7:$AB$29),$D294)</f>
        <v>20398.93324162233</v>
      </c>
      <c r="L294" s="260">
        <f>IF(R294="EKWRA",SUMIF('Antelope Bailey Split BA'!$B$7:$B$29,B294,'Antelope Bailey Split BA'!$AI$7:$AI$29)+SUMIF('Antelope Bailey Split BA'!$B$7:$B$29,B294,'Antelope Bailey Split BA'!$AC$7:$AC$29),$E294)</f>
        <v>0</v>
      </c>
      <c r="M294" s="260">
        <f>IF(R294="EKWRA",SUMIF('Antelope Bailey Split BA'!$B$7:$B$29,B294,'Antelope Bailey Split BA'!$AJ$7:$AJ$29)+SUMIF('Antelope Bailey Split BA'!$B$7:$B$29,B294,'Antelope Bailey Split BA'!$AD$7:$AD$29),$F294)</f>
        <v>0</v>
      </c>
      <c r="N294" s="255">
        <f>G294-SUM(H294:M294)</f>
        <v>0</v>
      </c>
      <c r="O294" s="252" t="str">
        <f t="shared" si="27"/>
        <v>Mix</v>
      </c>
      <c r="P294" s="252" t="s">
        <v>1478</v>
      </c>
      <c r="Q294" s="258">
        <f>SUMIF('Antelope Bailey Split BA'!$B$7:$B$29,B294,'Antelope Bailey Split BA'!$C$7:$C$29)</f>
        <v>1</v>
      </c>
      <c r="R294" s="258" t="str">
        <f>IF(AND(Q294=1,'Plant Total by Account'!$J$1=2),"EKWRA","")</f>
        <v>EKWRA</v>
      </c>
    </row>
    <row r="295" spans="1:18" ht="12.75" customHeight="1" x14ac:dyDescent="0.2">
      <c r="A295" s="249" t="s">
        <v>2444</v>
      </c>
      <c r="B295" s="252" t="s">
        <v>444</v>
      </c>
      <c r="C295" s="252" t="s">
        <v>3353</v>
      </c>
      <c r="D295" s="253">
        <v>0</v>
      </c>
      <c r="E295" s="253">
        <v>0</v>
      </c>
      <c r="F295" s="253">
        <v>416587.12000000011</v>
      </c>
      <c r="G295" s="546">
        <f t="shared" si="24"/>
        <v>416587.12000000011</v>
      </c>
      <c r="H295" s="260">
        <f>IF($R295="EKWRA",SUMIF('Antelope Bailey Split BA'!$B$7:$B$29,$B295,'Antelope Bailey Split BA'!$AE$7:$AE$29),0)</f>
        <v>0</v>
      </c>
      <c r="I295" s="260">
        <f>IF($R295="EKWRA",SUMIF('Antelope Bailey Split BA'!$B$7:$B$29,$B295,'Antelope Bailey Split BA'!$AF$7:$AF$29),0)</f>
        <v>0</v>
      </c>
      <c r="J295" s="260">
        <f>IF($R295="EKWRA",SUMIF('Antelope Bailey Split BA'!$B$7:$B$29,$B295,'Antelope Bailey Split BA'!$AG$7:$AG$29),0)</f>
        <v>392255.99567102059</v>
      </c>
      <c r="K295" s="260">
        <f>IF(R295="EKWRA",SUMIF('Antelope Bailey Split BA'!$B$7:$B$29,B295,'Antelope Bailey Split BA'!$AH$7:$AH$29)+SUMIF('Antelope Bailey Split BA'!$B$7:$B$29,B295,'Antelope Bailey Split BA'!$AB$7:$AB$29),$D295)</f>
        <v>0</v>
      </c>
      <c r="L295" s="260">
        <f>IF(R295="EKWRA",SUMIF('Antelope Bailey Split BA'!$B$7:$B$29,B295,'Antelope Bailey Split BA'!$AI$7:$AI$29)+SUMIF('Antelope Bailey Split BA'!$B$7:$B$29,B295,'Antelope Bailey Split BA'!$AC$7:$AC$29),$E295)</f>
        <v>0</v>
      </c>
      <c r="M295" s="260">
        <f>IF(R295="EKWRA",SUMIF('Antelope Bailey Split BA'!$B$7:$B$29,B295,'Antelope Bailey Split BA'!$AJ$7:$AJ$29)+SUMIF('Antelope Bailey Split BA'!$B$7:$B$29,B295,'Antelope Bailey Split BA'!$AD$7:$AD$29),$F295)</f>
        <v>24331.124328979393</v>
      </c>
      <c r="N295" s="255">
        <f t="shared" si="28"/>
        <v>0</v>
      </c>
      <c r="O295" s="252" t="str">
        <f t="shared" si="27"/>
        <v>Mix</v>
      </c>
      <c r="P295" s="267" t="s">
        <v>1478</v>
      </c>
      <c r="Q295" s="258">
        <f>SUMIF('Antelope Bailey Split BA'!$B$7:$B$29,B295,'Antelope Bailey Split BA'!$C$7:$C$29)</f>
        <v>1</v>
      </c>
      <c r="R295" s="258" t="str">
        <f>IF(AND(Q295=1,'Plant Total by Account'!$J$1=2),"EKWRA","")</f>
        <v>EKWRA</v>
      </c>
    </row>
    <row r="296" spans="1:18" ht="12.75" customHeight="1" x14ac:dyDescent="0.2">
      <c r="A296" s="249" t="s">
        <v>2446</v>
      </c>
      <c r="B296" s="252" t="s">
        <v>453</v>
      </c>
      <c r="C296" s="252" t="s">
        <v>3353</v>
      </c>
      <c r="D296" s="253">
        <v>0</v>
      </c>
      <c r="E296" s="253">
        <v>0</v>
      </c>
      <c r="F296" s="253">
        <v>485767.81</v>
      </c>
      <c r="G296" s="546">
        <f t="shared" si="24"/>
        <v>485767.81</v>
      </c>
      <c r="H296" s="260">
        <f>IF($R296="EKWRA",SUMIF('Antelope Bailey Split BA'!$B$7:$B$29,$B296,'Antelope Bailey Split BA'!$AE$7:$AE$29),0)</f>
        <v>0</v>
      </c>
      <c r="I296" s="260">
        <f>IF($R296="EKWRA",SUMIF('Antelope Bailey Split BA'!$B$7:$B$29,$B296,'Antelope Bailey Split BA'!$AF$7:$AF$29),0)</f>
        <v>0</v>
      </c>
      <c r="J296" s="260">
        <f>IF($R296="EKWRA",SUMIF('Antelope Bailey Split BA'!$B$7:$B$29,$B296,'Antelope Bailey Split BA'!$AG$7:$AG$29),0)</f>
        <v>472673.53</v>
      </c>
      <c r="K296" s="260">
        <f>IF(R296="EKWRA",SUMIF('Antelope Bailey Split BA'!$B$7:$B$29,B296,'Antelope Bailey Split BA'!$AH$7:$AH$29)+SUMIF('Antelope Bailey Split BA'!$B$7:$B$29,B296,'Antelope Bailey Split BA'!$AB$7:$AB$29),$D296)</f>
        <v>0</v>
      </c>
      <c r="L296" s="260">
        <f>IF(R296="EKWRA",SUMIF('Antelope Bailey Split BA'!$B$7:$B$29,B296,'Antelope Bailey Split BA'!$AI$7:$AI$29)+SUMIF('Antelope Bailey Split BA'!$B$7:$B$29,B296,'Antelope Bailey Split BA'!$AC$7:$AC$29),$E296)</f>
        <v>0</v>
      </c>
      <c r="M296" s="260">
        <f>IF(R296="EKWRA",SUMIF('Antelope Bailey Split BA'!$B$7:$B$29,B296,'Antelope Bailey Split BA'!$AJ$7:$AJ$29)+SUMIF('Antelope Bailey Split BA'!$B$7:$B$29,B296,'Antelope Bailey Split BA'!$AD$7:$AD$29),$F296)</f>
        <v>13094.28</v>
      </c>
      <c r="N296" s="255">
        <f t="shared" si="28"/>
        <v>0</v>
      </c>
      <c r="O296" s="252" t="str">
        <f t="shared" si="27"/>
        <v>Mix</v>
      </c>
      <c r="P296" s="267" t="s">
        <v>1478</v>
      </c>
      <c r="Q296" s="258">
        <f>SUMIF('Antelope Bailey Split BA'!$B$7:$B$29,B296,'Antelope Bailey Split BA'!$C$7:$C$29)</f>
        <v>1</v>
      </c>
      <c r="R296" s="258" t="str">
        <f>IF(AND(Q296=1,'Plant Total by Account'!$J$1=2),"EKWRA","")</f>
        <v>EKWRA</v>
      </c>
    </row>
    <row r="297" spans="1:18" ht="12.75" customHeight="1" x14ac:dyDescent="0.2">
      <c r="A297" s="249" t="s">
        <v>2447</v>
      </c>
      <c r="B297" s="252" t="s">
        <v>455</v>
      </c>
      <c r="C297" s="252" t="s">
        <v>3353</v>
      </c>
      <c r="D297" s="253">
        <v>0</v>
      </c>
      <c r="E297" s="253">
        <v>0</v>
      </c>
      <c r="F297" s="253">
        <v>1071715.4799999993</v>
      </c>
      <c r="G297" s="546">
        <f t="shared" ref="G297:G360" si="29">SUM(D297:F297)</f>
        <v>1071715.4799999993</v>
      </c>
      <c r="H297" s="260">
        <f>IF($R297="EKWRA",SUMIF('Antelope Bailey Split BA'!$B$7:$B$29,$B297,'Antelope Bailey Split BA'!$AE$7:$AE$29),0)</f>
        <v>0</v>
      </c>
      <c r="I297" s="260">
        <f>IF($R297="EKWRA",SUMIF('Antelope Bailey Split BA'!$B$7:$B$29,$B297,'Antelope Bailey Split BA'!$AF$7:$AF$29),0)</f>
        <v>0</v>
      </c>
      <c r="J297" s="260">
        <f>IF($R297="EKWRA",SUMIF('Antelope Bailey Split BA'!$B$7:$B$29,$B297,'Antelope Bailey Split BA'!$AG$7:$AG$29),0)</f>
        <v>1039386.3903554471</v>
      </c>
      <c r="K297" s="260">
        <f>IF(R297="EKWRA",SUMIF('Antelope Bailey Split BA'!$B$7:$B$29,B297,'Antelope Bailey Split BA'!$AH$7:$AH$29)+SUMIF('Antelope Bailey Split BA'!$B$7:$B$29,B297,'Antelope Bailey Split BA'!$AB$7:$AB$29),$D297)</f>
        <v>0</v>
      </c>
      <c r="L297" s="260">
        <f>IF(R297="EKWRA",SUMIF('Antelope Bailey Split BA'!$B$7:$B$29,B297,'Antelope Bailey Split BA'!$AI$7:$AI$29)+SUMIF('Antelope Bailey Split BA'!$B$7:$B$29,B297,'Antelope Bailey Split BA'!$AC$7:$AC$29),$E297)</f>
        <v>0</v>
      </c>
      <c r="M297" s="260">
        <f>IF(R297="EKWRA",SUMIF('Antelope Bailey Split BA'!$B$7:$B$29,B297,'Antelope Bailey Split BA'!$AJ$7:$AJ$29)+SUMIF('Antelope Bailey Split BA'!$B$7:$B$29,B297,'Antelope Bailey Split BA'!$AD$7:$AD$29),$F297)</f>
        <v>32329.089644553038</v>
      </c>
      <c r="N297" s="255">
        <f t="shared" si="28"/>
        <v>0</v>
      </c>
      <c r="O297" s="252" t="str">
        <f t="shared" si="27"/>
        <v>Mix</v>
      </c>
      <c r="P297" s="267" t="s">
        <v>1478</v>
      </c>
      <c r="Q297" s="258">
        <f>SUMIF('Antelope Bailey Split BA'!$B$7:$B$29,B297,'Antelope Bailey Split BA'!$C$7:$C$29)</f>
        <v>1</v>
      </c>
      <c r="R297" s="258" t="str">
        <f>IF(AND(Q297=1,'Plant Total by Account'!$J$1=2),"EKWRA","")</f>
        <v>EKWRA</v>
      </c>
    </row>
    <row r="298" spans="1:18" ht="12.75" customHeight="1" x14ac:dyDescent="0.2">
      <c r="A298" s="249" t="s">
        <v>2448</v>
      </c>
      <c r="B298" s="252" t="s">
        <v>459</v>
      </c>
      <c r="C298" s="252" t="s">
        <v>3353</v>
      </c>
      <c r="D298" s="253">
        <v>0</v>
      </c>
      <c r="E298" s="253">
        <v>0</v>
      </c>
      <c r="F298" s="253">
        <v>1176404.3500000001</v>
      </c>
      <c r="G298" s="546">
        <f t="shared" si="29"/>
        <v>1176404.3500000001</v>
      </c>
      <c r="H298" s="260">
        <f>IF($R298="EKWRA",SUMIF('Antelope Bailey Split BA'!$B$7:$B$29,$B298,'Antelope Bailey Split BA'!$AE$7:$AE$29),0)</f>
        <v>0</v>
      </c>
      <c r="I298" s="260">
        <f>IF($R298="EKWRA",SUMIF('Antelope Bailey Split BA'!$B$7:$B$29,$B298,'Antelope Bailey Split BA'!$AF$7:$AF$29),0)</f>
        <v>0</v>
      </c>
      <c r="J298" s="260">
        <f>IF($R298="EKWRA",SUMIF('Antelope Bailey Split BA'!$B$7:$B$29,$B298,'Antelope Bailey Split BA'!$AG$7:$AG$29),0)</f>
        <v>379880.82524216734</v>
      </c>
      <c r="K298" s="260">
        <f>IF(R298="EKWRA",SUMIF('Antelope Bailey Split BA'!$B$7:$B$29,B298,'Antelope Bailey Split BA'!$AH$7:$AH$29)+SUMIF('Antelope Bailey Split BA'!$B$7:$B$29,B298,'Antelope Bailey Split BA'!$AB$7:$AB$29),$D298)</f>
        <v>0</v>
      </c>
      <c r="L298" s="260">
        <f>IF(R298="EKWRA",SUMIF('Antelope Bailey Split BA'!$B$7:$B$29,B298,'Antelope Bailey Split BA'!$AI$7:$AI$29)+SUMIF('Antelope Bailey Split BA'!$B$7:$B$29,B298,'Antelope Bailey Split BA'!$AC$7:$AC$29),$E298)</f>
        <v>0</v>
      </c>
      <c r="M298" s="260">
        <f>IF(R298="EKWRA",SUMIF('Antelope Bailey Split BA'!$B$7:$B$29,B298,'Antelope Bailey Split BA'!$AJ$7:$AJ$29)+SUMIF('Antelope Bailey Split BA'!$B$7:$B$29,B298,'Antelope Bailey Split BA'!$AD$7:$AD$29),$F298)</f>
        <v>796523.52475783275</v>
      </c>
      <c r="N298" s="255">
        <f t="shared" si="28"/>
        <v>0</v>
      </c>
      <c r="O298" s="252" t="str">
        <f t="shared" si="27"/>
        <v>Mix</v>
      </c>
      <c r="P298" s="267" t="s">
        <v>1478</v>
      </c>
      <c r="Q298" s="258">
        <f>SUMIF('Antelope Bailey Split BA'!$B$7:$B$29,B298,'Antelope Bailey Split BA'!$C$7:$C$29)</f>
        <v>1</v>
      </c>
      <c r="R298" s="258" t="str">
        <f>IF(AND(Q298=1,'Plant Total by Account'!$J$1=2),"EKWRA","")</f>
        <v>EKWRA</v>
      </c>
    </row>
    <row r="299" spans="1:18" ht="12.75" customHeight="1" x14ac:dyDescent="0.2">
      <c r="A299" s="249" t="s">
        <v>2449</v>
      </c>
      <c r="B299" s="252" t="s">
        <v>463</v>
      </c>
      <c r="C299" s="252" t="s">
        <v>3353</v>
      </c>
      <c r="D299" s="253">
        <v>0</v>
      </c>
      <c r="E299" s="253">
        <v>0</v>
      </c>
      <c r="F299" s="253">
        <v>1018975.8400000002</v>
      </c>
      <c r="G299" s="546">
        <f t="shared" si="29"/>
        <v>1018975.8400000002</v>
      </c>
      <c r="H299" s="260">
        <f>IF($R299="EKWRA",SUMIF('Antelope Bailey Split BA'!$B$7:$B$29,$B299,'Antelope Bailey Split BA'!$AE$7:$AE$29),0)</f>
        <v>0</v>
      </c>
      <c r="I299" s="260">
        <f>IF($R299="EKWRA",SUMIF('Antelope Bailey Split BA'!$B$7:$B$29,$B299,'Antelope Bailey Split BA'!$AF$7:$AF$29),0)</f>
        <v>0</v>
      </c>
      <c r="J299" s="260">
        <f>IF($R299="EKWRA",SUMIF('Antelope Bailey Split BA'!$B$7:$B$29,$B299,'Antelope Bailey Split BA'!$AG$7:$AG$29),0)</f>
        <v>798317.91000000015</v>
      </c>
      <c r="K299" s="260">
        <f>IF(R299="EKWRA",SUMIF('Antelope Bailey Split BA'!$B$7:$B$29,B299,'Antelope Bailey Split BA'!$AH$7:$AH$29)+SUMIF('Antelope Bailey Split BA'!$B$7:$B$29,B299,'Antelope Bailey Split BA'!$AB$7:$AB$29),$D299)</f>
        <v>0</v>
      </c>
      <c r="L299" s="260">
        <f>IF(R299="EKWRA",SUMIF('Antelope Bailey Split BA'!$B$7:$B$29,B299,'Antelope Bailey Split BA'!$AI$7:$AI$29)+SUMIF('Antelope Bailey Split BA'!$B$7:$B$29,B299,'Antelope Bailey Split BA'!$AC$7:$AC$29),$E299)</f>
        <v>0</v>
      </c>
      <c r="M299" s="260">
        <f>IF(R299="EKWRA",SUMIF('Antelope Bailey Split BA'!$B$7:$B$29,B299,'Antelope Bailey Split BA'!$AJ$7:$AJ$29)+SUMIF('Antelope Bailey Split BA'!$B$7:$B$29,B299,'Antelope Bailey Split BA'!$AD$7:$AD$29),$F299)</f>
        <v>220657.93</v>
      </c>
      <c r="N299" s="255">
        <f t="shared" si="28"/>
        <v>0</v>
      </c>
      <c r="O299" s="252" t="str">
        <f t="shared" si="27"/>
        <v>Mix</v>
      </c>
      <c r="P299" s="267" t="s">
        <v>1478</v>
      </c>
      <c r="Q299" s="258">
        <f>SUMIF('Antelope Bailey Split BA'!$B$7:$B$29,B299,'Antelope Bailey Split BA'!$C$7:$C$29)</f>
        <v>1</v>
      </c>
      <c r="R299" s="258" t="str">
        <f>IF(AND(Q299=1,'Plant Total by Account'!$J$1=2),"EKWRA","")</f>
        <v>EKWRA</v>
      </c>
    </row>
    <row r="300" spans="1:18" ht="12.75" customHeight="1" x14ac:dyDescent="0.2">
      <c r="A300" s="249" t="s">
        <v>2450</v>
      </c>
      <c r="B300" s="252" t="s">
        <v>471</v>
      </c>
      <c r="C300" s="252" t="s">
        <v>3353</v>
      </c>
      <c r="D300" s="253">
        <v>0</v>
      </c>
      <c r="E300" s="253">
        <v>0</v>
      </c>
      <c r="F300" s="253">
        <v>276827.8</v>
      </c>
      <c r="G300" s="546">
        <f t="shared" si="29"/>
        <v>276827.8</v>
      </c>
      <c r="H300" s="260">
        <f>IF($R300="EKWRA",SUMIF('Antelope Bailey Split BA'!$B$7:$B$29,$B300,'Antelope Bailey Split BA'!$AE$7:$AE$29),0)</f>
        <v>0</v>
      </c>
      <c r="I300" s="260">
        <f>IF($R300="EKWRA",SUMIF('Antelope Bailey Split BA'!$B$7:$B$29,$B300,'Antelope Bailey Split BA'!$AF$7:$AF$29),0)</f>
        <v>0</v>
      </c>
      <c r="J300" s="260">
        <f>IF($R300="EKWRA",SUMIF('Antelope Bailey Split BA'!$B$7:$B$29,$B300,'Antelope Bailey Split BA'!$AG$7:$AG$29),0)</f>
        <v>276510.14732640772</v>
      </c>
      <c r="K300" s="260">
        <f>IF(R300="EKWRA",SUMIF('Antelope Bailey Split BA'!$B$7:$B$29,B300,'Antelope Bailey Split BA'!$AH$7:$AH$29)+SUMIF('Antelope Bailey Split BA'!$B$7:$B$29,B300,'Antelope Bailey Split BA'!$AB$7:$AB$29),$D300)</f>
        <v>0</v>
      </c>
      <c r="L300" s="260">
        <f>IF(R300="EKWRA",SUMIF('Antelope Bailey Split BA'!$B$7:$B$29,B300,'Antelope Bailey Split BA'!$AI$7:$AI$29)+SUMIF('Antelope Bailey Split BA'!$B$7:$B$29,B300,'Antelope Bailey Split BA'!$AC$7:$AC$29),$E300)</f>
        <v>0</v>
      </c>
      <c r="M300" s="260">
        <f>IF(R300="EKWRA",SUMIF('Antelope Bailey Split BA'!$B$7:$B$29,B300,'Antelope Bailey Split BA'!$AJ$7:$AJ$29)+SUMIF('Antelope Bailey Split BA'!$B$7:$B$29,B300,'Antelope Bailey Split BA'!$AD$7:$AD$29),$F300)</f>
        <v>317.65267359228733</v>
      </c>
      <c r="N300" s="255">
        <f t="shared" si="28"/>
        <v>0</v>
      </c>
      <c r="O300" s="252" t="str">
        <f t="shared" si="27"/>
        <v>Mix</v>
      </c>
      <c r="P300" s="267" t="s">
        <v>1478</v>
      </c>
      <c r="Q300" s="258">
        <f>SUMIF('Antelope Bailey Split BA'!$B$7:$B$29,B300,'Antelope Bailey Split BA'!$C$7:$C$29)</f>
        <v>1</v>
      </c>
      <c r="R300" s="258" t="str">
        <f>IF(AND(Q300=1,'Plant Total by Account'!$J$1=2),"EKWRA","")</f>
        <v>EKWRA</v>
      </c>
    </row>
    <row r="301" spans="1:18" ht="12.75" customHeight="1" x14ac:dyDescent="0.2">
      <c r="A301" s="249" t="s">
        <v>2451</v>
      </c>
      <c r="B301" s="252" t="s">
        <v>479</v>
      </c>
      <c r="C301" s="252" t="s">
        <v>3353</v>
      </c>
      <c r="D301" s="253">
        <v>0</v>
      </c>
      <c r="E301" s="253">
        <v>0</v>
      </c>
      <c r="F301" s="253">
        <v>560191.65000000014</v>
      </c>
      <c r="G301" s="546">
        <f t="shared" si="29"/>
        <v>560191.65000000014</v>
      </c>
      <c r="H301" s="260">
        <f>IF($R301="EKWRA",SUMIF('Antelope Bailey Split BA'!$B$7:$B$29,$B301,'Antelope Bailey Split BA'!$AE$7:$AE$29),0)</f>
        <v>0</v>
      </c>
      <c r="I301" s="260">
        <f>IF($R301="EKWRA",SUMIF('Antelope Bailey Split BA'!$B$7:$B$29,$B301,'Antelope Bailey Split BA'!$AF$7:$AF$29),0)</f>
        <v>0</v>
      </c>
      <c r="J301" s="260">
        <f>IF($R301="EKWRA",SUMIF('Antelope Bailey Split BA'!$B$7:$B$29,$B301,'Antelope Bailey Split BA'!$AG$7:$AG$29),0)</f>
        <v>560191.65</v>
      </c>
      <c r="K301" s="260">
        <f>IF(R301="EKWRA",SUMIF('Antelope Bailey Split BA'!$B$7:$B$29,B301,'Antelope Bailey Split BA'!$AH$7:$AH$29)+SUMIF('Antelope Bailey Split BA'!$B$7:$B$29,B301,'Antelope Bailey Split BA'!$AB$7:$AB$29),$D301)</f>
        <v>0</v>
      </c>
      <c r="L301" s="260">
        <f>IF(R301="EKWRA",SUMIF('Antelope Bailey Split BA'!$B$7:$B$29,B301,'Antelope Bailey Split BA'!$AI$7:$AI$29)+SUMIF('Antelope Bailey Split BA'!$B$7:$B$29,B301,'Antelope Bailey Split BA'!$AC$7:$AC$29),$E301)</f>
        <v>0</v>
      </c>
      <c r="M301" s="260">
        <f>IF(R301="EKWRA",SUMIF('Antelope Bailey Split BA'!$B$7:$B$29,B301,'Antelope Bailey Split BA'!$AJ$7:$AJ$29)+SUMIF('Antelope Bailey Split BA'!$B$7:$B$29,B301,'Antelope Bailey Split BA'!$AD$7:$AD$29),$F301)</f>
        <v>0</v>
      </c>
      <c r="N301" s="255">
        <f t="shared" si="28"/>
        <v>0</v>
      </c>
      <c r="O301" s="252" t="str">
        <f t="shared" si="27"/>
        <v>Mix</v>
      </c>
      <c r="P301" s="267" t="s">
        <v>1478</v>
      </c>
      <c r="Q301" s="258">
        <f>SUMIF('Antelope Bailey Split BA'!$B$7:$B$29,B301,'Antelope Bailey Split BA'!$C$7:$C$29)</f>
        <v>1</v>
      </c>
      <c r="R301" s="258" t="str">
        <f>IF(AND(Q301=1,'Plant Total by Account'!$J$1=2),"EKWRA","")</f>
        <v>EKWRA</v>
      </c>
    </row>
    <row r="302" spans="1:18" ht="12.75" customHeight="1" x14ac:dyDescent="0.2">
      <c r="A302" s="249" t="s">
        <v>2452</v>
      </c>
      <c r="B302" s="252" t="s">
        <v>483</v>
      </c>
      <c r="C302" s="252" t="s">
        <v>3353</v>
      </c>
      <c r="D302" s="253">
        <v>0</v>
      </c>
      <c r="E302" s="253">
        <v>0</v>
      </c>
      <c r="F302" s="253">
        <v>140208.6</v>
      </c>
      <c r="G302" s="546">
        <f t="shared" si="29"/>
        <v>140208.6</v>
      </c>
      <c r="H302" s="260">
        <f>IF($R302="EKWRA",SUMIF('Antelope Bailey Split BA'!$B$7:$B$29,$B302,'Antelope Bailey Split BA'!$AE$7:$AE$29),0)</f>
        <v>0</v>
      </c>
      <c r="I302" s="260">
        <f>IF($R302="EKWRA",SUMIF('Antelope Bailey Split BA'!$B$7:$B$29,$B302,'Antelope Bailey Split BA'!$AF$7:$AF$29),0)</f>
        <v>0</v>
      </c>
      <c r="J302" s="260">
        <f>IF($R302="EKWRA",SUMIF('Antelope Bailey Split BA'!$B$7:$B$29,$B302,'Antelope Bailey Split BA'!$AG$7:$AG$29),0)</f>
        <v>140208.59999999998</v>
      </c>
      <c r="K302" s="260">
        <f>IF(R302="EKWRA",SUMIF('Antelope Bailey Split BA'!$B$7:$B$29,B302,'Antelope Bailey Split BA'!$AH$7:$AH$29)+SUMIF('Antelope Bailey Split BA'!$B$7:$B$29,B302,'Antelope Bailey Split BA'!$AB$7:$AB$29),$D302)</f>
        <v>0</v>
      </c>
      <c r="L302" s="260">
        <f>IF(R302="EKWRA",SUMIF('Antelope Bailey Split BA'!$B$7:$B$29,B302,'Antelope Bailey Split BA'!$AI$7:$AI$29)+SUMIF('Antelope Bailey Split BA'!$B$7:$B$29,B302,'Antelope Bailey Split BA'!$AC$7:$AC$29),$E302)</f>
        <v>0</v>
      </c>
      <c r="M302" s="260">
        <f>IF(R302="EKWRA",SUMIF('Antelope Bailey Split BA'!$B$7:$B$29,B302,'Antelope Bailey Split BA'!$AJ$7:$AJ$29)+SUMIF('Antelope Bailey Split BA'!$B$7:$B$29,B302,'Antelope Bailey Split BA'!$AD$7:$AD$29),$F302)</f>
        <v>0</v>
      </c>
      <c r="N302" s="255">
        <f t="shared" si="28"/>
        <v>0</v>
      </c>
      <c r="O302" s="252" t="str">
        <f t="shared" si="27"/>
        <v>Mix</v>
      </c>
      <c r="P302" s="267" t="s">
        <v>1478</v>
      </c>
      <c r="Q302" s="258">
        <f>SUMIF('Antelope Bailey Split BA'!$B$7:$B$29,B302,'Antelope Bailey Split BA'!$C$7:$C$29)</f>
        <v>1</v>
      </c>
      <c r="R302" s="258" t="str">
        <f>IF(AND(Q302=1,'Plant Total by Account'!$J$1=2),"EKWRA","")</f>
        <v>EKWRA</v>
      </c>
    </row>
    <row r="303" spans="1:18" ht="12.75" customHeight="1" x14ac:dyDescent="0.2">
      <c r="A303" s="249" t="s">
        <v>2454</v>
      </c>
      <c r="B303" s="252" t="s">
        <v>486</v>
      </c>
      <c r="C303" s="252" t="s">
        <v>3353</v>
      </c>
      <c r="D303" s="253">
        <v>0</v>
      </c>
      <c r="E303" s="253">
        <v>0</v>
      </c>
      <c r="F303" s="253">
        <v>618665.22</v>
      </c>
      <c r="G303" s="546">
        <f t="shared" si="29"/>
        <v>618665.22</v>
      </c>
      <c r="H303" s="260">
        <f>IF($R303="EKWRA",SUMIF('Antelope Bailey Split BA'!$B$7:$B$29,$B303,'Antelope Bailey Split BA'!$AE$7:$AE$29),0)</f>
        <v>0</v>
      </c>
      <c r="I303" s="260">
        <f>IF($R303="EKWRA",SUMIF('Antelope Bailey Split BA'!$B$7:$B$29,$B303,'Antelope Bailey Split BA'!$AF$7:$AF$29),0)</f>
        <v>0</v>
      </c>
      <c r="J303" s="260">
        <f>IF($R303="EKWRA",SUMIF('Antelope Bailey Split BA'!$B$7:$B$29,$B303,'Antelope Bailey Split BA'!$AG$7:$AG$29),0)</f>
        <v>395907.39046852052</v>
      </c>
      <c r="K303" s="260">
        <f>IF(R303="EKWRA",SUMIF('Antelope Bailey Split BA'!$B$7:$B$29,B303,'Antelope Bailey Split BA'!$AH$7:$AH$29)+SUMIF('Antelope Bailey Split BA'!$B$7:$B$29,B303,'Antelope Bailey Split BA'!$AB$7:$AB$29),$D303)</f>
        <v>0</v>
      </c>
      <c r="L303" s="260">
        <f>IF(R303="EKWRA",SUMIF('Antelope Bailey Split BA'!$B$7:$B$29,B303,'Antelope Bailey Split BA'!$AI$7:$AI$29)+SUMIF('Antelope Bailey Split BA'!$B$7:$B$29,B303,'Antelope Bailey Split BA'!$AC$7:$AC$29),$E303)</f>
        <v>0</v>
      </c>
      <c r="M303" s="260">
        <f>IF(R303="EKWRA",SUMIF('Antelope Bailey Split BA'!$B$7:$B$29,B303,'Antelope Bailey Split BA'!$AJ$7:$AJ$29)+SUMIF('Antelope Bailey Split BA'!$B$7:$B$29,B303,'Antelope Bailey Split BA'!$AD$7:$AD$29),$F303)</f>
        <v>222757.82953147951</v>
      </c>
      <c r="N303" s="255">
        <f t="shared" si="28"/>
        <v>0</v>
      </c>
      <c r="O303" s="252" t="str">
        <f t="shared" si="27"/>
        <v>Mix</v>
      </c>
      <c r="P303" s="267" t="s">
        <v>1478</v>
      </c>
      <c r="Q303" s="258">
        <f>SUMIF('Antelope Bailey Split BA'!$B$7:$B$29,B303,'Antelope Bailey Split BA'!$C$7:$C$29)</f>
        <v>1</v>
      </c>
      <c r="R303" s="258" t="str">
        <f>IF(AND(Q303=1,'Plant Total by Account'!$J$1=2),"EKWRA","")</f>
        <v>EKWRA</v>
      </c>
    </row>
    <row r="304" spans="1:18" ht="12.75" customHeight="1" x14ac:dyDescent="0.2">
      <c r="A304" s="249" t="s">
        <v>2455</v>
      </c>
      <c r="B304" s="252" t="s">
        <v>491</v>
      </c>
      <c r="C304" s="252" t="s">
        <v>3353</v>
      </c>
      <c r="D304" s="253">
        <v>0</v>
      </c>
      <c r="E304" s="253">
        <v>4528.7300000000005</v>
      </c>
      <c r="F304" s="253">
        <v>231734.50000000003</v>
      </c>
      <c r="G304" s="546">
        <f t="shared" si="29"/>
        <v>236263.23000000004</v>
      </c>
      <c r="H304" s="260">
        <f>IF($R304="EKWRA",SUMIF('Antelope Bailey Split BA'!$B$7:$B$29,$B304,'Antelope Bailey Split BA'!$AE$7:$AE$29),0)</f>
        <v>0</v>
      </c>
      <c r="I304" s="260">
        <f>IF($R304="EKWRA",SUMIF('Antelope Bailey Split BA'!$B$7:$B$29,$B304,'Antelope Bailey Split BA'!$AF$7:$AF$29),0)</f>
        <v>2432.6344688971785</v>
      </c>
      <c r="J304" s="260">
        <f>IF($R304="EKWRA",SUMIF('Antelope Bailey Split BA'!$B$7:$B$29,$B304,'Antelope Bailey Split BA'!$AG$7:$AG$29),0)</f>
        <v>231734.5</v>
      </c>
      <c r="K304" s="260">
        <f>IF(R304="EKWRA",SUMIF('Antelope Bailey Split BA'!$B$7:$B$29,B304,'Antelope Bailey Split BA'!$AH$7:$AH$29)+SUMIF('Antelope Bailey Split BA'!$B$7:$B$29,B304,'Antelope Bailey Split BA'!$AB$7:$AB$29),$D304)</f>
        <v>0</v>
      </c>
      <c r="L304" s="260">
        <f>IF(R304="EKWRA",SUMIF('Antelope Bailey Split BA'!$B$7:$B$29,B304,'Antelope Bailey Split BA'!$AI$7:$AI$29)+SUMIF('Antelope Bailey Split BA'!$B$7:$B$29,B304,'Antelope Bailey Split BA'!$AC$7:$AC$29),$E304)</f>
        <v>2096.095531102821</v>
      </c>
      <c r="M304" s="260">
        <f>IF(R304="EKWRA",SUMIF('Antelope Bailey Split BA'!$B$7:$B$29,B304,'Antelope Bailey Split BA'!$AJ$7:$AJ$29)+SUMIF('Antelope Bailey Split BA'!$B$7:$B$29,B304,'Antelope Bailey Split BA'!$AD$7:$AD$29),$F304)</f>
        <v>0</v>
      </c>
      <c r="N304" s="255">
        <f t="shared" si="28"/>
        <v>0</v>
      </c>
      <c r="O304" s="252" t="str">
        <f t="shared" si="27"/>
        <v>Mix</v>
      </c>
      <c r="P304" s="267" t="s">
        <v>1478</v>
      </c>
      <c r="Q304" s="258">
        <f>SUMIF('Antelope Bailey Split BA'!$B$7:$B$29,B304,'Antelope Bailey Split BA'!$C$7:$C$29)</f>
        <v>1</v>
      </c>
      <c r="R304" s="258" t="str">
        <f>IF(AND(Q304=1,'Plant Total by Account'!$J$1=2),"EKWRA","")</f>
        <v>EKWRA</v>
      </c>
    </row>
    <row r="305" spans="1:18" ht="12.75" customHeight="1" x14ac:dyDescent="0.2">
      <c r="A305" s="249" t="s">
        <v>2458</v>
      </c>
      <c r="B305" s="252" t="s">
        <v>500</v>
      </c>
      <c r="C305" s="252" t="s">
        <v>3353</v>
      </c>
      <c r="D305" s="253">
        <v>0</v>
      </c>
      <c r="E305" s="253">
        <v>0</v>
      </c>
      <c r="F305" s="253">
        <v>713949.48</v>
      </c>
      <c r="G305" s="546">
        <f t="shared" si="29"/>
        <v>713949.48</v>
      </c>
      <c r="H305" s="260">
        <f>IF($R305="EKWRA",SUMIF('Antelope Bailey Split BA'!$B$7:$B$29,$B305,'Antelope Bailey Split BA'!$AE$7:$AE$29),0)</f>
        <v>0</v>
      </c>
      <c r="I305" s="260">
        <f>IF($R305="EKWRA",SUMIF('Antelope Bailey Split BA'!$B$7:$B$29,$B305,'Antelope Bailey Split BA'!$AF$7:$AF$29),0)</f>
        <v>0</v>
      </c>
      <c r="J305" s="260">
        <f>IF($R305="EKWRA",SUMIF('Antelope Bailey Split BA'!$B$7:$B$29,$B305,'Antelope Bailey Split BA'!$AG$7:$AG$29),0)</f>
        <v>688370.26042784587</v>
      </c>
      <c r="K305" s="260">
        <f>IF(R305="EKWRA",SUMIF('Antelope Bailey Split BA'!$B$7:$B$29,B305,'Antelope Bailey Split BA'!$AH$7:$AH$29)+SUMIF('Antelope Bailey Split BA'!$B$7:$B$29,B305,'Antelope Bailey Split BA'!$AB$7:$AB$29),$D305)</f>
        <v>0</v>
      </c>
      <c r="L305" s="260">
        <f>IF(R305="EKWRA",SUMIF('Antelope Bailey Split BA'!$B$7:$B$29,B305,'Antelope Bailey Split BA'!$AI$7:$AI$29)+SUMIF('Antelope Bailey Split BA'!$B$7:$B$29,B305,'Antelope Bailey Split BA'!$AC$7:$AC$29),$E305)</f>
        <v>0</v>
      </c>
      <c r="M305" s="260">
        <f>IF(R305="EKWRA",SUMIF('Antelope Bailey Split BA'!$B$7:$B$29,B305,'Antelope Bailey Split BA'!$AJ$7:$AJ$29)+SUMIF('Antelope Bailey Split BA'!$B$7:$B$29,B305,'Antelope Bailey Split BA'!$AD$7:$AD$29),$F305)</f>
        <v>25579.21957215423</v>
      </c>
      <c r="N305" s="255">
        <f t="shared" si="28"/>
        <v>0</v>
      </c>
      <c r="O305" s="252" t="str">
        <f t="shared" si="27"/>
        <v>Mix</v>
      </c>
      <c r="P305" s="267" t="s">
        <v>1478</v>
      </c>
      <c r="Q305" s="258">
        <f>SUMIF('Antelope Bailey Split BA'!$B$7:$B$29,B305,'Antelope Bailey Split BA'!$C$7:$C$29)</f>
        <v>1</v>
      </c>
      <c r="R305" s="258" t="str">
        <f>IF(AND(Q305=1,'Plant Total by Account'!$J$1=2),"EKWRA","")</f>
        <v>EKWRA</v>
      </c>
    </row>
    <row r="306" spans="1:18" ht="12.75" customHeight="1" x14ac:dyDescent="0.2">
      <c r="A306" s="249" t="s">
        <v>2459</v>
      </c>
      <c r="B306" s="252" t="s">
        <v>502</v>
      </c>
      <c r="C306" s="252" t="s">
        <v>3353</v>
      </c>
      <c r="D306" s="253">
        <v>0</v>
      </c>
      <c r="E306" s="253">
        <v>0</v>
      </c>
      <c r="F306" s="253">
        <v>189904.62</v>
      </c>
      <c r="G306" s="546">
        <f>SUM(D306:F306)</f>
        <v>189904.62</v>
      </c>
      <c r="H306" s="254">
        <f>IF($R306="EKWRA",SUMIF('Antelope Bailey Split BA'!$B$7:$B$29,$B306,'Antelope Bailey Split BA'!AE$7:AE$29),0)</f>
        <v>0</v>
      </c>
      <c r="I306" s="254">
        <f>IF($R306="EKWRA",SUMIF('Antelope Bailey Split BA'!$B$7:$B$29,$B306,'Antelope Bailey Split BA'!AF$7:AF$29),0)</f>
        <v>0</v>
      </c>
      <c r="J306" s="254">
        <f>IF($R306="EKWRA",SUMIF('Antelope Bailey Split BA'!$B$7:$B$29,$B306,'Antelope Bailey Split BA'!AG$7:AG$29),0)</f>
        <v>189904.62</v>
      </c>
      <c r="K306" s="254">
        <f>IF($R306="EKWRA",SUMIF('Antelope Bailey Split BA'!$B$7:$B$29,$B306,'Antelope Bailey Split BA'!AH$7:AH$29),D306)</f>
        <v>0</v>
      </c>
      <c r="L306" s="254">
        <f>IF($R306="EKWRA",SUMIF('Antelope Bailey Split BA'!$B$7:$B$29,$B306,'Antelope Bailey Split BA'!AI$7:AI$29),E306)</f>
        <v>0</v>
      </c>
      <c r="M306" s="254">
        <f>IF($R306="EKWRA",SUMIF('Antelope Bailey Split BA'!$B$7:$B$29,$B306,'Antelope Bailey Split BA'!AJ$7:AJ$29),F306)</f>
        <v>0</v>
      </c>
      <c r="N306" s="255">
        <f>G306-SUM(H306:M306)</f>
        <v>0</v>
      </c>
      <c r="O306" s="252" t="str">
        <f t="shared" si="27"/>
        <v>Mix</v>
      </c>
      <c r="P306" s="252" t="s">
        <v>1478</v>
      </c>
      <c r="Q306" s="258">
        <f>SUMIF('Antelope Bailey Split BA'!$B$7:$B$29,B306,'Antelope Bailey Split BA'!$C$7:$C$29)</f>
        <v>1</v>
      </c>
      <c r="R306" s="258" t="str">
        <f>IF(AND(Q306=1,'Plant Total by Account'!$J$1=2),"EKWRA","")</f>
        <v>EKWRA</v>
      </c>
    </row>
    <row r="307" spans="1:18" ht="12.75" customHeight="1" x14ac:dyDescent="0.2">
      <c r="A307" s="249" t="s">
        <v>2460</v>
      </c>
      <c r="B307" s="252" t="s">
        <v>547</v>
      </c>
      <c r="C307" s="252" t="s">
        <v>3353</v>
      </c>
      <c r="D307" s="253">
        <v>0</v>
      </c>
      <c r="E307" s="253">
        <v>0</v>
      </c>
      <c r="F307" s="253">
        <v>488671.30999999994</v>
      </c>
      <c r="G307" s="546">
        <f t="shared" si="29"/>
        <v>488671.30999999994</v>
      </c>
      <c r="H307" s="260">
        <f>IF($R307="EKWRA",SUMIF('Antelope Bailey Split BA'!$B$7:$B$29,$B307,'Antelope Bailey Split BA'!$AE$7:$AE$29),0)</f>
        <v>0</v>
      </c>
      <c r="I307" s="260">
        <f>IF($R307="EKWRA",SUMIF('Antelope Bailey Split BA'!$B$7:$B$29,$B307,'Antelope Bailey Split BA'!$AF$7:$AF$29),0)</f>
        <v>0</v>
      </c>
      <c r="J307" s="260">
        <f>IF($R307="EKWRA",SUMIF('Antelope Bailey Split BA'!$B$7:$B$29,$B307,'Antelope Bailey Split BA'!$AG$7:$AG$29),0)</f>
        <v>346134.01</v>
      </c>
      <c r="K307" s="260">
        <f>IF(R307="EKWRA",SUMIF('Antelope Bailey Split BA'!$B$7:$B$29,B307,'Antelope Bailey Split BA'!$AH$7:$AH$29)+SUMIF('Antelope Bailey Split BA'!$B$7:$B$29,B307,'Antelope Bailey Split BA'!$AB$7:$AB$29),$D307)</f>
        <v>0</v>
      </c>
      <c r="L307" s="260">
        <f>IF(R307="EKWRA",SUMIF('Antelope Bailey Split BA'!$B$7:$B$29,B307,'Antelope Bailey Split BA'!$AI$7:$AI$29)+SUMIF('Antelope Bailey Split BA'!$B$7:$B$29,B307,'Antelope Bailey Split BA'!$AC$7:$AC$29),$E307)</f>
        <v>0</v>
      </c>
      <c r="M307" s="260">
        <f>IF(R307="EKWRA",SUMIF('Antelope Bailey Split BA'!$B$7:$B$29,B307,'Antelope Bailey Split BA'!$AJ$7:$AJ$29)+SUMIF('Antelope Bailey Split BA'!$B$7:$B$29,B307,'Antelope Bailey Split BA'!$AD$7:$AD$29),$F307)</f>
        <v>142537.30000000002</v>
      </c>
      <c r="N307" s="255">
        <f t="shared" si="28"/>
        <v>0</v>
      </c>
      <c r="O307" s="252" t="str">
        <f t="shared" si="27"/>
        <v>Mix</v>
      </c>
      <c r="P307" s="267" t="s">
        <v>1478</v>
      </c>
      <c r="Q307" s="258">
        <f>SUMIF('Antelope Bailey Split BA'!$B$7:$B$29,B307,'Antelope Bailey Split BA'!$C$7:$C$29)</f>
        <v>1</v>
      </c>
      <c r="R307" s="258" t="str">
        <f>IF(AND(Q307=1,'Plant Total by Account'!$J$1=2),"EKWRA","")</f>
        <v>EKWRA</v>
      </c>
    </row>
    <row r="308" spans="1:18" ht="12.75" customHeight="1" x14ac:dyDescent="0.2">
      <c r="A308" s="249" t="s">
        <v>2621</v>
      </c>
      <c r="B308" s="252" t="s">
        <v>1256</v>
      </c>
      <c r="C308" s="252" t="s">
        <v>3353</v>
      </c>
      <c r="D308" s="253">
        <v>942423.45000000007</v>
      </c>
      <c r="E308" s="253">
        <v>0</v>
      </c>
      <c r="F308" s="253">
        <v>0</v>
      </c>
      <c r="G308" s="546">
        <f>SUM(D308:F308)</f>
        <v>942423.45000000007</v>
      </c>
      <c r="H308" s="260">
        <f>IF($R308="EKWRA",SUMIF('Antelope Bailey Split BA'!$B$7:$B$29,$B308,'Antelope Bailey Split BA'!$AE$7:$AE$29),0)</f>
        <v>351410.00063079083</v>
      </c>
      <c r="I308" s="260">
        <f>IF($R308="EKWRA",SUMIF('Antelope Bailey Split BA'!$B$7:$B$29,$B308,'Antelope Bailey Split BA'!$AF$7:$AF$29),0)</f>
        <v>0</v>
      </c>
      <c r="J308" s="260">
        <f>IF($R308="EKWRA",SUMIF('Antelope Bailey Split BA'!$B$7:$B$29,$B308,'Antelope Bailey Split BA'!$AG$7:$AG$29),0)</f>
        <v>0</v>
      </c>
      <c r="K308" s="260">
        <f>IF(R308="EKWRA",SUMIF('Antelope Bailey Split BA'!$B$7:$B$29,B308,'Antelope Bailey Split BA'!$AH$7:$AH$29)+SUMIF('Antelope Bailey Split BA'!$B$7:$B$29,B308,'Antelope Bailey Split BA'!$AB$7:$AB$29),$D308)</f>
        <v>591013.44936920935</v>
      </c>
      <c r="L308" s="260">
        <f>IF(R308="EKWRA",SUMIF('Antelope Bailey Split BA'!$B$7:$B$29,B308,'Antelope Bailey Split BA'!$AI$7:$AI$29)+SUMIF('Antelope Bailey Split BA'!$B$7:$B$29,B308,'Antelope Bailey Split BA'!$AC$7:$AC$29),$E308)</f>
        <v>0</v>
      </c>
      <c r="M308" s="260">
        <f>IF(R308="EKWRA",SUMIF('Antelope Bailey Split BA'!$B$7:$B$29,B308,'Antelope Bailey Split BA'!$AJ$7:$AJ$29)+SUMIF('Antelope Bailey Split BA'!$B$7:$B$29,B308,'Antelope Bailey Split BA'!$AD$7:$AD$29),$F308)</f>
        <v>0</v>
      </c>
      <c r="N308" s="255">
        <f>G308-SUM(H308:M308)</f>
        <v>0</v>
      </c>
      <c r="O308" s="252" t="str">
        <f t="shared" si="27"/>
        <v>Mix</v>
      </c>
      <c r="P308" s="252" t="s">
        <v>1478</v>
      </c>
      <c r="Q308" s="258">
        <f>SUMIF('Antelope Bailey Split BA'!$B$7:$B$29,B308,'Antelope Bailey Split BA'!$C$7:$C$29)</f>
        <v>1</v>
      </c>
      <c r="R308" s="258" t="str">
        <f>IF(AND(Q308=1,'Plant Total by Account'!$J$1=2),"EKWRA","")</f>
        <v>EKWRA</v>
      </c>
    </row>
    <row r="309" spans="1:18" ht="12.75" customHeight="1" x14ac:dyDescent="0.2">
      <c r="A309" s="249" t="s">
        <v>2281</v>
      </c>
      <c r="B309" s="252" t="s">
        <v>123</v>
      </c>
      <c r="C309" s="252" t="s">
        <v>3350</v>
      </c>
      <c r="D309" s="253">
        <v>0</v>
      </c>
      <c r="E309" s="253">
        <v>77314.240000000005</v>
      </c>
      <c r="F309" s="253">
        <v>8074041.1800000006</v>
      </c>
      <c r="G309" s="546">
        <f t="shared" si="29"/>
        <v>8151355.4200000009</v>
      </c>
      <c r="H309" s="254">
        <f>SUMIF('Mix Substation Location Summary'!$B$4:$B$107,B309,'Mix Substation Location Summary'!$C$4:$C$107)</f>
        <v>0</v>
      </c>
      <c r="I309" s="254">
        <f>SUMIF('Mix Substation Location Summary'!$B$4:$B$107,B309,'Mix Substation Location Summary'!$G$4:$G$107)</f>
        <v>36940.325605496066</v>
      </c>
      <c r="J309" s="254">
        <f>SUMIF('Mix Substation Location Summary'!$B$4:$B$107,B309,'Mix Substation Location Summary'!$K$4:$K$107)</f>
        <v>3849583.5535414973</v>
      </c>
      <c r="K309" s="254">
        <f>SUMIF('Mix Substation Location Summary'!$B$4:$B$107,B309,'Mix Substation Location Summary'!$D$4:$D$107)+SUMIF('Mix Substation Location Summary'!$B$4:$B$107,B309,'Mix Substation Location Summary'!$E$4:$E$107)</f>
        <v>0</v>
      </c>
      <c r="L309" s="254">
        <f>SUMIF('Mix Substation Location Summary'!$B$4:$B$107,B309,'Mix Substation Location Summary'!$H$4:$H$107)+SUMIF('Mix Substation Location Summary'!$B$4:$B$107,B309,'Mix Substation Location Summary'!$I$4:$I$107)</f>
        <v>40373.914394503925</v>
      </c>
      <c r="M309" s="254">
        <f>SUMIF('Mix Substation Location Summary'!$B$4:$B$107,B309,'Mix Substation Location Summary'!$L$4:$L$107)+SUMIF('Mix Substation Location Summary'!$B$4:$B$107,B309,'Mix Substation Location Summary'!$M$4:$M$107)</f>
        <v>4224457.6264585024</v>
      </c>
      <c r="N309" s="255">
        <f t="shared" si="28"/>
        <v>0</v>
      </c>
      <c r="O309" s="252" t="s">
        <v>1483</v>
      </c>
      <c r="P309" s="252" t="s">
        <v>1477</v>
      </c>
      <c r="Q309" s="258">
        <f>SUMIF('Antelope Bailey Split BA'!$B$7:$B$29,B309,'Antelope Bailey Split BA'!$C$7:$C$29)</f>
        <v>0</v>
      </c>
      <c r="R309" s="258" t="str">
        <f>IF(AND(Q309=1,'Plant Total by Account'!$J$1=2),"EKWRA","")</f>
        <v/>
      </c>
    </row>
    <row r="310" spans="1:18" ht="12.75" customHeight="1" x14ac:dyDescent="0.2">
      <c r="A310" s="249" t="s">
        <v>2282</v>
      </c>
      <c r="B310" s="252" t="s">
        <v>1054</v>
      </c>
      <c r="C310" s="252" t="s">
        <v>3350</v>
      </c>
      <c r="D310" s="253">
        <v>0</v>
      </c>
      <c r="E310" s="253">
        <v>0</v>
      </c>
      <c r="F310" s="253">
        <v>1516245.82</v>
      </c>
      <c r="G310" s="546">
        <f t="shared" si="29"/>
        <v>1516245.82</v>
      </c>
      <c r="H310" s="254">
        <f>SUMIF('Mix Substation Location Summary'!$B$4:$B$107,B310,'Mix Substation Location Summary'!$C$4:$C$107)</f>
        <v>0</v>
      </c>
      <c r="I310" s="254">
        <f>SUMIF('Mix Substation Location Summary'!$B$4:$B$107,B310,'Mix Substation Location Summary'!$G$4:$G$107)</f>
        <v>0</v>
      </c>
      <c r="J310" s="254">
        <f>SUMIF('Mix Substation Location Summary'!$B$4:$B$107,B310,'Mix Substation Location Summary'!$K$4:$K$107)</f>
        <v>1516245.82</v>
      </c>
      <c r="K310" s="254">
        <f>SUMIF('Mix Substation Location Summary'!$B$4:$B$107,B310,'Mix Substation Location Summary'!$D$4:$D$107)+SUMIF('Mix Substation Location Summary'!$B$4:$B$107,B310,'Mix Substation Location Summary'!$E$4:$E$107)</f>
        <v>0</v>
      </c>
      <c r="L310" s="254">
        <f>SUMIF('Mix Substation Location Summary'!$B$4:$B$107,B310,'Mix Substation Location Summary'!$H$4:$H$107)+SUMIF('Mix Substation Location Summary'!$B$4:$B$107,B310,'Mix Substation Location Summary'!$I$4:$I$107)</f>
        <v>0</v>
      </c>
      <c r="M310" s="254">
        <f>SUMIF('Mix Substation Location Summary'!$B$4:$B$107,B310,'Mix Substation Location Summary'!$L$4:$L$107)+SUMIF('Mix Substation Location Summary'!$B$4:$B$107,B310,'Mix Substation Location Summary'!$M$4:$M$107)</f>
        <v>0</v>
      </c>
      <c r="N310" s="255">
        <f t="shared" si="28"/>
        <v>0</v>
      </c>
      <c r="O310" s="252" t="s">
        <v>1483</v>
      </c>
      <c r="P310" s="252" t="s">
        <v>1477</v>
      </c>
      <c r="Q310" s="258">
        <f>SUMIF('Antelope Bailey Split BA'!$B$7:$B$29,B310,'Antelope Bailey Split BA'!$C$7:$C$29)</f>
        <v>0</v>
      </c>
      <c r="R310" s="258" t="str">
        <f>IF(AND(Q310=1,'Plant Total by Account'!$J$1=2),"EKWRA","")</f>
        <v/>
      </c>
    </row>
    <row r="311" spans="1:18" ht="12.75" customHeight="1" x14ac:dyDescent="0.2">
      <c r="A311" s="249" t="s">
        <v>2283</v>
      </c>
      <c r="B311" s="252" t="s">
        <v>144</v>
      </c>
      <c r="C311" s="252" t="s">
        <v>3350</v>
      </c>
      <c r="D311" s="253">
        <v>0</v>
      </c>
      <c r="E311" s="253">
        <v>282649.01</v>
      </c>
      <c r="F311" s="253">
        <v>2338172.7599999998</v>
      </c>
      <c r="G311" s="546">
        <f t="shared" si="29"/>
        <v>2620821.7699999996</v>
      </c>
      <c r="H311" s="254">
        <f>SUMIF('Mix Substation Location Summary'!$B$4:$B$107,B311,'Mix Substation Location Summary'!$C$4:$C$107)</f>
        <v>0</v>
      </c>
      <c r="I311" s="254">
        <f>SUMIF('Mix Substation Location Summary'!$B$4:$B$107,B311,'Mix Substation Location Summary'!$G$4:$G$107)</f>
        <v>228150.8818188523</v>
      </c>
      <c r="J311" s="254">
        <f>SUMIF('Mix Substation Location Summary'!$B$4:$B$107,B311,'Mix Substation Location Summary'!$K$4:$K$107)</f>
        <v>1885178.8101346751</v>
      </c>
      <c r="K311" s="254">
        <f>SUMIF('Mix Substation Location Summary'!$B$4:$B$107,B311,'Mix Substation Location Summary'!$D$4:$D$107)+SUMIF('Mix Substation Location Summary'!$B$4:$B$107,B311,'Mix Substation Location Summary'!$E$4:$E$107)</f>
        <v>0</v>
      </c>
      <c r="L311" s="254">
        <f>SUMIF('Mix Substation Location Summary'!$B$4:$B$107,B311,'Mix Substation Location Summary'!$H$4:$H$107)+SUMIF('Mix Substation Location Summary'!$B$4:$B$107,B311,'Mix Substation Location Summary'!$I$4:$I$107)</f>
        <v>54498.128181147746</v>
      </c>
      <c r="M311" s="254">
        <f>SUMIF('Mix Substation Location Summary'!$B$4:$B$107,B311,'Mix Substation Location Summary'!$L$4:$L$107)+SUMIF('Mix Substation Location Summary'!$B$4:$B$107,B311,'Mix Substation Location Summary'!$M$4:$M$107)</f>
        <v>452993.94986532495</v>
      </c>
      <c r="N311" s="255">
        <f t="shared" si="28"/>
        <v>0</v>
      </c>
      <c r="O311" s="252" t="s">
        <v>1483</v>
      </c>
      <c r="P311" s="252" t="s">
        <v>1477</v>
      </c>
      <c r="Q311" s="258">
        <f>SUMIF('Antelope Bailey Split BA'!$B$7:$B$29,B311,'Antelope Bailey Split BA'!$C$7:$C$29)</f>
        <v>0</v>
      </c>
      <c r="R311" s="258" t="str">
        <f>IF(AND(Q311=1,'Plant Total by Account'!$J$1=2),"EKWRA","")</f>
        <v/>
      </c>
    </row>
    <row r="312" spans="1:18" ht="12.75" customHeight="1" x14ac:dyDescent="0.2">
      <c r="A312" s="249" t="s">
        <v>2284</v>
      </c>
      <c r="B312" s="252" t="s">
        <v>145</v>
      </c>
      <c r="C312" s="252" t="s">
        <v>3350</v>
      </c>
      <c r="D312" s="253">
        <v>0</v>
      </c>
      <c r="E312" s="253">
        <v>584235.03</v>
      </c>
      <c r="F312" s="253">
        <v>11741535.189999998</v>
      </c>
      <c r="G312" s="546">
        <f t="shared" si="29"/>
        <v>12325770.219999997</v>
      </c>
      <c r="H312" s="254">
        <f>SUMIF('Mix Substation Location Summary'!$B$4:$B$107,B312,'Mix Substation Location Summary'!$C$4:$C$107)</f>
        <v>0</v>
      </c>
      <c r="I312" s="254">
        <f>SUMIF('Mix Substation Location Summary'!$B$4:$B$107,B312,'Mix Substation Location Summary'!$G$4:$G$107)</f>
        <v>578154.11693012703</v>
      </c>
      <c r="J312" s="254">
        <f>SUMIF('Mix Substation Location Summary'!$B$4:$B$107,B312,'Mix Substation Location Summary'!$K$4:$K$107)</f>
        <v>10298078.488259617</v>
      </c>
      <c r="K312" s="254">
        <f>SUMIF('Mix Substation Location Summary'!$B$4:$B$107,B312,'Mix Substation Location Summary'!$D$4:$D$107)+SUMIF('Mix Substation Location Summary'!$B$4:$B$107,B312,'Mix Substation Location Summary'!$E$4:$E$107)</f>
        <v>0</v>
      </c>
      <c r="L312" s="254">
        <f>SUMIF('Mix Substation Location Summary'!$B$4:$B$107,B312,'Mix Substation Location Summary'!$H$4:$H$107)+SUMIF('Mix Substation Location Summary'!$B$4:$B$107,B312,'Mix Substation Location Summary'!$I$4:$I$107)</f>
        <v>6080.9130698729732</v>
      </c>
      <c r="M312" s="254">
        <f>SUMIF('Mix Substation Location Summary'!$B$4:$B$107,B312,'Mix Substation Location Summary'!$L$4:$L$107)+SUMIF('Mix Substation Location Summary'!$B$4:$B$107,B312,'Mix Substation Location Summary'!$M$4:$M$107)</f>
        <v>1443456.7017403843</v>
      </c>
      <c r="N312" s="255">
        <f t="shared" si="28"/>
        <v>0</v>
      </c>
      <c r="O312" s="252" t="s">
        <v>1483</v>
      </c>
      <c r="P312" s="252" t="s">
        <v>1477</v>
      </c>
      <c r="Q312" s="258">
        <f>SUMIF('Antelope Bailey Split BA'!$B$7:$B$29,B312,'Antelope Bailey Split BA'!$C$7:$C$29)</f>
        <v>0</v>
      </c>
      <c r="R312" s="258" t="str">
        <f>IF(AND(Q312=1,'Plant Total by Account'!$J$1=2),"EKWRA","")</f>
        <v/>
      </c>
    </row>
    <row r="313" spans="1:18" ht="12.75" customHeight="1" x14ac:dyDescent="0.2">
      <c r="A313" s="249" t="s">
        <v>2285</v>
      </c>
      <c r="B313" s="252" t="s">
        <v>146</v>
      </c>
      <c r="C313" s="252" t="s">
        <v>3350</v>
      </c>
      <c r="D313" s="253">
        <v>0</v>
      </c>
      <c r="E313" s="253">
        <v>0</v>
      </c>
      <c r="F313" s="253">
        <v>1031433.8299999998</v>
      </c>
      <c r="G313" s="546">
        <f t="shared" si="29"/>
        <v>1031433.8299999998</v>
      </c>
      <c r="H313" s="254">
        <f>SUMIF('Mix Substation Location Summary'!$B$4:$B$107,B313,'Mix Substation Location Summary'!$C$4:$C$107)</f>
        <v>0</v>
      </c>
      <c r="I313" s="254">
        <f>SUMIF('Mix Substation Location Summary'!$B$4:$B$107,B313,'Mix Substation Location Summary'!$G$4:$G$107)</f>
        <v>0</v>
      </c>
      <c r="J313" s="254">
        <f>SUMIF('Mix Substation Location Summary'!$B$4:$B$107,B313,'Mix Substation Location Summary'!$K$4:$K$107)</f>
        <v>1031433.8299999998</v>
      </c>
      <c r="K313" s="254">
        <f>SUMIF('Mix Substation Location Summary'!$B$4:$B$107,B313,'Mix Substation Location Summary'!$D$4:$D$107)+SUMIF('Mix Substation Location Summary'!$B$4:$B$107,B313,'Mix Substation Location Summary'!$E$4:$E$107)</f>
        <v>0</v>
      </c>
      <c r="L313" s="254">
        <f>SUMIF('Mix Substation Location Summary'!$B$4:$B$107,B313,'Mix Substation Location Summary'!$H$4:$H$107)+SUMIF('Mix Substation Location Summary'!$B$4:$B$107,B313,'Mix Substation Location Summary'!$I$4:$I$107)</f>
        <v>0</v>
      </c>
      <c r="M313" s="254">
        <f>SUMIF('Mix Substation Location Summary'!$B$4:$B$107,B313,'Mix Substation Location Summary'!$L$4:$L$107)+SUMIF('Mix Substation Location Summary'!$B$4:$B$107,B313,'Mix Substation Location Summary'!$M$4:$M$107)</f>
        <v>0</v>
      </c>
      <c r="N313" s="255">
        <f t="shared" si="28"/>
        <v>0</v>
      </c>
      <c r="O313" s="252" t="s">
        <v>1483</v>
      </c>
      <c r="P313" s="252" t="s">
        <v>1477</v>
      </c>
      <c r="Q313" s="258">
        <f>SUMIF('Antelope Bailey Split BA'!$B$7:$B$29,B313,'Antelope Bailey Split BA'!$C$7:$C$29)</f>
        <v>0</v>
      </c>
      <c r="R313" s="258" t="str">
        <f>IF(AND(Q313=1,'Plant Total by Account'!$J$1=2),"EKWRA","")</f>
        <v/>
      </c>
    </row>
    <row r="314" spans="1:18" ht="12.75" customHeight="1" x14ac:dyDescent="0.2">
      <c r="A314" s="249" t="s">
        <v>2286</v>
      </c>
      <c r="B314" s="252" t="s">
        <v>1055</v>
      </c>
      <c r="C314" s="252" t="s">
        <v>3350</v>
      </c>
      <c r="D314" s="253">
        <v>0</v>
      </c>
      <c r="E314" s="253">
        <v>0</v>
      </c>
      <c r="F314" s="253">
        <v>2262431.5</v>
      </c>
      <c r="G314" s="546">
        <f t="shared" si="29"/>
        <v>2262431.5</v>
      </c>
      <c r="H314" s="254">
        <f>SUMIF('Mix Substation Location Summary'!$B$4:$B$107,B314,'Mix Substation Location Summary'!$C$4:$C$107)</f>
        <v>0</v>
      </c>
      <c r="I314" s="254">
        <f>SUMIF('Mix Substation Location Summary'!$B$4:$B$107,B314,'Mix Substation Location Summary'!$G$4:$G$107)</f>
        <v>0</v>
      </c>
      <c r="J314" s="254">
        <f>SUMIF('Mix Substation Location Summary'!$B$4:$B$107,B314,'Mix Substation Location Summary'!$K$4:$K$107)</f>
        <v>2262431.5</v>
      </c>
      <c r="K314" s="254">
        <f>SUMIF('Mix Substation Location Summary'!$B$4:$B$107,B314,'Mix Substation Location Summary'!$D$4:$D$107)+SUMIF('Mix Substation Location Summary'!$B$4:$B$107,B314,'Mix Substation Location Summary'!$E$4:$E$107)</f>
        <v>0</v>
      </c>
      <c r="L314" s="254">
        <f>SUMIF('Mix Substation Location Summary'!$B$4:$B$107,B314,'Mix Substation Location Summary'!$H$4:$H$107)+SUMIF('Mix Substation Location Summary'!$B$4:$B$107,B314,'Mix Substation Location Summary'!$I$4:$I$107)</f>
        <v>0</v>
      </c>
      <c r="M314" s="254">
        <f>SUMIF('Mix Substation Location Summary'!$B$4:$B$107,B314,'Mix Substation Location Summary'!$L$4:$L$107)+SUMIF('Mix Substation Location Summary'!$B$4:$B$107,B314,'Mix Substation Location Summary'!$M$4:$M$107)</f>
        <v>0</v>
      </c>
      <c r="N314" s="255">
        <f t="shared" si="28"/>
        <v>0</v>
      </c>
      <c r="O314" s="252" t="s">
        <v>1483</v>
      </c>
      <c r="P314" s="252" t="s">
        <v>1477</v>
      </c>
      <c r="Q314" s="258">
        <f>SUMIF('Antelope Bailey Split BA'!$B$7:$B$29,B314,'Antelope Bailey Split BA'!$C$7:$C$29)</f>
        <v>0</v>
      </c>
      <c r="R314" s="258" t="str">
        <f>IF(AND(Q314=1,'Plant Total by Account'!$J$1=2),"EKWRA","")</f>
        <v/>
      </c>
    </row>
    <row r="315" spans="1:18" ht="12.75" customHeight="1" x14ac:dyDescent="0.2">
      <c r="A315" s="249" t="s">
        <v>2316</v>
      </c>
      <c r="B315" s="252" t="s">
        <v>1080</v>
      </c>
      <c r="C315" s="252" t="s">
        <v>3348</v>
      </c>
      <c r="D315" s="253">
        <v>0</v>
      </c>
      <c r="E315" s="253">
        <v>1481594.25</v>
      </c>
      <c r="F315" s="253">
        <v>14903914.359999999</v>
      </c>
      <c r="G315" s="546">
        <f t="shared" si="29"/>
        <v>16385508.609999999</v>
      </c>
      <c r="H315" s="254">
        <f>SUMIF('Mix Substation Location Summary'!$B$4:$B$107,B315,'Mix Substation Location Summary'!$C$4:$C$107)</f>
        <v>0</v>
      </c>
      <c r="I315" s="254">
        <f>SUMIF('Mix Substation Location Summary'!$B$4:$B$107,B315,'Mix Substation Location Summary'!$G$4:$G$107)</f>
        <v>1227397.2779972635</v>
      </c>
      <c r="J315" s="254">
        <f>SUMIF('Mix Substation Location Summary'!$B$4:$B$107,B315,'Mix Substation Location Summary'!$K$4:$K$107)</f>
        <v>12809999.559285603</v>
      </c>
      <c r="K315" s="254">
        <f>SUMIF('Mix Substation Location Summary'!$B$4:$B$107,B315,'Mix Substation Location Summary'!$D$4:$D$107)+SUMIF('Mix Substation Location Summary'!$B$4:$B$107,B315,'Mix Substation Location Summary'!$E$4:$E$107)</f>
        <v>0</v>
      </c>
      <c r="L315" s="254">
        <f>SUMIF('Mix Substation Location Summary'!$B$4:$B$107,B315,'Mix Substation Location Summary'!$H$4:$H$107)+SUMIF('Mix Substation Location Summary'!$B$4:$B$107,B315,'Mix Substation Location Summary'!$I$4:$I$107)</f>
        <v>254196.97200273647</v>
      </c>
      <c r="M315" s="254">
        <f>SUMIF('Mix Substation Location Summary'!$B$4:$B$107,B315,'Mix Substation Location Summary'!$L$4:$L$107)+SUMIF('Mix Substation Location Summary'!$B$4:$B$107,B315,'Mix Substation Location Summary'!$M$4:$M$107)</f>
        <v>2093914.8007143983</v>
      </c>
      <c r="N315" s="255">
        <f t="shared" ref="N315:N345" si="30">G315-SUM(H315:M315)</f>
        <v>0</v>
      </c>
      <c r="O315" s="252" t="s">
        <v>1483</v>
      </c>
      <c r="P315" s="267" t="s">
        <v>1478</v>
      </c>
      <c r="Q315" s="258">
        <f>SUMIF('Antelope Bailey Split BA'!$B$7:$B$29,B315,'Antelope Bailey Split BA'!$C$7:$C$29)</f>
        <v>0</v>
      </c>
      <c r="R315" s="258" t="str">
        <f>IF(AND(Q315=1,'Plant Total by Account'!$J$1=2),"EKWRA","")</f>
        <v/>
      </c>
    </row>
    <row r="316" spans="1:18" ht="12.75" customHeight="1" x14ac:dyDescent="0.2">
      <c r="A316" s="249" t="s">
        <v>2348</v>
      </c>
      <c r="B316" s="252" t="s">
        <v>1114</v>
      </c>
      <c r="C316" s="252" t="s">
        <v>3350</v>
      </c>
      <c r="D316" s="253">
        <v>19613.2</v>
      </c>
      <c r="E316" s="253">
        <v>1027025.5099999999</v>
      </c>
      <c r="F316" s="253">
        <v>18784495.509999998</v>
      </c>
      <c r="G316" s="546">
        <f t="shared" si="29"/>
        <v>19831134.219999999</v>
      </c>
      <c r="H316" s="254">
        <f>SUMIF('Mix Substation Location Summary'!$B$4:$B$107,B316,'Mix Substation Location Summary'!$C$4:$C$107)</f>
        <v>4626.1672313667241</v>
      </c>
      <c r="I316" s="254">
        <f>SUMIF('Mix Substation Location Summary'!$B$4:$B$107,B316,'Mix Substation Location Summary'!$G$4:$G$107)</f>
        <v>244602.65603972721</v>
      </c>
      <c r="J316" s="254">
        <f>SUMIF('Mix Substation Location Summary'!$B$4:$B$107,B316,'Mix Substation Location Summary'!$K$4:$K$107)</f>
        <v>4428342.5719830878</v>
      </c>
      <c r="K316" s="254">
        <f>SUMIF('Mix Substation Location Summary'!$B$4:$B$107,B316,'Mix Substation Location Summary'!$D$4:$D$107)+SUMIF('Mix Substation Location Summary'!$B$4:$B$107,B316,'Mix Substation Location Summary'!$E$4:$E$107)</f>
        <v>14987.032768633275</v>
      </c>
      <c r="L316" s="254">
        <f>SUMIF('Mix Substation Location Summary'!$B$4:$B$107,B316,'Mix Substation Location Summary'!$H$4:$H$107)+SUMIF('Mix Substation Location Summary'!$B$4:$B$107,B316,'Mix Substation Location Summary'!$I$4:$I$107)</f>
        <v>782422.85396027286</v>
      </c>
      <c r="M316" s="254">
        <f>SUMIF('Mix Substation Location Summary'!$B$4:$B$107,B316,'Mix Substation Location Summary'!$L$4:$L$107)+SUMIF('Mix Substation Location Summary'!$B$4:$B$107,B316,'Mix Substation Location Summary'!$M$4:$M$107)</f>
        <v>14356152.938016914</v>
      </c>
      <c r="N316" s="255">
        <f t="shared" si="30"/>
        <v>0</v>
      </c>
      <c r="O316" s="252" t="s">
        <v>1483</v>
      </c>
      <c r="P316" s="252" t="s">
        <v>1477</v>
      </c>
      <c r="Q316" s="258">
        <f>SUMIF('Antelope Bailey Split BA'!$B$7:$B$29,B316,'Antelope Bailey Split BA'!$C$7:$C$29)</f>
        <v>0</v>
      </c>
      <c r="R316" s="258" t="str">
        <f>IF(AND(Q316=1,'Plant Total by Account'!$J$1=2),"EKWRA","")</f>
        <v/>
      </c>
    </row>
    <row r="317" spans="1:18" ht="12.75" customHeight="1" x14ac:dyDescent="0.2">
      <c r="A317" s="249" t="s">
        <v>2349</v>
      </c>
      <c r="B317" s="252" t="s">
        <v>1115</v>
      </c>
      <c r="C317" s="252" t="s">
        <v>3350</v>
      </c>
      <c r="D317" s="253">
        <v>169248.65</v>
      </c>
      <c r="E317" s="253">
        <v>6078266.7800000003</v>
      </c>
      <c r="F317" s="253">
        <v>39054244.560000069</v>
      </c>
      <c r="G317" s="546">
        <f t="shared" si="29"/>
        <v>45301759.990000069</v>
      </c>
      <c r="H317" s="254">
        <f>SUMIF('Mix Substation Location Summary'!$B$4:$B$107,B317,'Mix Substation Location Summary'!$C$4:$C$107)</f>
        <v>47666.78608968843</v>
      </c>
      <c r="I317" s="254">
        <f>SUMIF('Mix Substation Location Summary'!$B$4:$B$107,B317,'Mix Substation Location Summary'!$G$4:$G$107)</f>
        <v>1696134.1543528668</v>
      </c>
      <c r="J317" s="254">
        <f>SUMIF('Mix Substation Location Summary'!$B$4:$B$107,B317,'Mix Substation Location Summary'!$K$4:$K$107)</f>
        <v>11014878.68819694</v>
      </c>
      <c r="K317" s="254">
        <f>SUMIF('Mix Substation Location Summary'!$B$4:$B$107,B317,'Mix Substation Location Summary'!$D$4:$D$107)+SUMIF('Mix Substation Location Summary'!$B$4:$B$107,B317,'Mix Substation Location Summary'!$E$4:$E$107)</f>
        <v>121581.86391031156</v>
      </c>
      <c r="L317" s="254">
        <f>SUMIF('Mix Substation Location Summary'!$B$4:$B$107,B317,'Mix Substation Location Summary'!$H$4:$H$107)+SUMIF('Mix Substation Location Summary'!$B$4:$B$107,B317,'Mix Substation Location Summary'!$I$4:$I$107)</f>
        <v>4382132.6256471341</v>
      </c>
      <c r="M317" s="254">
        <f>SUMIF('Mix Substation Location Summary'!$B$4:$B$107,B317,'Mix Substation Location Summary'!$L$4:$L$107)+SUMIF('Mix Substation Location Summary'!$B$4:$B$107,B317,'Mix Substation Location Summary'!$M$4:$M$107)</f>
        <v>28039365.87180306</v>
      </c>
      <c r="N317" s="255">
        <f t="shared" si="30"/>
        <v>6.7055225372314453E-8</v>
      </c>
      <c r="O317" s="252" t="s">
        <v>1483</v>
      </c>
      <c r="P317" s="252" t="s">
        <v>1477</v>
      </c>
      <c r="Q317" s="258">
        <f>SUMIF('Antelope Bailey Split BA'!$B$7:$B$29,B317,'Antelope Bailey Split BA'!$C$7:$C$29)</f>
        <v>0</v>
      </c>
      <c r="R317" s="258" t="str">
        <f>IF(AND(Q317=1,'Plant Total by Account'!$J$1=2),"EKWRA","")</f>
        <v/>
      </c>
    </row>
    <row r="318" spans="1:18" ht="12.75" customHeight="1" x14ac:dyDescent="0.2">
      <c r="A318" s="249" t="s">
        <v>2350</v>
      </c>
      <c r="B318" s="252" t="s">
        <v>1116</v>
      </c>
      <c r="C318" s="252" t="s">
        <v>3350</v>
      </c>
      <c r="D318" s="253">
        <v>457529.86</v>
      </c>
      <c r="E318" s="253">
        <v>1144749.8400000001</v>
      </c>
      <c r="F318" s="253">
        <v>47262692.510000043</v>
      </c>
      <c r="G318" s="546">
        <f t="shared" si="29"/>
        <v>48864972.210000046</v>
      </c>
      <c r="H318" s="254">
        <f>SUMIF('Mix Substation Location Summary'!$B$4:$B$107,B318,'Mix Substation Location Summary'!$C$4:$C$107)</f>
        <v>58555.716471006795</v>
      </c>
      <c r="I318" s="254">
        <f>SUMIF('Mix Substation Location Summary'!$B$4:$B$107,B318,'Mix Substation Location Summary'!$G$4:$G$107)</f>
        <v>146507.69910683075</v>
      </c>
      <c r="J318" s="254">
        <f>SUMIF('Mix Substation Location Summary'!$B$4:$B$107,B318,'Mix Substation Location Summary'!$K$4:$K$107)</f>
        <v>6048787.334387172</v>
      </c>
      <c r="K318" s="254">
        <f>SUMIF('Mix Substation Location Summary'!$B$4:$B$107,B318,'Mix Substation Location Summary'!$D$4:$D$107)+SUMIF('Mix Substation Location Summary'!$B$4:$B$107,B318,'Mix Substation Location Summary'!$E$4:$E$107)</f>
        <v>398974.14352899313</v>
      </c>
      <c r="L318" s="254">
        <f>SUMIF('Mix Substation Location Summary'!$B$4:$B$107,B318,'Mix Substation Location Summary'!$H$4:$H$107)+SUMIF('Mix Substation Location Summary'!$B$4:$B$107,B318,'Mix Substation Location Summary'!$I$4:$I$107)</f>
        <v>998242.14089316921</v>
      </c>
      <c r="M318" s="254">
        <f>SUMIF('Mix Substation Location Summary'!$B$4:$B$107,B318,'Mix Substation Location Summary'!$L$4:$L$107)+SUMIF('Mix Substation Location Summary'!$B$4:$B$107,B318,'Mix Substation Location Summary'!$M$4:$M$107)</f>
        <v>41213905.175612822</v>
      </c>
      <c r="N318" s="255">
        <f t="shared" si="30"/>
        <v>0</v>
      </c>
      <c r="O318" s="252" t="s">
        <v>1483</v>
      </c>
      <c r="P318" s="252" t="s">
        <v>1477</v>
      </c>
      <c r="Q318" s="258">
        <f>SUMIF('Antelope Bailey Split BA'!$B$7:$B$29,B318,'Antelope Bailey Split BA'!$C$7:$C$29)</f>
        <v>0</v>
      </c>
      <c r="R318" s="258" t="str">
        <f>IF(AND(Q318=1,'Plant Total by Account'!$J$1=2),"EKWRA","")</f>
        <v/>
      </c>
    </row>
    <row r="319" spans="1:18" ht="12.75" customHeight="1" x14ac:dyDescent="0.2">
      <c r="A319" s="249" t="s">
        <v>2351</v>
      </c>
      <c r="B319" s="252" t="s">
        <v>170</v>
      </c>
      <c r="C319" s="252" t="s">
        <v>3350</v>
      </c>
      <c r="D319" s="253">
        <v>97954.96</v>
      </c>
      <c r="E319" s="253">
        <v>2208449.71</v>
      </c>
      <c r="F319" s="253">
        <v>23433260.869999968</v>
      </c>
      <c r="G319" s="546">
        <f t="shared" si="29"/>
        <v>25739665.539999969</v>
      </c>
      <c r="H319" s="254">
        <f>SUMIF('Mix Substation Location Summary'!$B$4:$B$107,B319,'Mix Substation Location Summary'!$C$4:$C$107)</f>
        <v>24105.945917065925</v>
      </c>
      <c r="I319" s="254">
        <f>SUMIF('Mix Substation Location Summary'!$B$4:$B$107,B319,'Mix Substation Location Summary'!$G$4:$G$107)</f>
        <v>543482.11943346134</v>
      </c>
      <c r="J319" s="254">
        <f>SUMIF('Mix Substation Location Summary'!$B$4:$B$107,B319,'Mix Substation Location Summary'!$K$4:$K$107)</f>
        <v>5786114.2594722398</v>
      </c>
      <c r="K319" s="254">
        <f>SUMIF('Mix Substation Location Summary'!$B$4:$B$107,B319,'Mix Substation Location Summary'!$D$4:$D$107)+SUMIF('Mix Substation Location Summary'!$B$4:$B$107,B319,'Mix Substation Location Summary'!$E$4:$E$107)</f>
        <v>73849.014082934082</v>
      </c>
      <c r="L319" s="254">
        <f>SUMIF('Mix Substation Location Summary'!$B$4:$B$107,B319,'Mix Substation Location Summary'!$H$4:$H$107)+SUMIF('Mix Substation Location Summary'!$B$4:$B$107,B319,'Mix Substation Location Summary'!$I$4:$I$107)</f>
        <v>1664967.5905665385</v>
      </c>
      <c r="M319" s="254">
        <f>SUMIF('Mix Substation Location Summary'!$B$4:$B$107,B319,'Mix Substation Location Summary'!$L$4:$L$107)+SUMIF('Mix Substation Location Summary'!$B$4:$B$107,B319,'Mix Substation Location Summary'!$M$4:$M$107)</f>
        <v>17647146.610527761</v>
      </c>
      <c r="N319" s="255">
        <f t="shared" si="30"/>
        <v>-2.9802322387695313E-8</v>
      </c>
      <c r="O319" s="252" t="s">
        <v>1483</v>
      </c>
      <c r="P319" s="252" t="s">
        <v>1477</v>
      </c>
      <c r="Q319" s="258">
        <f>SUMIF('Antelope Bailey Split BA'!$B$7:$B$29,B319,'Antelope Bailey Split BA'!$C$7:$C$29)</f>
        <v>0</v>
      </c>
      <c r="R319" s="258" t="str">
        <f>IF(AND(Q319=1,'Plant Total by Account'!$J$1=2),"EKWRA","")</f>
        <v/>
      </c>
    </row>
    <row r="320" spans="1:18" ht="12.75" customHeight="1" x14ac:dyDescent="0.2">
      <c r="A320" s="249" t="s">
        <v>2352</v>
      </c>
      <c r="B320" s="252" t="s">
        <v>1117</v>
      </c>
      <c r="C320" s="252" t="s">
        <v>3350</v>
      </c>
      <c r="D320" s="253">
        <v>29300.3</v>
      </c>
      <c r="E320" s="253">
        <v>543597.55000000005</v>
      </c>
      <c r="F320" s="253">
        <v>19177066.800000012</v>
      </c>
      <c r="G320" s="546">
        <f t="shared" si="29"/>
        <v>19749964.650000013</v>
      </c>
      <c r="H320" s="254">
        <f>SUMIF('Mix Substation Location Summary'!$B$4:$B$107,B320,'Mix Substation Location Summary'!$C$4:$C$107)</f>
        <v>13929.470959183678</v>
      </c>
      <c r="I320" s="254">
        <f>SUMIF('Mix Substation Location Summary'!$B$4:$B$107,B320,'Mix Substation Location Summary'!$G$4:$G$107)</f>
        <v>258428.28524651274</v>
      </c>
      <c r="J320" s="254">
        <f>SUMIF('Mix Substation Location Summary'!$B$4:$B$107,B320,'Mix Substation Location Summary'!$K$4:$K$107)</f>
        <v>9116848.4647913352</v>
      </c>
      <c r="K320" s="254">
        <f>SUMIF('Mix Substation Location Summary'!$B$4:$B$107,B320,'Mix Substation Location Summary'!$D$4:$D$107)+SUMIF('Mix Substation Location Summary'!$B$4:$B$107,B320,'Mix Substation Location Summary'!$E$4:$E$107)</f>
        <v>15370.829040816319</v>
      </c>
      <c r="L320" s="254">
        <f>SUMIF('Mix Substation Location Summary'!$B$4:$B$107,B320,'Mix Substation Location Summary'!$H$4:$H$107)+SUMIF('Mix Substation Location Summary'!$B$4:$B$107,B320,'Mix Substation Location Summary'!$I$4:$I$107)</f>
        <v>285169.26475348719</v>
      </c>
      <c r="M320" s="254">
        <f>SUMIF('Mix Substation Location Summary'!$B$4:$B$107,B320,'Mix Substation Location Summary'!$L$4:$L$107)+SUMIF('Mix Substation Location Summary'!$B$4:$B$107,B320,'Mix Substation Location Summary'!$M$4:$M$107)</f>
        <v>10060218.335208666</v>
      </c>
      <c r="N320" s="255">
        <f t="shared" si="30"/>
        <v>0</v>
      </c>
      <c r="O320" s="252" t="s">
        <v>1483</v>
      </c>
      <c r="P320" s="252" t="s">
        <v>1477</v>
      </c>
      <c r="Q320" s="258">
        <f>SUMIF('Antelope Bailey Split BA'!$B$7:$B$29,B320,'Antelope Bailey Split BA'!$C$7:$C$29)</f>
        <v>0</v>
      </c>
      <c r="R320" s="258" t="str">
        <f>IF(AND(Q320=1,'Plant Total by Account'!$J$1=2),"EKWRA","")</f>
        <v/>
      </c>
    </row>
    <row r="321" spans="1:18" ht="12.75" customHeight="1" x14ac:dyDescent="0.2">
      <c r="A321" s="249" t="s">
        <v>2355</v>
      </c>
      <c r="B321" s="252" t="s">
        <v>1120</v>
      </c>
      <c r="C321" s="252" t="s">
        <v>3350</v>
      </c>
      <c r="D321" s="253">
        <v>101370</v>
      </c>
      <c r="E321" s="253">
        <v>4603204.09</v>
      </c>
      <c r="F321" s="253">
        <v>34793294.269999944</v>
      </c>
      <c r="G321" s="546">
        <f t="shared" si="29"/>
        <v>39497868.35999994</v>
      </c>
      <c r="H321" s="254">
        <f>SUMIF('Mix Substation Location Summary'!$B$4:$B$107,B321,'Mix Substation Location Summary'!$C$4:$C$107)</f>
        <v>30366.889969275468</v>
      </c>
      <c r="I321" s="254">
        <f>SUMIF('Mix Substation Location Summary'!$B$4:$B$107,B321,'Mix Substation Location Summary'!$G$4:$G$107)</f>
        <v>1379589.3358292256</v>
      </c>
      <c r="J321" s="254">
        <f>SUMIF('Mix Substation Location Summary'!$B$4:$B$107,B321,'Mix Substation Location Summary'!$K$4:$K$107)</f>
        <v>10413664.419692224</v>
      </c>
      <c r="K321" s="254">
        <f>SUMIF('Mix Substation Location Summary'!$B$4:$B$107,B321,'Mix Substation Location Summary'!$D$4:$D$107)+SUMIF('Mix Substation Location Summary'!$B$4:$B$107,B321,'Mix Substation Location Summary'!$E$4:$E$107)</f>
        <v>71003.110030724521</v>
      </c>
      <c r="L321" s="254">
        <f>SUMIF('Mix Substation Location Summary'!$B$4:$B$107,B321,'Mix Substation Location Summary'!$H$4:$H$107)+SUMIF('Mix Substation Location Summary'!$B$4:$B$107,B321,'Mix Substation Location Summary'!$I$4:$I$107)</f>
        <v>3223614.7541707745</v>
      </c>
      <c r="M321" s="254">
        <f>SUMIF('Mix Substation Location Summary'!$B$4:$B$107,B321,'Mix Substation Location Summary'!$L$4:$L$107)+SUMIF('Mix Substation Location Summary'!$B$4:$B$107,B321,'Mix Substation Location Summary'!$M$4:$M$107)</f>
        <v>24379629.850307778</v>
      </c>
      <c r="N321" s="255">
        <f t="shared" si="30"/>
        <v>-5.9604644775390625E-8</v>
      </c>
      <c r="O321" s="252" t="s">
        <v>1483</v>
      </c>
      <c r="P321" s="252" t="s">
        <v>1477</v>
      </c>
      <c r="Q321" s="258">
        <f>SUMIF('Antelope Bailey Split BA'!$B$7:$B$29,B321,'Antelope Bailey Split BA'!$C$7:$C$29)</f>
        <v>0</v>
      </c>
      <c r="R321" s="258" t="str">
        <f>IF(AND(Q321=1,'Plant Total by Account'!$J$1=2),"EKWRA","")</f>
        <v/>
      </c>
    </row>
    <row r="322" spans="1:18" ht="12.75" customHeight="1" x14ac:dyDescent="0.2">
      <c r="A322" s="249" t="s">
        <v>2357</v>
      </c>
      <c r="B322" s="252" t="s">
        <v>1122</v>
      </c>
      <c r="C322" s="252" t="s">
        <v>3350</v>
      </c>
      <c r="D322" s="253">
        <v>285619.89</v>
      </c>
      <c r="E322" s="253">
        <v>3319374.8400000003</v>
      </c>
      <c r="F322" s="253">
        <v>22103611.749999993</v>
      </c>
      <c r="G322" s="546">
        <f t="shared" si="29"/>
        <v>25708606.479999993</v>
      </c>
      <c r="H322" s="254">
        <f>SUMIF('Mix Substation Location Summary'!$B$4:$B$107,B322,'Mix Substation Location Summary'!$C$4:$C$107)</f>
        <v>54342.427400787361</v>
      </c>
      <c r="I322" s="254">
        <f>SUMIF('Mix Substation Location Summary'!$B$4:$B$107,B322,'Mix Substation Location Summary'!$G$4:$G$107)</f>
        <v>631548.75614124839</v>
      </c>
      <c r="J322" s="254">
        <f>SUMIF('Mix Substation Location Summary'!$B$4:$B$107,B322,'Mix Substation Location Summary'!$K$4:$K$107)</f>
        <v>4205463.1308049513</v>
      </c>
      <c r="K322" s="254">
        <f>SUMIF('Mix Substation Location Summary'!$B$4:$B$107,B322,'Mix Substation Location Summary'!$D$4:$D$107)+SUMIF('Mix Substation Location Summary'!$B$4:$B$107,B322,'Mix Substation Location Summary'!$E$4:$E$107)</f>
        <v>231277.46259921259</v>
      </c>
      <c r="L322" s="254">
        <f>SUMIF('Mix Substation Location Summary'!$B$4:$B$107,B322,'Mix Substation Location Summary'!$H$4:$H$107)+SUMIF('Mix Substation Location Summary'!$B$4:$B$107,B322,'Mix Substation Location Summary'!$I$4:$I$107)</f>
        <v>2687826.0838587512</v>
      </c>
      <c r="M322" s="254">
        <f>SUMIF('Mix Substation Location Summary'!$B$4:$B$107,B322,'Mix Substation Location Summary'!$L$4:$L$107)+SUMIF('Mix Substation Location Summary'!$B$4:$B$107,B322,'Mix Substation Location Summary'!$M$4:$M$107)</f>
        <v>17898148.619195051</v>
      </c>
      <c r="N322" s="255">
        <f t="shared" si="30"/>
        <v>0</v>
      </c>
      <c r="O322" s="252" t="s">
        <v>1483</v>
      </c>
      <c r="P322" s="252" t="s">
        <v>1477</v>
      </c>
      <c r="Q322" s="258">
        <f>SUMIF('Antelope Bailey Split BA'!$B$7:$B$29,B322,'Antelope Bailey Split BA'!$C$7:$C$29)</f>
        <v>0</v>
      </c>
      <c r="R322" s="258" t="str">
        <f>IF(AND(Q322=1,'Plant Total by Account'!$J$1=2),"EKWRA","")</f>
        <v/>
      </c>
    </row>
    <row r="323" spans="1:18" ht="12.75" customHeight="1" x14ac:dyDescent="0.2">
      <c r="A323" s="249" t="s">
        <v>2358</v>
      </c>
      <c r="B323" s="252" t="s">
        <v>1123</v>
      </c>
      <c r="C323" s="252" t="s">
        <v>3350</v>
      </c>
      <c r="D323" s="253">
        <v>2100226.91</v>
      </c>
      <c r="E323" s="253">
        <v>3940662.6499999994</v>
      </c>
      <c r="F323" s="253">
        <v>15262144.049999997</v>
      </c>
      <c r="G323" s="546">
        <f t="shared" si="29"/>
        <v>21303033.609999996</v>
      </c>
      <c r="H323" s="254">
        <f>SUMIF('Mix Substation Location Summary'!$B$4:$B$107,B323,'Mix Substation Location Summary'!$C$4:$C$107)</f>
        <v>838723.3867811875</v>
      </c>
      <c r="I323" s="254">
        <f>SUMIF('Mix Substation Location Summary'!$B$4:$B$107,B323,'Mix Substation Location Summary'!$G$4:$G$107)</f>
        <v>1573699.4456328191</v>
      </c>
      <c r="J323" s="254">
        <f>SUMIF('Mix Substation Location Summary'!$B$4:$B$107,B323,'Mix Substation Location Summary'!$K$4:$K$107)</f>
        <v>6094921.0231566578</v>
      </c>
      <c r="K323" s="254">
        <f>SUMIF('Mix Substation Location Summary'!$B$4:$B$107,B323,'Mix Substation Location Summary'!$D$4:$D$107)+SUMIF('Mix Substation Location Summary'!$B$4:$B$107,B323,'Mix Substation Location Summary'!$E$4:$E$107)</f>
        <v>1261503.5232188124</v>
      </c>
      <c r="L323" s="254">
        <f>SUMIF('Mix Substation Location Summary'!$B$4:$B$107,B323,'Mix Substation Location Summary'!$H$4:$H$107)+SUMIF('Mix Substation Location Summary'!$B$4:$B$107,B323,'Mix Substation Location Summary'!$I$4:$I$107)</f>
        <v>2366963.2043671813</v>
      </c>
      <c r="M323" s="254">
        <f>SUMIF('Mix Substation Location Summary'!$B$4:$B$107,B323,'Mix Substation Location Summary'!$L$4:$L$107)+SUMIF('Mix Substation Location Summary'!$B$4:$B$107,B323,'Mix Substation Location Summary'!$M$4:$M$107)</f>
        <v>9167223.0268433411</v>
      </c>
      <c r="N323" s="255">
        <f t="shared" si="30"/>
        <v>0</v>
      </c>
      <c r="O323" s="252" t="s">
        <v>1483</v>
      </c>
      <c r="P323" s="252" t="s">
        <v>1477</v>
      </c>
      <c r="Q323" s="258">
        <f>SUMIF('Antelope Bailey Split BA'!$B$7:$B$29,B323,'Antelope Bailey Split BA'!$C$7:$C$29)</f>
        <v>0</v>
      </c>
      <c r="R323" s="258" t="str">
        <f>IF(AND(Q323=1,'Plant Total by Account'!$J$1=2),"EKWRA","")</f>
        <v/>
      </c>
    </row>
    <row r="324" spans="1:18" ht="12.75" customHeight="1" x14ac:dyDescent="0.2">
      <c r="A324" s="249" t="s">
        <v>2359</v>
      </c>
      <c r="B324" s="252" t="s">
        <v>1124</v>
      </c>
      <c r="C324" s="252" t="s">
        <v>3350</v>
      </c>
      <c r="D324" s="253">
        <v>63557.16</v>
      </c>
      <c r="E324" s="253">
        <v>95627.97</v>
      </c>
      <c r="F324" s="253">
        <v>12620771.860000014</v>
      </c>
      <c r="G324" s="546">
        <f t="shared" si="29"/>
        <v>12779956.990000015</v>
      </c>
      <c r="H324" s="254">
        <f>SUMIF('Mix Substation Location Summary'!$B$4:$B$107,B324,'Mix Substation Location Summary'!$C$4:$C$107)</f>
        <v>33845.112146383071</v>
      </c>
      <c r="I324" s="254">
        <f>SUMIF('Mix Substation Location Summary'!$B$4:$B$107,B324,'Mix Substation Location Summary'!$G$4:$G$107)</f>
        <v>50923.28494509439</v>
      </c>
      <c r="J324" s="254">
        <f>SUMIF('Mix Substation Location Summary'!$B$4:$B$107,B324,'Mix Substation Location Summary'!$K$4:$K$107)</f>
        <v>6720744.5860641934</v>
      </c>
      <c r="K324" s="254">
        <f>SUMIF('Mix Substation Location Summary'!$B$4:$B$107,B324,'Mix Substation Location Summary'!$D$4:$D$107)+SUMIF('Mix Substation Location Summary'!$B$4:$B$107,B324,'Mix Substation Location Summary'!$E$4:$E$107)</f>
        <v>29712.047853616939</v>
      </c>
      <c r="L324" s="254">
        <f>SUMIF('Mix Substation Location Summary'!$B$4:$B$107,B324,'Mix Substation Location Summary'!$H$4:$H$107)+SUMIF('Mix Substation Location Summary'!$B$4:$B$107,B324,'Mix Substation Location Summary'!$I$4:$I$107)</f>
        <v>44704.685054905611</v>
      </c>
      <c r="M324" s="254">
        <f>SUMIF('Mix Substation Location Summary'!$B$4:$B$107,B324,'Mix Substation Location Summary'!$L$4:$L$107)+SUMIF('Mix Substation Location Summary'!$B$4:$B$107,B324,'Mix Substation Location Summary'!$M$4:$M$107)</f>
        <v>5900027.2739358088</v>
      </c>
      <c r="N324" s="255">
        <f t="shared" si="30"/>
        <v>0</v>
      </c>
      <c r="O324" s="252" t="s">
        <v>1483</v>
      </c>
      <c r="P324" s="252" t="s">
        <v>1477</v>
      </c>
      <c r="Q324" s="258">
        <f>SUMIF('Antelope Bailey Split BA'!$B$7:$B$29,B324,'Antelope Bailey Split BA'!$C$7:$C$29)</f>
        <v>0</v>
      </c>
      <c r="R324" s="258" t="str">
        <f>IF(AND(Q324=1,'Plant Total by Account'!$J$1=2),"EKWRA","")</f>
        <v/>
      </c>
    </row>
    <row r="325" spans="1:18" ht="12.75" customHeight="1" x14ac:dyDescent="0.2">
      <c r="A325" s="249" t="s">
        <v>2360</v>
      </c>
      <c r="B325" s="252" t="s">
        <v>1357</v>
      </c>
      <c r="C325" s="252" t="s">
        <v>3350</v>
      </c>
      <c r="D325" s="253">
        <v>97213.22</v>
      </c>
      <c r="E325" s="253">
        <v>1323464.2100000004</v>
      </c>
      <c r="F325" s="253">
        <v>5337513.5300000086</v>
      </c>
      <c r="G325" s="546">
        <f t="shared" si="29"/>
        <v>6758190.9600000093</v>
      </c>
      <c r="H325" s="254">
        <f>SUMIF('Mix Substation Location Summary'!$B$4:$B$107,B325,'Mix Substation Location Summary'!$C$4:$C$107)</f>
        <v>58786.783767913425</v>
      </c>
      <c r="I325" s="254">
        <f>SUMIF('Mix Substation Location Summary'!$B$4:$B$107,B325,'Mix Substation Location Summary'!$G$4:$G$107)</f>
        <v>800325.35017194541</v>
      </c>
      <c r="J325" s="254">
        <f>SUMIF('Mix Substation Location Summary'!$B$4:$B$107,B325,'Mix Substation Location Summary'!$K$4:$K$107)</f>
        <v>3227701.4766759323</v>
      </c>
      <c r="K325" s="254">
        <f>SUMIF('Mix Substation Location Summary'!$B$4:$B$107,B325,'Mix Substation Location Summary'!$D$4:$D$107)+SUMIF('Mix Substation Location Summary'!$B$4:$B$107,B325,'Mix Substation Location Summary'!$E$4:$E$107)</f>
        <v>38426.436232086584</v>
      </c>
      <c r="L325" s="254">
        <f>SUMIF('Mix Substation Location Summary'!$B$4:$B$107,B325,'Mix Substation Location Summary'!$H$4:$H$107)+SUMIF('Mix Substation Location Summary'!$B$4:$B$107,B325,'Mix Substation Location Summary'!$I$4:$I$107)</f>
        <v>523138.85982805479</v>
      </c>
      <c r="M325" s="254">
        <f>SUMIF('Mix Substation Location Summary'!$B$4:$B$107,B325,'Mix Substation Location Summary'!$L$4:$L$107)+SUMIF('Mix Substation Location Summary'!$B$4:$B$107,B325,'Mix Substation Location Summary'!$M$4:$M$107)</f>
        <v>2109812.053324068</v>
      </c>
      <c r="N325" s="255">
        <f t="shared" si="30"/>
        <v>8.3819031715393066E-9</v>
      </c>
      <c r="O325" s="252" t="s">
        <v>1483</v>
      </c>
      <c r="P325" s="252" t="s">
        <v>1477</v>
      </c>
      <c r="Q325" s="258">
        <f>SUMIF('Antelope Bailey Split BA'!$B$7:$B$29,B325,'Antelope Bailey Split BA'!$C$7:$C$29)</f>
        <v>0</v>
      </c>
      <c r="R325" s="258" t="str">
        <f>IF(AND(Q325=1,'Plant Total by Account'!$J$1=2),"EKWRA","")</f>
        <v/>
      </c>
    </row>
    <row r="326" spans="1:18" ht="12.75" customHeight="1" x14ac:dyDescent="0.2">
      <c r="A326" s="249" t="s">
        <v>2361</v>
      </c>
      <c r="B326" s="252" t="s">
        <v>1125</v>
      </c>
      <c r="C326" s="252" t="s">
        <v>3350</v>
      </c>
      <c r="D326" s="253">
        <v>13018.300000000001</v>
      </c>
      <c r="E326" s="253">
        <v>25661.670000000002</v>
      </c>
      <c r="F326" s="253">
        <v>5579428.9099999992</v>
      </c>
      <c r="G326" s="546">
        <f t="shared" si="29"/>
        <v>5618108.879999999</v>
      </c>
      <c r="H326" s="254">
        <f>SUMIF('Mix Substation Location Summary'!$B$4:$B$107,B326,'Mix Substation Location Summary'!$C$4:$C$107)</f>
        <v>8944.102999765686</v>
      </c>
      <c r="I326" s="254">
        <f>SUMIF('Mix Substation Location Summary'!$B$4:$B$107,B326,'Mix Substation Location Summary'!$G$4:$G$107)</f>
        <v>17630.613799497409</v>
      </c>
      <c r="J326" s="254">
        <f>SUMIF('Mix Substation Location Summary'!$B$4:$B$107,B326,'Mix Substation Location Summary'!$K$4:$K$107)</f>
        <v>3833295.1960632643</v>
      </c>
      <c r="K326" s="254">
        <f>SUMIF('Mix Substation Location Summary'!$B$4:$B$107,B326,'Mix Substation Location Summary'!$D$4:$D$107)+SUMIF('Mix Substation Location Summary'!$B$4:$B$107,B326,'Mix Substation Location Summary'!$E$4:$E$107)</f>
        <v>4074.1970002343137</v>
      </c>
      <c r="L326" s="254">
        <f>SUMIF('Mix Substation Location Summary'!$B$4:$B$107,B326,'Mix Substation Location Summary'!$H$4:$H$107)+SUMIF('Mix Substation Location Summary'!$B$4:$B$107,B326,'Mix Substation Location Summary'!$I$4:$I$107)</f>
        <v>8031.0562005025913</v>
      </c>
      <c r="M326" s="254">
        <f>SUMIF('Mix Substation Location Summary'!$B$4:$B$107,B326,'Mix Substation Location Summary'!$L$4:$L$107)+SUMIF('Mix Substation Location Summary'!$B$4:$B$107,B326,'Mix Substation Location Summary'!$M$4:$M$107)</f>
        <v>1746133.7139367359</v>
      </c>
      <c r="N326" s="255">
        <f t="shared" si="30"/>
        <v>0</v>
      </c>
      <c r="O326" s="252" t="s">
        <v>1483</v>
      </c>
      <c r="P326" s="252" t="s">
        <v>1477</v>
      </c>
      <c r="Q326" s="258">
        <f>SUMIF('Antelope Bailey Split BA'!$B$7:$B$29,B326,'Antelope Bailey Split BA'!$C$7:$C$29)</f>
        <v>0</v>
      </c>
      <c r="R326" s="258" t="str">
        <f>IF(AND(Q326=1,'Plant Total by Account'!$J$1=2),"EKWRA","")</f>
        <v/>
      </c>
    </row>
    <row r="327" spans="1:18" ht="12.75" customHeight="1" x14ac:dyDescent="0.2">
      <c r="A327" s="249" t="s">
        <v>2362</v>
      </c>
      <c r="B327" s="252" t="s">
        <v>1126</v>
      </c>
      <c r="C327" s="252" t="s">
        <v>3350</v>
      </c>
      <c r="D327" s="253">
        <v>8363</v>
      </c>
      <c r="E327" s="253">
        <v>1082971.0200000003</v>
      </c>
      <c r="F327" s="253">
        <v>14332635.089999998</v>
      </c>
      <c r="G327" s="546">
        <f t="shared" si="29"/>
        <v>15423969.109999998</v>
      </c>
      <c r="H327" s="254">
        <f>SUMIF('Mix Substation Location Summary'!$B$4:$B$107,B327,'Mix Substation Location Summary'!$C$4:$C$107)</f>
        <v>7946.6323167136188</v>
      </c>
      <c r="I327" s="254">
        <f>SUMIF('Mix Substation Location Summary'!$B$4:$B$107,B327,'Mix Substation Location Summary'!$G$4:$G$107)</f>
        <v>1029213.5247126948</v>
      </c>
      <c r="J327" s="254">
        <f>SUMIF('Mix Substation Location Summary'!$B$4:$B$107,B327,'Mix Substation Location Summary'!$K$4:$K$107)</f>
        <v>13618897.642984774</v>
      </c>
      <c r="K327" s="254">
        <f>SUMIF('Mix Substation Location Summary'!$B$4:$B$107,B327,'Mix Substation Location Summary'!$D$4:$D$107)+SUMIF('Mix Substation Location Summary'!$B$4:$B$107,B327,'Mix Substation Location Summary'!$E$4:$E$107)</f>
        <v>416.36768328638072</v>
      </c>
      <c r="L327" s="254">
        <f>SUMIF('Mix Substation Location Summary'!$B$4:$B$107,B327,'Mix Substation Location Summary'!$H$4:$H$107)+SUMIF('Mix Substation Location Summary'!$B$4:$B$107,B327,'Mix Substation Location Summary'!$I$4:$I$107)</f>
        <v>53757.495287305122</v>
      </c>
      <c r="M327" s="254">
        <f>SUMIF('Mix Substation Location Summary'!$B$4:$B$107,B327,'Mix Substation Location Summary'!$L$4:$L$107)+SUMIF('Mix Substation Location Summary'!$B$4:$B$107,B327,'Mix Substation Location Summary'!$M$4:$M$107)</f>
        <v>713737.44701522694</v>
      </c>
      <c r="N327" s="255">
        <f t="shared" si="30"/>
        <v>0</v>
      </c>
      <c r="O327" s="252" t="s">
        <v>1483</v>
      </c>
      <c r="P327" s="252" t="s">
        <v>1477</v>
      </c>
      <c r="Q327" s="258">
        <f>SUMIF('Antelope Bailey Split BA'!$B$7:$B$29,B327,'Antelope Bailey Split BA'!$C$7:$C$29)</f>
        <v>0</v>
      </c>
      <c r="R327" s="258" t="str">
        <f>IF(AND(Q327=1,'Plant Total by Account'!$J$1=2),"EKWRA","")</f>
        <v/>
      </c>
    </row>
    <row r="328" spans="1:18" ht="12.75" customHeight="1" x14ac:dyDescent="0.2">
      <c r="A328" s="249" t="s">
        <v>2364</v>
      </c>
      <c r="B328" s="252" t="s">
        <v>130</v>
      </c>
      <c r="C328" s="252" t="s">
        <v>3350</v>
      </c>
      <c r="D328" s="253">
        <v>393170.45</v>
      </c>
      <c r="E328" s="253">
        <v>12235172.970000003</v>
      </c>
      <c r="F328" s="253">
        <v>81933144.450000063</v>
      </c>
      <c r="G328" s="546">
        <f t="shared" si="29"/>
        <v>94561487.870000064</v>
      </c>
      <c r="H328" s="254">
        <f>SUMIF('Mix Substation Location Summary'!$B$4:$B$107,B328,'Mix Substation Location Summary'!$C$4:$C$107)</f>
        <v>160489.91288454912</v>
      </c>
      <c r="I328" s="254">
        <f>SUMIF('Mix Substation Location Summary'!$B$4:$B$107,B328,'Mix Substation Location Summary'!$G$4:$G$107)</f>
        <v>4821855.5014067097</v>
      </c>
      <c r="J328" s="254">
        <f>SUMIF('Mix Substation Location Summary'!$B$4:$B$107,B328,'Mix Substation Location Summary'!$K$4:$K$107)</f>
        <v>33876468.440041311</v>
      </c>
      <c r="K328" s="254">
        <f>SUMIF('Mix Substation Location Summary'!$B$4:$B$107,B328,'Mix Substation Location Summary'!$D$4:$D$107)+SUMIF('Mix Substation Location Summary'!$B$4:$B$107,B328,'Mix Substation Location Summary'!$E$4:$E$107)</f>
        <v>232680.53711545083</v>
      </c>
      <c r="L328" s="254">
        <f>SUMIF('Mix Substation Location Summary'!$B$4:$B$107,B328,'Mix Substation Location Summary'!$H$4:$H$107)+SUMIF('Mix Substation Location Summary'!$B$4:$B$107,B328,'Mix Substation Location Summary'!$I$4:$I$107)</f>
        <v>7413317.4685932891</v>
      </c>
      <c r="M328" s="254">
        <f>SUMIF('Mix Substation Location Summary'!$B$4:$B$107,B328,'Mix Substation Location Summary'!$L$4:$L$107)+SUMIF('Mix Substation Location Summary'!$B$4:$B$107,B328,'Mix Substation Location Summary'!$M$4:$M$107)</f>
        <v>48056676.009958684</v>
      </c>
      <c r="N328" s="255">
        <f t="shared" si="30"/>
        <v>0</v>
      </c>
      <c r="O328" s="252" t="s">
        <v>1483</v>
      </c>
      <c r="P328" s="252" t="s">
        <v>1477</v>
      </c>
      <c r="Q328" s="258">
        <f>SUMIF('Antelope Bailey Split BA'!$B$7:$B$29,B328,'Antelope Bailey Split BA'!$C$7:$C$29)</f>
        <v>0</v>
      </c>
      <c r="R328" s="258" t="str">
        <f>IF(AND(Q328=1,'Plant Total by Account'!$J$1=2),"EKWRA","")</f>
        <v/>
      </c>
    </row>
    <row r="329" spans="1:18" ht="12.75" customHeight="1" x14ac:dyDescent="0.2">
      <c r="A329" s="249" t="s">
        <v>2365</v>
      </c>
      <c r="B329" s="252" t="s">
        <v>1128</v>
      </c>
      <c r="C329" s="252" t="s">
        <v>3350</v>
      </c>
      <c r="D329" s="253">
        <v>12197.68</v>
      </c>
      <c r="E329" s="253">
        <v>845805.2300000001</v>
      </c>
      <c r="F329" s="253">
        <v>23068946.189999998</v>
      </c>
      <c r="G329" s="546">
        <f t="shared" si="29"/>
        <v>23926949.099999998</v>
      </c>
      <c r="H329" s="254">
        <f>SUMIF('Mix Substation Location Summary'!$B$4:$B$107,B329,'Mix Substation Location Summary'!$C$4:$C$107)</f>
        <v>3567.8569472443664</v>
      </c>
      <c r="I329" s="254">
        <f>SUMIF('Mix Substation Location Summary'!$B$4:$B$107,B329,'Mix Substation Location Summary'!$G$4:$G$107)</f>
        <v>198089.57481482733</v>
      </c>
      <c r="J329" s="254">
        <f>SUMIF('Mix Substation Location Summary'!$B$4:$B$107,B329,'Mix Substation Location Summary'!$K$4:$K$107)</f>
        <v>6797044.9094042284</v>
      </c>
      <c r="K329" s="254">
        <f>SUMIF('Mix Substation Location Summary'!$B$4:$B$107,B329,'Mix Substation Location Summary'!$D$4:$D$107)+SUMIF('Mix Substation Location Summary'!$B$4:$B$107,B329,'Mix Substation Location Summary'!$E$4:$E$107)</f>
        <v>8629.8230527556352</v>
      </c>
      <c r="L329" s="254">
        <f>SUMIF('Mix Substation Location Summary'!$B$4:$B$107,B329,'Mix Substation Location Summary'!$H$4:$H$107)+SUMIF('Mix Substation Location Summary'!$B$4:$B$107,B329,'Mix Substation Location Summary'!$I$4:$I$107)</f>
        <v>647715.65518517292</v>
      </c>
      <c r="M329" s="254">
        <f>SUMIF('Mix Substation Location Summary'!$B$4:$B$107,B329,'Mix Substation Location Summary'!$L$4:$L$107)+SUMIF('Mix Substation Location Summary'!$B$4:$B$107,B329,'Mix Substation Location Summary'!$M$4:$M$107)</f>
        <v>16271901.280595776</v>
      </c>
      <c r="N329" s="255">
        <f t="shared" si="30"/>
        <v>0</v>
      </c>
      <c r="O329" s="252" t="s">
        <v>1483</v>
      </c>
      <c r="P329" s="252" t="s">
        <v>1477</v>
      </c>
      <c r="Q329" s="258">
        <f>SUMIF('Antelope Bailey Split BA'!$B$7:$B$29,B329,'Antelope Bailey Split BA'!$C$7:$C$29)</f>
        <v>0</v>
      </c>
      <c r="R329" s="258" t="str">
        <f>IF(AND(Q329=1,'Plant Total by Account'!$J$1=2),"EKWRA","")</f>
        <v/>
      </c>
    </row>
    <row r="330" spans="1:18" ht="12.75" customHeight="1" x14ac:dyDescent="0.2">
      <c r="A330" s="249" t="s">
        <v>2366</v>
      </c>
      <c r="B330" s="252" t="s">
        <v>1129</v>
      </c>
      <c r="C330" s="252" t="s">
        <v>3350</v>
      </c>
      <c r="D330" s="253">
        <v>7242.88</v>
      </c>
      <c r="E330" s="253">
        <v>1318486</v>
      </c>
      <c r="F330" s="253">
        <v>16947686.589999977</v>
      </c>
      <c r="G330" s="546">
        <f t="shared" si="29"/>
        <v>18273415.469999976</v>
      </c>
      <c r="H330" s="254">
        <f>SUMIF('Mix Substation Location Summary'!$B$4:$B$107,B330,'Mix Substation Location Summary'!$C$4:$C$107)</f>
        <v>2026.257989696604</v>
      </c>
      <c r="I330" s="254">
        <f>SUMIF('Mix Substation Location Summary'!$B$4:$B$107,B330,'Mix Substation Location Summary'!$G$4:$G$107)</f>
        <v>369875.33757074166</v>
      </c>
      <c r="J330" s="254">
        <f>SUMIF('Mix Substation Location Summary'!$B$4:$B$107,B330,'Mix Substation Location Summary'!$K$4:$K$107)</f>
        <v>4740243.5863469038</v>
      </c>
      <c r="K330" s="254">
        <f>SUMIF('Mix Substation Location Summary'!$B$4:$B$107,B330,'Mix Substation Location Summary'!$D$4:$D$107)+SUMIF('Mix Substation Location Summary'!$B$4:$B$107,B330,'Mix Substation Location Summary'!$E$4:$E$107)</f>
        <v>5216.6220103033957</v>
      </c>
      <c r="L330" s="254">
        <f>SUMIF('Mix Substation Location Summary'!$B$4:$B$107,B330,'Mix Substation Location Summary'!$H$4:$H$107)+SUMIF('Mix Substation Location Summary'!$B$4:$B$107,B330,'Mix Substation Location Summary'!$I$4:$I$107)</f>
        <v>948610.66242925846</v>
      </c>
      <c r="M330" s="254">
        <f>SUMIF('Mix Substation Location Summary'!$B$4:$B$107,B330,'Mix Substation Location Summary'!$L$4:$L$107)+SUMIF('Mix Substation Location Summary'!$B$4:$B$107,B330,'Mix Substation Location Summary'!$M$4:$M$107)</f>
        <v>12207443.003653103</v>
      </c>
      <c r="N330" s="255">
        <f t="shared" si="30"/>
        <v>-2.9802322387695313E-8</v>
      </c>
      <c r="O330" s="252" t="s">
        <v>1483</v>
      </c>
      <c r="P330" s="252" t="s">
        <v>1477</v>
      </c>
      <c r="Q330" s="258">
        <f>SUMIF('Antelope Bailey Split BA'!$B$7:$B$29,B330,'Antelope Bailey Split BA'!$C$7:$C$29)</f>
        <v>0</v>
      </c>
      <c r="R330" s="258" t="str">
        <f>IF(AND(Q330=1,'Plant Total by Account'!$J$1=2),"EKWRA","")</f>
        <v/>
      </c>
    </row>
    <row r="331" spans="1:18" ht="12.75" customHeight="1" x14ac:dyDescent="0.2">
      <c r="A331" s="249" t="s">
        <v>2368</v>
      </c>
      <c r="B331" s="252" t="s">
        <v>1132</v>
      </c>
      <c r="C331" s="252" t="s">
        <v>3350</v>
      </c>
      <c r="D331" s="253">
        <v>0</v>
      </c>
      <c r="E331" s="253">
        <v>242739.13999999998</v>
      </c>
      <c r="F331" s="253">
        <v>7113016.75</v>
      </c>
      <c r="G331" s="546">
        <f t="shared" si="29"/>
        <v>7355755.8899999997</v>
      </c>
      <c r="H331" s="254">
        <f>SUMIF('Mix Substation Location Summary'!$B$4:$B$107,B331,'Mix Substation Location Summary'!$C$4:$C$107)</f>
        <v>0</v>
      </c>
      <c r="I331" s="254">
        <f>SUMIF('Mix Substation Location Summary'!$B$4:$B$107,B331,'Mix Substation Location Summary'!$G$4:$G$107)</f>
        <v>53456.449800702918</v>
      </c>
      <c r="J331" s="254">
        <f>SUMIF('Mix Substation Location Summary'!$B$4:$B$107,B331,'Mix Substation Location Summary'!$K$4:$K$107)</f>
        <v>1566441.3362753699</v>
      </c>
      <c r="K331" s="254">
        <f>SUMIF('Mix Substation Location Summary'!$B$4:$B$107,B331,'Mix Substation Location Summary'!$D$4:$D$107)+SUMIF('Mix Substation Location Summary'!$B$4:$B$107,B331,'Mix Substation Location Summary'!$E$4:$E$107)</f>
        <v>0</v>
      </c>
      <c r="L331" s="254">
        <f>SUMIF('Mix Substation Location Summary'!$B$4:$B$107,B331,'Mix Substation Location Summary'!$H$4:$H$107)+SUMIF('Mix Substation Location Summary'!$B$4:$B$107,B331,'Mix Substation Location Summary'!$I$4:$I$107)</f>
        <v>189282.6901992971</v>
      </c>
      <c r="M331" s="254">
        <f>SUMIF('Mix Substation Location Summary'!$B$4:$B$107,B331,'Mix Substation Location Summary'!$L$4:$L$107)+SUMIF('Mix Substation Location Summary'!$B$4:$B$107,B331,'Mix Substation Location Summary'!$M$4:$M$107)</f>
        <v>5546575.4137246301</v>
      </c>
      <c r="N331" s="255">
        <f t="shared" si="30"/>
        <v>0</v>
      </c>
      <c r="O331" s="252" t="s">
        <v>1483</v>
      </c>
      <c r="P331" s="252" t="s">
        <v>1723</v>
      </c>
      <c r="Q331" s="258">
        <f>SUMIF('Antelope Bailey Split BA'!$B$7:$B$29,B331,'Antelope Bailey Split BA'!$C$7:$C$29)</f>
        <v>0</v>
      </c>
      <c r="R331" s="258" t="str">
        <f>IF(AND(Q331=1,'Plant Total by Account'!$J$1=2),"EKWRA","")</f>
        <v/>
      </c>
    </row>
    <row r="332" spans="1:18" ht="12.75" customHeight="1" x14ac:dyDescent="0.2">
      <c r="A332" s="249" t="s">
        <v>2369</v>
      </c>
      <c r="B332" s="252" t="s">
        <v>1133</v>
      </c>
      <c r="C332" s="252" t="s">
        <v>3350</v>
      </c>
      <c r="D332" s="253">
        <v>1823.96</v>
      </c>
      <c r="E332" s="253">
        <v>17122.87</v>
      </c>
      <c r="F332" s="253">
        <v>2895548.51</v>
      </c>
      <c r="G332" s="546">
        <f t="shared" si="29"/>
        <v>2914495.34</v>
      </c>
      <c r="H332" s="254">
        <f>SUMIF('Mix Substation Location Summary'!$B$4:$B$107,B332,'Mix Substation Location Summary'!$C$4:$C$107)</f>
        <v>230.3486677304808</v>
      </c>
      <c r="I332" s="254">
        <f>SUMIF('Mix Substation Location Summary'!$B$4:$B$107,B332,'Mix Substation Location Summary'!$G$4:$G$107)</f>
        <v>2162.4543807003538</v>
      </c>
      <c r="J332" s="254">
        <f>SUMIF('Mix Substation Location Summary'!$B$4:$B$107,B332,'Mix Substation Location Summary'!$K$4:$K$107)</f>
        <v>365680.02677003818</v>
      </c>
      <c r="K332" s="254">
        <f>SUMIF('Mix Substation Location Summary'!$B$4:$B$107,B332,'Mix Substation Location Summary'!$D$4:$D$107)+SUMIF('Mix Substation Location Summary'!$B$4:$B$107,B332,'Mix Substation Location Summary'!$E$4:$E$107)</f>
        <v>1593.6113322695192</v>
      </c>
      <c r="L332" s="254">
        <f>SUMIF('Mix Substation Location Summary'!$B$4:$B$107,B332,'Mix Substation Location Summary'!$H$4:$H$107)+SUMIF('Mix Substation Location Summary'!$B$4:$B$107,B332,'Mix Substation Location Summary'!$I$4:$I$107)</f>
        <v>14960.415619299645</v>
      </c>
      <c r="M332" s="254">
        <f>SUMIF('Mix Substation Location Summary'!$B$4:$B$107,B332,'Mix Substation Location Summary'!$L$4:$L$107)+SUMIF('Mix Substation Location Summary'!$B$4:$B$107,B332,'Mix Substation Location Summary'!$M$4:$M$107)</f>
        <v>2529868.4832299617</v>
      </c>
      <c r="N332" s="255">
        <f t="shared" si="30"/>
        <v>0</v>
      </c>
      <c r="O332" s="252" t="s">
        <v>1483</v>
      </c>
      <c r="P332" s="252" t="s">
        <v>1477</v>
      </c>
      <c r="Q332" s="258">
        <f>SUMIF('Antelope Bailey Split BA'!$B$7:$B$29,B332,'Antelope Bailey Split BA'!$C$7:$C$29)</f>
        <v>0</v>
      </c>
      <c r="R332" s="258" t="str">
        <f>IF(AND(Q332=1,'Plant Total by Account'!$J$1=2),"EKWRA","")</f>
        <v/>
      </c>
    </row>
    <row r="333" spans="1:18" ht="12.75" customHeight="1" x14ac:dyDescent="0.2">
      <c r="A333" s="249" t="s">
        <v>2374</v>
      </c>
      <c r="B333" s="252" t="s">
        <v>1138</v>
      </c>
      <c r="C333" s="252" t="s">
        <v>3350</v>
      </c>
      <c r="D333" s="253">
        <v>49104.23</v>
      </c>
      <c r="E333" s="253">
        <v>12098.570000000002</v>
      </c>
      <c r="F333" s="253">
        <v>2491870.3599999975</v>
      </c>
      <c r="G333" s="546">
        <f t="shared" si="29"/>
        <v>2553073.1599999974</v>
      </c>
      <c r="H333" s="254">
        <f>SUMIF('Mix Substation Location Summary'!$B$4:$B$107,B333,'Mix Substation Location Summary'!$C$4:$C$107)</f>
        <v>574.69592178859978</v>
      </c>
      <c r="I333" s="254">
        <f>SUMIF('Mix Substation Location Summary'!$B$4:$B$107,B333,'Mix Substation Location Summary'!$G$4:$G$107)</f>
        <v>141.59673898712796</v>
      </c>
      <c r="J333" s="254">
        <f>SUMIF('Mix Substation Location Summary'!$B$4:$B$107,B333,'Mix Substation Location Summary'!$K$4:$K$107)</f>
        <v>29163.836466184082</v>
      </c>
      <c r="K333" s="254">
        <f>SUMIF('Mix Substation Location Summary'!$B$4:$B$107,B333,'Mix Substation Location Summary'!$D$4:$D$107)+SUMIF('Mix Substation Location Summary'!$B$4:$B$107,B333,'Mix Substation Location Summary'!$E$4:$E$107)</f>
        <v>48529.534078211407</v>
      </c>
      <c r="L333" s="254">
        <f>SUMIF('Mix Substation Location Summary'!$B$4:$B$107,B333,'Mix Substation Location Summary'!$H$4:$H$107)+SUMIF('Mix Substation Location Summary'!$B$4:$B$107,B333,'Mix Substation Location Summary'!$I$4:$I$107)</f>
        <v>11956.973261012869</v>
      </c>
      <c r="M333" s="254">
        <f>SUMIF('Mix Substation Location Summary'!$B$4:$B$107,B333,'Mix Substation Location Summary'!$L$4:$L$107)+SUMIF('Mix Substation Location Summary'!$B$4:$B$107,B333,'Mix Substation Location Summary'!$M$4:$M$107)</f>
        <v>2462706.523533816</v>
      </c>
      <c r="N333" s="255">
        <f t="shared" si="30"/>
        <v>0</v>
      </c>
      <c r="O333" s="252" t="s">
        <v>1483</v>
      </c>
      <c r="P333" s="252" t="s">
        <v>1477</v>
      </c>
      <c r="Q333" s="258">
        <f>SUMIF('Antelope Bailey Split BA'!$B$7:$B$29,B333,'Antelope Bailey Split BA'!$C$7:$C$29)</f>
        <v>0</v>
      </c>
      <c r="R333" s="258" t="str">
        <f>IF(AND(Q333=1,'Plant Total by Account'!$J$1=2),"EKWRA","")</f>
        <v/>
      </c>
    </row>
    <row r="334" spans="1:18" ht="12.75" customHeight="1" x14ac:dyDescent="0.2">
      <c r="A334" s="249" t="s">
        <v>2375</v>
      </c>
      <c r="B334" s="252" t="s">
        <v>1140</v>
      </c>
      <c r="C334" s="252" t="s">
        <v>3350</v>
      </c>
      <c r="D334" s="253">
        <v>970263.37</v>
      </c>
      <c r="E334" s="253">
        <v>2979885.9399999995</v>
      </c>
      <c r="F334" s="253">
        <v>21501879.589999992</v>
      </c>
      <c r="G334" s="546">
        <f t="shared" si="29"/>
        <v>25452028.899999991</v>
      </c>
      <c r="H334" s="254">
        <f>SUMIF('Mix Substation Location Summary'!$B$4:$B$107,B334,'Mix Substation Location Summary'!$C$4:$C$107)</f>
        <v>806034.6565873113</v>
      </c>
      <c r="I334" s="254">
        <f>SUMIF('Mix Substation Location Summary'!$B$4:$B$107,B334,'Mix Substation Location Summary'!$G$4:$G$107)</f>
        <v>2475504.5017491048</v>
      </c>
      <c r="J334" s="254">
        <f>SUMIF('Mix Substation Location Summary'!$B$4:$B$107,B334,'Mix Substation Location Summary'!$K$4:$K$107)</f>
        <v>17862428.560306642</v>
      </c>
      <c r="K334" s="254">
        <f>SUMIF('Mix Substation Location Summary'!$B$4:$B$107,B334,'Mix Substation Location Summary'!$D$4:$D$107)+SUMIF('Mix Substation Location Summary'!$B$4:$B$107,B334,'Mix Substation Location Summary'!$E$4:$E$107)</f>
        <v>164228.7134126887</v>
      </c>
      <c r="L334" s="254">
        <f>SUMIF('Mix Substation Location Summary'!$B$4:$B$107,B334,'Mix Substation Location Summary'!$H$4:$H$107)+SUMIF('Mix Substation Location Summary'!$B$4:$B$107,B334,'Mix Substation Location Summary'!$I$4:$I$107)</f>
        <v>504381.43825089512</v>
      </c>
      <c r="M334" s="254">
        <f>SUMIF('Mix Substation Location Summary'!$B$4:$B$107,B334,'Mix Substation Location Summary'!$L$4:$L$107)+SUMIF('Mix Substation Location Summary'!$B$4:$B$107,B334,'Mix Substation Location Summary'!$M$4:$M$107)</f>
        <v>3639451.0296933595</v>
      </c>
      <c r="N334" s="255">
        <f t="shared" si="30"/>
        <v>0</v>
      </c>
      <c r="O334" s="252" t="s">
        <v>1483</v>
      </c>
      <c r="P334" s="252" t="s">
        <v>1477</v>
      </c>
      <c r="Q334" s="258">
        <f>SUMIF('Antelope Bailey Split BA'!$B$7:$B$29,B334,'Antelope Bailey Split BA'!$C$7:$C$29)</f>
        <v>0</v>
      </c>
      <c r="R334" s="258" t="str">
        <f>IF(AND(Q334=1,'Plant Total by Account'!$J$1=2),"EKWRA","")</f>
        <v/>
      </c>
    </row>
    <row r="335" spans="1:18" ht="12.75" customHeight="1" x14ac:dyDescent="0.2">
      <c r="A335" s="249" t="s">
        <v>2377</v>
      </c>
      <c r="B335" s="252" t="s">
        <v>1142</v>
      </c>
      <c r="C335" s="252" t="s">
        <v>3350</v>
      </c>
      <c r="D335" s="253">
        <v>21982.74</v>
      </c>
      <c r="E335" s="253">
        <v>1600543.3900000001</v>
      </c>
      <c r="F335" s="253">
        <v>69002674.519999951</v>
      </c>
      <c r="G335" s="546">
        <f>SUM(D335:F335)</f>
        <v>70625200.649999946</v>
      </c>
      <c r="H335" s="254">
        <f>SUMIF('Mix Substation Location Summary'!$B$4:$B$107,B335,'Mix Substation Location Summary'!$C$4:$C$107)</f>
        <v>21969.428036242389</v>
      </c>
      <c r="I335" s="254">
        <f>SUMIF('Mix Substation Location Summary'!$B$4:$B$107,B335,'Mix Substation Location Summary'!$G$4:$G$107)</f>
        <v>1599574.9007907466</v>
      </c>
      <c r="J335" s="254">
        <f>SUMIF('Mix Substation Location Summary'!$B$4:$B$107,B335,'Mix Substation Location Summary'!$K$4:$K$107)</f>
        <v>68960888.217131972</v>
      </c>
      <c r="K335" s="254">
        <f>SUMIF('Mix Substation Location Summary'!$B$4:$B$107,B335,'Mix Substation Location Summary'!$D$4:$D$107)+SUMIF('Mix Substation Location Summary'!$B$4:$B$107,B335,'Mix Substation Location Summary'!$E$4:$E$107)</f>
        <v>13.311963757610599</v>
      </c>
      <c r="L335" s="254">
        <f>SUMIF('Mix Substation Location Summary'!$B$4:$B$107,B335,'Mix Substation Location Summary'!$H$4:$H$107)+SUMIF('Mix Substation Location Summary'!$B$4:$B$107,B335,'Mix Substation Location Summary'!$I$4:$I$107)</f>
        <v>968.48920925325615</v>
      </c>
      <c r="M335" s="254">
        <f>SUMIF('Mix Substation Location Summary'!$B$4:$B$107,B335,'Mix Substation Location Summary'!$L$4:$L$107)+SUMIF('Mix Substation Location Summary'!$B$4:$B$107,B335,'Mix Substation Location Summary'!$M$4:$M$107)</f>
        <v>41786.302868012965</v>
      </c>
      <c r="N335" s="255">
        <f>G335-SUM(H335:M335)</f>
        <v>0</v>
      </c>
      <c r="O335" s="252" t="s">
        <v>1483</v>
      </c>
      <c r="P335" s="252" t="s">
        <v>1723</v>
      </c>
      <c r="Q335" s="258">
        <f>SUMIF('Antelope Bailey Split BA'!$B$7:$B$29,B335,'Antelope Bailey Split BA'!$C$7:$C$29)</f>
        <v>0</v>
      </c>
      <c r="R335" s="258" t="str">
        <f>IF(AND(Q335=1,'Plant Total by Account'!$J$1=2),"EKWRA","")</f>
        <v/>
      </c>
    </row>
    <row r="336" spans="1:18" ht="12.75" customHeight="1" x14ac:dyDescent="0.2">
      <c r="A336" s="249" t="s">
        <v>2378</v>
      </c>
      <c r="B336" s="252" t="s">
        <v>1143</v>
      </c>
      <c r="C336" s="252" t="s">
        <v>3350</v>
      </c>
      <c r="D336" s="253">
        <v>140739.19999999998</v>
      </c>
      <c r="E336" s="253">
        <v>1321401.23</v>
      </c>
      <c r="F336" s="253">
        <v>42996613.510000005</v>
      </c>
      <c r="G336" s="546">
        <f t="shared" si="29"/>
        <v>44458753.940000005</v>
      </c>
      <c r="H336" s="254">
        <f>SUMIF('Mix Substation Location Summary'!$B$4:$B$107,B336,'Mix Substation Location Summary'!$C$4:$C$107)</f>
        <v>44241.303270715944</v>
      </c>
      <c r="I336" s="254">
        <f>SUMIF('Mix Substation Location Summary'!$B$4:$B$107,B336,'Mix Substation Location Summary'!$G$4:$G$107)</f>
        <v>402115.4645041675</v>
      </c>
      <c r="J336" s="254">
        <f>SUMIF('Mix Substation Location Summary'!$B$4:$B$107,B336,'Mix Substation Location Summary'!$K$4:$K$107)</f>
        <v>13545005.490232343</v>
      </c>
      <c r="K336" s="254">
        <f>SUMIF('Mix Substation Location Summary'!$B$4:$B$107,B336,'Mix Substation Location Summary'!$D$4:$D$107)+SUMIF('Mix Substation Location Summary'!$B$4:$B$107,B336,'Mix Substation Location Summary'!$E$4:$E$107)</f>
        <v>96497.896729284053</v>
      </c>
      <c r="L336" s="254">
        <f>SUMIF('Mix Substation Location Summary'!$B$4:$B$107,B336,'Mix Substation Location Summary'!$H$4:$H$107)+SUMIF('Mix Substation Location Summary'!$B$4:$B$107,B336,'Mix Substation Location Summary'!$I$4:$I$107)</f>
        <v>919285.76549583243</v>
      </c>
      <c r="M336" s="254">
        <f>SUMIF('Mix Substation Location Summary'!$B$4:$B$107,B336,'Mix Substation Location Summary'!$L$4:$L$107)+SUMIF('Mix Substation Location Summary'!$B$4:$B$107,B336,'Mix Substation Location Summary'!$M$4:$M$107)</f>
        <v>29451608.019767661</v>
      </c>
      <c r="N336" s="255">
        <f t="shared" si="30"/>
        <v>0</v>
      </c>
      <c r="O336" s="252" t="s">
        <v>1483</v>
      </c>
      <c r="P336" s="252" t="s">
        <v>1477</v>
      </c>
      <c r="Q336" s="258">
        <f>SUMIF('Antelope Bailey Split BA'!$B$7:$B$29,B336,'Antelope Bailey Split BA'!$C$7:$C$29)</f>
        <v>0</v>
      </c>
      <c r="R336" s="258" t="str">
        <f>IF(AND(Q336=1,'Plant Total by Account'!$J$1=2),"EKWRA","")</f>
        <v/>
      </c>
    </row>
    <row r="337" spans="1:18" ht="12.75" customHeight="1" x14ac:dyDescent="0.2">
      <c r="A337" s="249" t="s">
        <v>2379</v>
      </c>
      <c r="B337" s="252" t="s">
        <v>1144</v>
      </c>
      <c r="C337" s="252" t="s">
        <v>3350</v>
      </c>
      <c r="D337" s="253">
        <v>236193.55000000002</v>
      </c>
      <c r="E337" s="253">
        <v>900615.46</v>
      </c>
      <c r="F337" s="253">
        <v>18471747.499999993</v>
      </c>
      <c r="G337" s="546">
        <f t="shared" si="29"/>
        <v>19608556.509999994</v>
      </c>
      <c r="H337" s="254">
        <f>SUMIF('Mix Substation Location Summary'!$B$4:$B$107,B337,'Mix Substation Location Summary'!$C$4:$C$107)</f>
        <v>39103.887131764772</v>
      </c>
      <c r="I337" s="254">
        <f>SUMIF('Mix Substation Location Summary'!$B$4:$B$107,B337,'Mix Substation Location Summary'!$G$4:$G$107)</f>
        <v>149088.58456507372</v>
      </c>
      <c r="J337" s="254">
        <f>SUMIF('Mix Substation Location Summary'!$B$4:$B$107,B337,'Mix Substation Location Summary'!$K$4:$K$107)</f>
        <v>2771172.6334364708</v>
      </c>
      <c r="K337" s="254">
        <f>SUMIF('Mix Substation Location Summary'!$B$4:$B$107,B337,'Mix Substation Location Summary'!$D$4:$D$107)+SUMIF('Mix Substation Location Summary'!$B$4:$B$107,B337,'Mix Substation Location Summary'!$E$4:$E$107)</f>
        <v>197089.66286823523</v>
      </c>
      <c r="L337" s="254">
        <f>SUMIF('Mix Substation Location Summary'!$B$4:$B$107,B337,'Mix Substation Location Summary'!$H$4:$H$107)+SUMIF('Mix Substation Location Summary'!$B$4:$B$107,B337,'Mix Substation Location Summary'!$I$4:$I$107)</f>
        <v>751526.87543492625</v>
      </c>
      <c r="M337" s="254">
        <f>SUMIF('Mix Substation Location Summary'!$B$4:$B$107,B337,'Mix Substation Location Summary'!$L$4:$L$107)+SUMIF('Mix Substation Location Summary'!$B$4:$B$107,B337,'Mix Substation Location Summary'!$M$4:$M$107)</f>
        <v>15700574.866563529</v>
      </c>
      <c r="N337" s="255">
        <f t="shared" si="30"/>
        <v>0</v>
      </c>
      <c r="O337" s="252" t="s">
        <v>1483</v>
      </c>
      <c r="P337" s="252" t="s">
        <v>1477</v>
      </c>
      <c r="Q337" s="258">
        <f>SUMIF('Antelope Bailey Split BA'!$B$7:$B$29,B337,'Antelope Bailey Split BA'!$C$7:$C$29)</f>
        <v>0</v>
      </c>
      <c r="R337" s="258" t="str">
        <f>IF(AND(Q337=1,'Plant Total by Account'!$J$1=2),"EKWRA","")</f>
        <v/>
      </c>
    </row>
    <row r="338" spans="1:18" ht="12.75" customHeight="1" x14ac:dyDescent="0.2">
      <c r="A338" s="249" t="s">
        <v>2380</v>
      </c>
      <c r="B338" s="252" t="s">
        <v>1145</v>
      </c>
      <c r="C338" s="252" t="s">
        <v>3350</v>
      </c>
      <c r="D338" s="253">
        <v>184090.99</v>
      </c>
      <c r="E338" s="253">
        <v>3495537.96</v>
      </c>
      <c r="F338" s="253">
        <v>52928752.880000055</v>
      </c>
      <c r="G338" s="546">
        <f t="shared" si="29"/>
        <v>56608381.830000058</v>
      </c>
      <c r="H338" s="254">
        <f>SUMIF('Mix Substation Location Summary'!$B$4:$B$107,B338,'Mix Substation Location Summary'!$C$4:$C$107)</f>
        <v>19239.874250503792</v>
      </c>
      <c r="I338" s="254">
        <f>SUMIF('Mix Substation Location Summary'!$B$4:$B$107,B338,'Mix Substation Location Summary'!$G$4:$G$107)</f>
        <v>365328.63877945655</v>
      </c>
      <c r="J338" s="254">
        <f>SUMIF('Mix Substation Location Summary'!$B$4:$B$107,B338,'Mix Substation Location Summary'!$K$4:$K$107)</f>
        <v>5531734.8754938561</v>
      </c>
      <c r="K338" s="254">
        <f>SUMIF('Mix Substation Location Summary'!$B$4:$B$107,B338,'Mix Substation Location Summary'!$D$4:$D$107)+SUMIF('Mix Substation Location Summary'!$B$4:$B$107,B338,'Mix Substation Location Summary'!$E$4:$E$107)</f>
        <v>164851.11574949621</v>
      </c>
      <c r="L338" s="254">
        <f>SUMIF('Mix Substation Location Summary'!$B$4:$B$107,B338,'Mix Substation Location Summary'!$H$4:$H$107)+SUMIF('Mix Substation Location Summary'!$B$4:$B$107,B338,'Mix Substation Location Summary'!$I$4:$I$107)</f>
        <v>3130209.3212205428</v>
      </c>
      <c r="M338" s="254">
        <f>SUMIF('Mix Substation Location Summary'!$B$4:$B$107,B338,'Mix Substation Location Summary'!$L$4:$L$107)+SUMIF('Mix Substation Location Summary'!$B$4:$B$107,B338,'Mix Substation Location Summary'!$M$4:$M$107)</f>
        <v>47397018.004506148</v>
      </c>
      <c r="N338" s="255">
        <f t="shared" si="30"/>
        <v>0</v>
      </c>
      <c r="O338" s="252" t="s">
        <v>1483</v>
      </c>
      <c r="P338" s="252" t="s">
        <v>1477</v>
      </c>
      <c r="Q338" s="258">
        <f>SUMIF('Antelope Bailey Split BA'!$B$7:$B$29,B338,'Antelope Bailey Split BA'!$C$7:$C$29)</f>
        <v>0</v>
      </c>
      <c r="R338" s="258" t="str">
        <f>IF(AND(Q338=1,'Plant Total by Account'!$J$1=2),"EKWRA","")</f>
        <v/>
      </c>
    </row>
    <row r="339" spans="1:18" ht="12.75" customHeight="1" x14ac:dyDescent="0.2">
      <c r="A339" s="249" t="s">
        <v>2382</v>
      </c>
      <c r="B339" s="252" t="s">
        <v>172</v>
      </c>
      <c r="C339" s="252" t="s">
        <v>3350</v>
      </c>
      <c r="D339" s="253">
        <v>111063.36</v>
      </c>
      <c r="E339" s="253">
        <v>895917.61999999988</v>
      </c>
      <c r="F339" s="253">
        <v>16844418.190000001</v>
      </c>
      <c r="G339" s="546">
        <f>SUM(D339:F339)</f>
        <v>17851399.170000002</v>
      </c>
      <c r="H339" s="254">
        <f>SUMIF('Mix Substation Location Summary'!$B$4:$B$107,B339,'Mix Substation Location Summary'!$C$4:$C$107)</f>
        <v>110066.54350774967</v>
      </c>
      <c r="I339" s="254">
        <f>SUMIF('Mix Substation Location Summary'!$B$4:$B$107,B339,'Mix Substation Location Summary'!$G$4:$G$107)</f>
        <v>887876.57514674088</v>
      </c>
      <c r="J339" s="254">
        <f>SUMIF('Mix Substation Location Summary'!$B$4:$B$107,B339,'Mix Substation Location Summary'!$K$4:$K$107)</f>
        <v>16696074.250877887</v>
      </c>
      <c r="K339" s="254">
        <f>SUMIF('Mix Substation Location Summary'!$B$4:$B$107,B339,'Mix Substation Location Summary'!$D$4:$D$107)+SUMIF('Mix Substation Location Summary'!$B$4:$B$107,B339,'Mix Substation Location Summary'!$E$4:$E$107)</f>
        <v>996.81649225033777</v>
      </c>
      <c r="L339" s="254">
        <f>SUMIF('Mix Substation Location Summary'!$B$4:$B$107,B339,'Mix Substation Location Summary'!$H$4:$H$107)+SUMIF('Mix Substation Location Summary'!$B$4:$B$107,B339,'Mix Substation Location Summary'!$I$4:$I$107)</f>
        <v>8041.0448532591763</v>
      </c>
      <c r="M339" s="254">
        <f>SUMIF('Mix Substation Location Summary'!$B$4:$B$107,B339,'Mix Substation Location Summary'!$L$4:$L$107)+SUMIF('Mix Substation Location Summary'!$B$4:$B$107,B339,'Mix Substation Location Summary'!$M$4:$M$107)</f>
        <v>148343.93912211625</v>
      </c>
      <c r="N339" s="255">
        <f>G339-SUM(H339:M339)</f>
        <v>0</v>
      </c>
      <c r="O339" s="252" t="s">
        <v>1483</v>
      </c>
      <c r="P339" s="252" t="s">
        <v>1723</v>
      </c>
      <c r="Q339" s="258">
        <f>SUMIF('Antelope Bailey Split BA'!$B$7:$B$29,B339,'Antelope Bailey Split BA'!$C$7:$C$29)</f>
        <v>0</v>
      </c>
      <c r="R339" s="258" t="str">
        <f>IF(AND(Q339=1,'Plant Total by Account'!$J$1=2),"EKWRA","")</f>
        <v/>
      </c>
    </row>
    <row r="340" spans="1:18" ht="12.75" customHeight="1" x14ac:dyDescent="0.2">
      <c r="A340" s="249" t="s">
        <v>2383</v>
      </c>
      <c r="B340" s="252" t="s">
        <v>1147</v>
      </c>
      <c r="C340" s="252" t="s">
        <v>3350</v>
      </c>
      <c r="D340" s="253">
        <v>149547.04</v>
      </c>
      <c r="E340" s="253">
        <v>2130012.46</v>
      </c>
      <c r="F340" s="253">
        <v>37435842.520000003</v>
      </c>
      <c r="G340" s="546">
        <f t="shared" si="29"/>
        <v>39715402.020000003</v>
      </c>
      <c r="H340" s="254">
        <f>SUMIF('Mix Substation Location Summary'!$B$4:$B$107,B340,'Mix Substation Location Summary'!$C$4:$C$107)</f>
        <v>33768.503191623888</v>
      </c>
      <c r="I340" s="254">
        <f>SUMIF('Mix Substation Location Summary'!$B$4:$B$107,B340,'Mix Substation Location Summary'!$G$4:$G$107)</f>
        <v>480967.94303667673</v>
      </c>
      <c r="J340" s="254">
        <f>SUMIF('Mix Substation Location Summary'!$B$4:$B$107,B340,'Mix Substation Location Summary'!$K$4:$K$107)</f>
        <v>8458233.2704915218</v>
      </c>
      <c r="K340" s="254">
        <f>SUMIF('Mix Substation Location Summary'!$B$4:$B$107,B340,'Mix Substation Location Summary'!$D$4:$D$107)+SUMIF('Mix Substation Location Summary'!$B$4:$B$107,B340,'Mix Substation Location Summary'!$E$4:$E$107)</f>
        <v>115778.53680837611</v>
      </c>
      <c r="L340" s="254">
        <f>SUMIF('Mix Substation Location Summary'!$B$4:$B$107,B340,'Mix Substation Location Summary'!$H$4:$H$107)+SUMIF('Mix Substation Location Summary'!$B$4:$B$107,B340,'Mix Substation Location Summary'!$I$4:$I$107)</f>
        <v>1649044.5169633226</v>
      </c>
      <c r="M340" s="254">
        <f>SUMIF('Mix Substation Location Summary'!$B$4:$B$107,B340,'Mix Substation Location Summary'!$L$4:$L$107)+SUMIF('Mix Substation Location Summary'!$B$4:$B$107,B340,'Mix Substation Location Summary'!$M$4:$M$107)</f>
        <v>28977609.249508481</v>
      </c>
      <c r="N340" s="255">
        <f t="shared" si="30"/>
        <v>0</v>
      </c>
      <c r="O340" s="252" t="s">
        <v>1483</v>
      </c>
      <c r="P340" s="252" t="s">
        <v>1477</v>
      </c>
      <c r="Q340" s="258">
        <f>SUMIF('Antelope Bailey Split BA'!$B$7:$B$29,B340,'Antelope Bailey Split BA'!$C$7:$C$29)</f>
        <v>0</v>
      </c>
      <c r="R340" s="258" t="str">
        <f>IF(AND(Q340=1,'Plant Total by Account'!$J$1=2),"EKWRA","")</f>
        <v/>
      </c>
    </row>
    <row r="341" spans="1:18" ht="12.75" customHeight="1" x14ac:dyDescent="0.2">
      <c r="A341" s="249" t="s">
        <v>2385</v>
      </c>
      <c r="B341" s="252" t="s">
        <v>1149</v>
      </c>
      <c r="C341" s="252" t="s">
        <v>3350</v>
      </c>
      <c r="D341" s="253">
        <v>34464.600000000006</v>
      </c>
      <c r="E341" s="253">
        <v>2457703.66</v>
      </c>
      <c r="F341" s="253">
        <v>36065298.079999804</v>
      </c>
      <c r="G341" s="546">
        <f t="shared" si="29"/>
        <v>38557466.339999802</v>
      </c>
      <c r="H341" s="254">
        <f>SUMIF('Mix Substation Location Summary'!$B$4:$B$107,B341,'Mix Substation Location Summary'!$C$4:$C$107)</f>
        <v>8320.2457641169785</v>
      </c>
      <c r="I341" s="254">
        <f>SUMIF('Mix Substation Location Summary'!$B$4:$B$107,B341,'Mix Substation Location Summary'!$G$4:$G$107)</f>
        <v>574440.7712550296</v>
      </c>
      <c r="J341" s="254">
        <f>SUMIF('Mix Substation Location Summary'!$B$4:$B$107,B341,'Mix Substation Location Summary'!$K$4:$K$107)</f>
        <v>8725618.4179796092</v>
      </c>
      <c r="K341" s="254">
        <f>SUMIF('Mix Substation Location Summary'!$B$4:$B$107,B341,'Mix Substation Location Summary'!$D$4:$D$107)+SUMIF('Mix Substation Location Summary'!$B$4:$B$107,B341,'Mix Substation Location Summary'!$E$4:$E$107)</f>
        <v>26144.354235883027</v>
      </c>
      <c r="L341" s="254">
        <f>SUMIF('Mix Substation Location Summary'!$B$4:$B$107,B341,'Mix Substation Location Summary'!$H$4:$H$107)+SUMIF('Mix Substation Location Summary'!$B$4:$B$107,B341,'Mix Substation Location Summary'!$I$4:$I$107)</f>
        <v>1883262.8887449708</v>
      </c>
      <c r="M341" s="254">
        <f>SUMIF('Mix Substation Location Summary'!$B$4:$B$107,B341,'Mix Substation Location Summary'!$L$4:$L$107)+SUMIF('Mix Substation Location Summary'!$B$4:$B$107,B341,'Mix Substation Location Summary'!$M$4:$M$107)</f>
        <v>27339679.662020389</v>
      </c>
      <c r="N341" s="255">
        <f t="shared" si="30"/>
        <v>-2.0116567611694336E-7</v>
      </c>
      <c r="O341" s="252" t="s">
        <v>1483</v>
      </c>
      <c r="P341" s="252" t="s">
        <v>1477</v>
      </c>
      <c r="Q341" s="258">
        <f>SUMIF('Antelope Bailey Split BA'!$B$7:$B$29,B341,'Antelope Bailey Split BA'!$C$7:$C$29)</f>
        <v>0</v>
      </c>
      <c r="R341" s="258" t="str">
        <f>IF(AND(Q341=1,'Plant Total by Account'!$J$1=2),"EKWRA","")</f>
        <v/>
      </c>
    </row>
    <row r="342" spans="1:18" ht="12.75" customHeight="1" x14ac:dyDescent="0.2">
      <c r="A342" s="249" t="s">
        <v>2386</v>
      </c>
      <c r="B342" s="252" t="s">
        <v>1150</v>
      </c>
      <c r="C342" s="252" t="s">
        <v>3350</v>
      </c>
      <c r="D342" s="253">
        <v>0</v>
      </c>
      <c r="E342" s="253">
        <v>2214.6400000000003</v>
      </c>
      <c r="F342" s="253">
        <v>804742.47999999986</v>
      </c>
      <c r="G342" s="546">
        <f t="shared" si="29"/>
        <v>806957.11999999988</v>
      </c>
      <c r="H342" s="254">
        <f>SUMIF('Mix Substation Location Summary'!$B$4:$B$107,B342,'Mix Substation Location Summary'!$C$4:$C$107)</f>
        <v>0</v>
      </c>
      <c r="I342" s="254">
        <f>SUMIF('Mix Substation Location Summary'!$B$4:$B$107,B342,'Mix Substation Location Summary'!$G$4:$G$107)</f>
        <v>1545.9963632517868</v>
      </c>
      <c r="J342" s="254">
        <f>SUMIF('Mix Substation Location Summary'!$B$4:$B$107,B342,'Mix Substation Location Summary'!$K$4:$K$107)</f>
        <v>561774.80196972121</v>
      </c>
      <c r="K342" s="254">
        <f>SUMIF('Mix Substation Location Summary'!$B$4:$B$107,B342,'Mix Substation Location Summary'!$D$4:$D$107)+SUMIF('Mix Substation Location Summary'!$B$4:$B$107,B342,'Mix Substation Location Summary'!$E$4:$E$107)</f>
        <v>0</v>
      </c>
      <c r="L342" s="254">
        <f>SUMIF('Mix Substation Location Summary'!$B$4:$B$107,B342,'Mix Substation Location Summary'!$H$4:$H$107)+SUMIF('Mix Substation Location Summary'!$B$4:$B$107,B342,'Mix Substation Location Summary'!$I$4:$I$107)</f>
        <v>668.64363674821368</v>
      </c>
      <c r="M342" s="254">
        <f>SUMIF('Mix Substation Location Summary'!$B$4:$B$107,B342,'Mix Substation Location Summary'!$L$4:$L$107)+SUMIF('Mix Substation Location Summary'!$B$4:$B$107,B342,'Mix Substation Location Summary'!$M$4:$M$107)</f>
        <v>242967.67803027874</v>
      </c>
      <c r="N342" s="255">
        <f t="shared" si="30"/>
        <v>0</v>
      </c>
      <c r="O342" s="252" t="s">
        <v>1483</v>
      </c>
      <c r="P342" s="252" t="s">
        <v>1477</v>
      </c>
      <c r="Q342" s="258">
        <f>SUMIF('Antelope Bailey Split BA'!$B$7:$B$29,B342,'Antelope Bailey Split BA'!$C$7:$C$29)</f>
        <v>0</v>
      </c>
      <c r="R342" s="258" t="str">
        <f>IF(AND(Q342=1,'Plant Total by Account'!$J$1=2),"EKWRA","")</f>
        <v/>
      </c>
    </row>
    <row r="343" spans="1:18" ht="12.75" customHeight="1" x14ac:dyDescent="0.2">
      <c r="A343" s="249" t="s">
        <v>2387</v>
      </c>
      <c r="B343" s="252" t="s">
        <v>173</v>
      </c>
      <c r="C343" s="252" t="s">
        <v>3350</v>
      </c>
      <c r="D343" s="253">
        <v>52108.99</v>
      </c>
      <c r="E343" s="253">
        <v>8031798.5300000031</v>
      </c>
      <c r="F343" s="253">
        <v>60916108.099999912</v>
      </c>
      <c r="G343" s="546">
        <f t="shared" si="29"/>
        <v>69000015.619999915</v>
      </c>
      <c r="H343" s="254">
        <f>SUMIF('Mix Substation Location Summary'!$B$4:$B$107,B343,'Mix Substation Location Summary'!$C$4:$C$107)</f>
        <v>12411.991345650629</v>
      </c>
      <c r="I343" s="254">
        <f>SUMIF('Mix Substation Location Summary'!$B$4:$B$107,B343,'Mix Substation Location Summary'!$G$4:$G$107)</f>
        <v>1897774.4507446084</v>
      </c>
      <c r="J343" s="254">
        <f>SUMIF('Mix Substation Location Summary'!$B$4:$B$107,B343,'Mix Substation Location Summary'!$K$4:$K$107)</f>
        <v>14533290.849897688</v>
      </c>
      <c r="K343" s="254">
        <f>SUMIF('Mix Substation Location Summary'!$B$4:$B$107,B343,'Mix Substation Location Summary'!$D$4:$D$107)+SUMIF('Mix Substation Location Summary'!$B$4:$B$107,B343,'Mix Substation Location Summary'!$E$4:$E$107)</f>
        <v>39696.998654349372</v>
      </c>
      <c r="L343" s="254">
        <f>SUMIF('Mix Substation Location Summary'!$B$4:$B$107,B343,'Mix Substation Location Summary'!$H$4:$H$107)+SUMIF('Mix Substation Location Summary'!$B$4:$B$107,B343,'Mix Substation Location Summary'!$I$4:$I$107)</f>
        <v>6134024.0792553909</v>
      </c>
      <c r="M343" s="254">
        <f>SUMIF('Mix Substation Location Summary'!$B$4:$B$107,B343,'Mix Substation Location Summary'!$L$4:$L$107)+SUMIF('Mix Substation Location Summary'!$B$4:$B$107,B343,'Mix Substation Location Summary'!$M$4:$M$107)</f>
        <v>46382817.250102304</v>
      </c>
      <c r="N343" s="255">
        <f t="shared" si="30"/>
        <v>0</v>
      </c>
      <c r="O343" s="252" t="s">
        <v>1483</v>
      </c>
      <c r="P343" s="252" t="s">
        <v>1477</v>
      </c>
      <c r="Q343" s="258">
        <f>SUMIF('Antelope Bailey Split BA'!$B$7:$B$29,B343,'Antelope Bailey Split BA'!$C$7:$C$29)</f>
        <v>0</v>
      </c>
      <c r="R343" s="258" t="str">
        <f>IF(AND(Q343=1,'Plant Total by Account'!$J$1=2),"EKWRA","")</f>
        <v/>
      </c>
    </row>
    <row r="344" spans="1:18" ht="12.75" customHeight="1" x14ac:dyDescent="0.2">
      <c r="A344" s="249" t="s">
        <v>2390</v>
      </c>
      <c r="B344" s="252" t="s">
        <v>1153</v>
      </c>
      <c r="C344" s="252" t="s">
        <v>3349</v>
      </c>
      <c r="D344" s="253">
        <v>285546.10000000003</v>
      </c>
      <c r="E344" s="253">
        <v>8352641.54</v>
      </c>
      <c r="F344" s="253">
        <v>146698825.66999963</v>
      </c>
      <c r="G344" s="546">
        <f t="shared" si="29"/>
        <v>155337013.30999964</v>
      </c>
      <c r="H344" s="254">
        <f>SUMIF('Mix Substation Location Summary'!$B$4:$B$107,B344,'Mix Substation Location Summary'!$C$4:$C$107)</f>
        <v>248793.39629457137</v>
      </c>
      <c r="I344" s="254">
        <f>SUMIF('Mix Substation Location Summary'!$B$4:$B$107,B344,'Mix Substation Location Summary'!$G$4:$G$107)</f>
        <v>7278131.3661367567</v>
      </c>
      <c r="J344" s="254">
        <f>SUMIF('Mix Substation Location Summary'!$B$4:$B$107,B344,'Mix Substation Location Summary'!$K$4:$K$107)</f>
        <v>131732887.31865869</v>
      </c>
      <c r="K344" s="254">
        <f>SUMIF('Mix Substation Location Summary'!$B$4:$B$107,B344,'Mix Substation Location Summary'!$D$4:$D$107)+SUMIF('Mix Substation Location Summary'!$B$4:$B$107,B344,'Mix Substation Location Summary'!$E$4:$E$107)</f>
        <v>36752.703705428634</v>
      </c>
      <c r="L344" s="254">
        <f>SUMIF('Mix Substation Location Summary'!$B$4:$B$107,B344,'Mix Substation Location Summary'!$H$4:$H$107)+SUMIF('Mix Substation Location Summary'!$B$4:$B$107,B344,'Mix Substation Location Summary'!$I$4:$I$107)</f>
        <v>1074510.1738632433</v>
      </c>
      <c r="M344" s="254">
        <f>SUMIF('Mix Substation Location Summary'!$B$4:$B$107,B344,'Mix Substation Location Summary'!$L$4:$L$107)+SUMIF('Mix Substation Location Summary'!$B$4:$B$107,B344,'Mix Substation Location Summary'!$M$4:$M$107)</f>
        <v>14965938.35134132</v>
      </c>
      <c r="N344" s="255">
        <f t="shared" si="30"/>
        <v>-3.5762786865234375E-7</v>
      </c>
      <c r="O344" s="252" t="s">
        <v>1483</v>
      </c>
      <c r="P344" s="252" t="s">
        <v>1477</v>
      </c>
      <c r="Q344" s="258">
        <f>SUMIF('Antelope Bailey Split BA'!$B$7:$B$29,B344,'Antelope Bailey Split BA'!$C$7:$C$29)</f>
        <v>0</v>
      </c>
      <c r="R344" s="258" t="str">
        <f>IF(AND(Q344=1,'Plant Total by Account'!$J$1=2),"EKWRA","")</f>
        <v/>
      </c>
    </row>
    <row r="345" spans="1:18" ht="12.75" customHeight="1" x14ac:dyDescent="0.2">
      <c r="A345" s="249" t="s">
        <v>2392</v>
      </c>
      <c r="B345" s="252" t="s">
        <v>174</v>
      </c>
      <c r="C345" s="252" t="s">
        <v>3349</v>
      </c>
      <c r="D345" s="253">
        <v>477276.22000000003</v>
      </c>
      <c r="E345" s="253">
        <v>12830372.719999995</v>
      </c>
      <c r="F345" s="253">
        <v>151449652.70000017</v>
      </c>
      <c r="G345" s="546">
        <f t="shared" si="29"/>
        <v>164757301.64000016</v>
      </c>
      <c r="H345" s="254">
        <f>SUMIF('Mix Substation Location Summary'!$B$4:$B$107,B345,'Mix Substation Location Summary'!$C$4:$C$107)</f>
        <v>381928.44123324734</v>
      </c>
      <c r="I345" s="254">
        <f>SUMIF('Mix Substation Location Summary'!$B$4:$B$107,B345,'Mix Substation Location Summary'!$G$4:$G$107)</f>
        <v>10307489.370297661</v>
      </c>
      <c r="J345" s="254">
        <f>SUMIF('Mix Substation Location Summary'!$B$4:$B$107,B345,'Mix Substation Location Summary'!$K$4:$K$107)</f>
        <v>121153520.88006535</v>
      </c>
      <c r="K345" s="254">
        <f>SUMIF('Mix Substation Location Summary'!$B$4:$B$107,B345,'Mix Substation Location Summary'!$D$4:$D$107)+SUMIF('Mix Substation Location Summary'!$B$4:$B$107,B345,'Mix Substation Location Summary'!$E$4:$E$107)</f>
        <v>95347.778766752672</v>
      </c>
      <c r="L345" s="254">
        <f>SUMIF('Mix Substation Location Summary'!$B$4:$B$107,B345,'Mix Substation Location Summary'!$H$4:$H$107)+SUMIF('Mix Substation Location Summary'!$B$4:$B$107,B345,'Mix Substation Location Summary'!$I$4:$I$107)</f>
        <v>2522883.349702341</v>
      </c>
      <c r="M345" s="254">
        <f>SUMIF('Mix Substation Location Summary'!$B$4:$B$107,B345,'Mix Substation Location Summary'!$L$4:$L$107)+SUMIF('Mix Substation Location Summary'!$B$4:$B$107,B345,'Mix Substation Location Summary'!$M$4:$M$107)</f>
        <v>30296131.819934692</v>
      </c>
      <c r="N345" s="255">
        <f t="shared" si="30"/>
        <v>0</v>
      </c>
      <c r="O345" s="252" t="s">
        <v>1483</v>
      </c>
      <c r="P345" s="252" t="s">
        <v>1477</v>
      </c>
      <c r="Q345" s="258">
        <f>SUMIF('Antelope Bailey Split BA'!$B$7:$B$29,B345,'Antelope Bailey Split BA'!$C$7:$C$29)</f>
        <v>0</v>
      </c>
      <c r="R345" s="258" t="str">
        <f>IF(AND(Q345=1,'Plant Total by Account'!$J$1=2),"EKWRA","")</f>
        <v/>
      </c>
    </row>
    <row r="346" spans="1:18" ht="12.75" customHeight="1" x14ac:dyDescent="0.2">
      <c r="A346" s="249" t="s">
        <v>2393</v>
      </c>
      <c r="B346" s="252" t="s">
        <v>1155</v>
      </c>
      <c r="C346" s="252" t="s">
        <v>3350</v>
      </c>
      <c r="D346" s="253">
        <v>678277.54</v>
      </c>
      <c r="E346" s="253">
        <v>560613.9</v>
      </c>
      <c r="F346" s="253">
        <v>22188910.909999985</v>
      </c>
      <c r="G346" s="546">
        <f t="shared" si="29"/>
        <v>23427802.349999987</v>
      </c>
      <c r="H346" s="254">
        <f>SUMIF('Mix Substation Location Summary'!$B$4:$B$107,B346,'Mix Substation Location Summary'!$C$4:$C$107)</f>
        <v>167261.41389304385</v>
      </c>
      <c r="I346" s="254">
        <f>SUMIF('Mix Substation Location Summary'!$B$4:$B$107,B346,'Mix Substation Location Summary'!$G$4:$G$107)</f>
        <v>135538.46327483363</v>
      </c>
      <c r="J346" s="254">
        <f>SUMIF('Mix Substation Location Summary'!$B$4:$B$107,B346,'Mix Substation Location Summary'!$K$4:$K$107)</f>
        <v>5474433.0612363266</v>
      </c>
      <c r="K346" s="254">
        <f>SUMIF('Mix Substation Location Summary'!$B$4:$B$107,B346,'Mix Substation Location Summary'!$D$4:$D$107)+SUMIF('Mix Substation Location Summary'!$B$4:$B$107,B346,'Mix Substation Location Summary'!$E$4:$E$107)</f>
        <v>511016.12610695616</v>
      </c>
      <c r="L346" s="254">
        <f>SUMIF('Mix Substation Location Summary'!$B$4:$B$107,B346,'Mix Substation Location Summary'!$H$4:$H$107)+SUMIF('Mix Substation Location Summary'!$B$4:$B$107,B346,'Mix Substation Location Summary'!$I$4:$I$107)</f>
        <v>425075.43672516634</v>
      </c>
      <c r="M346" s="254">
        <f>SUMIF('Mix Substation Location Summary'!$B$4:$B$107,B346,'Mix Substation Location Summary'!$L$4:$L$107)+SUMIF('Mix Substation Location Summary'!$B$4:$B$107,B346,'Mix Substation Location Summary'!$M$4:$M$107)</f>
        <v>16714477.848763673</v>
      </c>
      <c r="N346" s="255">
        <f t="shared" ref="N346:N369" si="31">G346-SUM(H346:M346)</f>
        <v>0</v>
      </c>
      <c r="O346" s="252" t="s">
        <v>1483</v>
      </c>
      <c r="P346" s="252" t="s">
        <v>1477</v>
      </c>
      <c r="Q346" s="258">
        <f>SUMIF('Antelope Bailey Split BA'!$B$7:$B$29,B346,'Antelope Bailey Split BA'!$C$7:$C$29)</f>
        <v>0</v>
      </c>
      <c r="R346" s="258" t="str">
        <f>IF(AND(Q346=1,'Plant Total by Account'!$J$1=2),"EKWRA","")</f>
        <v/>
      </c>
    </row>
    <row r="347" spans="1:18" ht="12.75" customHeight="1" x14ac:dyDescent="0.2">
      <c r="A347" s="249" t="s">
        <v>2395</v>
      </c>
      <c r="B347" s="252" t="s">
        <v>1157</v>
      </c>
      <c r="C347" s="252" t="s">
        <v>3350</v>
      </c>
      <c r="D347" s="253">
        <v>164679.62</v>
      </c>
      <c r="E347" s="253">
        <v>8573785.549999997</v>
      </c>
      <c r="F347" s="253">
        <v>33207542.700000018</v>
      </c>
      <c r="G347" s="546">
        <f t="shared" si="29"/>
        <v>41946007.870000012</v>
      </c>
      <c r="H347" s="254">
        <f>SUMIF('Mix Substation Location Summary'!$B$4:$B$107,B347,'Mix Substation Location Summary'!$C$4:$C$107)</f>
        <v>58795.897943290678</v>
      </c>
      <c r="I347" s="254">
        <f>SUMIF('Mix Substation Location Summary'!$B$4:$B$107,B347,'Mix Substation Location Summary'!$G$4:$G$107)</f>
        <v>3061116.0032155793</v>
      </c>
      <c r="J347" s="254">
        <f>SUMIF('Mix Substation Location Summary'!$B$4:$B$107,B347,'Mix Substation Location Summary'!$K$4:$K$107)</f>
        <v>11856156.162715625</v>
      </c>
      <c r="K347" s="254">
        <f>SUMIF('Mix Substation Location Summary'!$B$4:$B$107,B347,'Mix Substation Location Summary'!$D$4:$D$107)+SUMIF('Mix Substation Location Summary'!$B$4:$B$107,B347,'Mix Substation Location Summary'!$E$4:$E$107)</f>
        <v>105883.72205670933</v>
      </c>
      <c r="L347" s="254">
        <f>SUMIF('Mix Substation Location Summary'!$B$4:$B$107,B347,'Mix Substation Location Summary'!$H$4:$H$107)+SUMIF('Mix Substation Location Summary'!$B$4:$B$107,B347,'Mix Substation Location Summary'!$I$4:$I$107)</f>
        <v>5512669.5467844224</v>
      </c>
      <c r="M347" s="254">
        <f>SUMIF('Mix Substation Location Summary'!$B$4:$B$107,B347,'Mix Substation Location Summary'!$L$4:$L$107)+SUMIF('Mix Substation Location Summary'!$B$4:$B$107,B347,'Mix Substation Location Summary'!$M$4:$M$107)</f>
        <v>21351386.537284371</v>
      </c>
      <c r="N347" s="255">
        <f t="shared" si="31"/>
        <v>0</v>
      </c>
      <c r="O347" s="252" t="s">
        <v>1483</v>
      </c>
      <c r="P347" s="252" t="s">
        <v>1477</v>
      </c>
      <c r="Q347" s="258">
        <f>SUMIF('Antelope Bailey Split BA'!$B$7:$B$29,B347,'Antelope Bailey Split BA'!$C$7:$C$29)</f>
        <v>0</v>
      </c>
      <c r="R347" s="258" t="str">
        <f>IF(AND(Q347=1,'Plant Total by Account'!$J$1=2),"EKWRA","")</f>
        <v/>
      </c>
    </row>
    <row r="348" spans="1:18" ht="12.75" customHeight="1" x14ac:dyDescent="0.2">
      <c r="A348" s="249" t="s">
        <v>2396</v>
      </c>
      <c r="B348" s="252" t="s">
        <v>1158</v>
      </c>
      <c r="C348" s="252" t="s">
        <v>3350</v>
      </c>
      <c r="D348" s="253">
        <v>131262.50000000003</v>
      </c>
      <c r="E348" s="253">
        <v>1465425.4300000004</v>
      </c>
      <c r="F348" s="253">
        <v>39715003.170000136</v>
      </c>
      <c r="G348" s="546">
        <f t="shared" si="29"/>
        <v>41311691.100000136</v>
      </c>
      <c r="H348" s="254">
        <f>SUMIF('Mix Substation Location Summary'!$B$4:$B$107,B348,'Mix Substation Location Summary'!$C$4:$C$107)</f>
        <v>36482.490789094161</v>
      </c>
      <c r="I348" s="254">
        <f>SUMIF('Mix Substation Location Summary'!$B$4:$B$107,B348,'Mix Substation Location Summary'!$G$4:$G$107)</f>
        <v>404087.37805177603</v>
      </c>
      <c r="J348" s="254">
        <f>SUMIF('Mix Substation Location Summary'!$B$4:$B$107,B348,'Mix Substation Location Summary'!$K$4:$K$107)</f>
        <v>11041410.057167346</v>
      </c>
      <c r="K348" s="254">
        <f>SUMIF('Mix Substation Location Summary'!$B$4:$B$107,B348,'Mix Substation Location Summary'!$D$4:$D$107)+SUMIF('Mix Substation Location Summary'!$B$4:$B$107,B348,'Mix Substation Location Summary'!$E$4:$E$107)</f>
        <v>94780.009210905861</v>
      </c>
      <c r="L348" s="254">
        <f>SUMIF('Mix Substation Location Summary'!$B$4:$B$107,B348,'Mix Substation Location Summary'!$H$4:$H$107)+SUMIF('Mix Substation Location Summary'!$B$4:$B$107,B348,'Mix Substation Location Summary'!$I$4:$I$107)</f>
        <v>1061338.0519482242</v>
      </c>
      <c r="M348" s="254">
        <f>SUMIF('Mix Substation Location Summary'!$B$4:$B$107,B348,'Mix Substation Location Summary'!$L$4:$L$107)+SUMIF('Mix Substation Location Summary'!$B$4:$B$107,B348,'Mix Substation Location Summary'!$M$4:$M$107)</f>
        <v>28673593.112832662</v>
      </c>
      <c r="N348" s="255">
        <f t="shared" si="31"/>
        <v>1.2665987014770508E-7</v>
      </c>
      <c r="O348" s="252" t="s">
        <v>1483</v>
      </c>
      <c r="P348" s="252" t="s">
        <v>1477</v>
      </c>
      <c r="Q348" s="258">
        <f>SUMIF('Antelope Bailey Split BA'!$B$7:$B$29,B348,'Antelope Bailey Split BA'!$C$7:$C$29)</f>
        <v>0</v>
      </c>
      <c r="R348" s="258" t="str">
        <f>IF(AND(Q348=1,'Plant Total by Account'!$J$1=2),"EKWRA","")</f>
        <v/>
      </c>
    </row>
    <row r="349" spans="1:18" ht="12.75" customHeight="1" x14ac:dyDescent="0.2">
      <c r="A349" s="249" t="s">
        <v>2397</v>
      </c>
      <c r="B349" s="252" t="s">
        <v>175</v>
      </c>
      <c r="C349" s="252" t="s">
        <v>3350</v>
      </c>
      <c r="D349" s="253">
        <v>185982.13999999998</v>
      </c>
      <c r="E349" s="253">
        <v>714826.34999999986</v>
      </c>
      <c r="F349" s="253">
        <v>44410784.479999997</v>
      </c>
      <c r="G349" s="546">
        <f t="shared" si="29"/>
        <v>45311592.969999999</v>
      </c>
      <c r="H349" s="254">
        <f>SUMIF('Mix Substation Location Summary'!$B$4:$B$107,B349,'Mix Substation Location Summary'!$C$4:$C$107)</f>
        <v>48620.621923627659</v>
      </c>
      <c r="I349" s="254">
        <f>SUMIF('Mix Substation Location Summary'!$B$4:$B$107,B349,'Mix Substation Location Summary'!$G$4:$G$107)</f>
        <v>211779.78002050592</v>
      </c>
      <c r="J349" s="254">
        <f>SUMIF('Mix Substation Location Summary'!$B$4:$B$107,B349,'Mix Substation Location Summary'!$K$4:$K$107)</f>
        <v>11585241.499755004</v>
      </c>
      <c r="K349" s="254">
        <f>SUMIF('Mix Substation Location Summary'!$B$4:$B$107,B349,'Mix Substation Location Summary'!$D$4:$D$107)+SUMIF('Mix Substation Location Summary'!$B$4:$B$107,B349,'Mix Substation Location Summary'!$E$4:$E$107)</f>
        <v>137361.5180763723</v>
      </c>
      <c r="L349" s="254">
        <f>SUMIF('Mix Substation Location Summary'!$B$4:$B$107,B349,'Mix Substation Location Summary'!$H$4:$H$107)+SUMIF('Mix Substation Location Summary'!$B$4:$B$107,B349,'Mix Substation Location Summary'!$I$4:$I$107)</f>
        <v>503046.56997949409</v>
      </c>
      <c r="M349" s="254">
        <f>SUMIF('Mix Substation Location Summary'!$B$4:$B$107,B349,'Mix Substation Location Summary'!$L$4:$L$107)+SUMIF('Mix Substation Location Summary'!$B$4:$B$107,B349,'Mix Substation Location Summary'!$M$4:$M$107)</f>
        <v>32825542.980244994</v>
      </c>
      <c r="N349" s="255">
        <f t="shared" si="31"/>
        <v>0</v>
      </c>
      <c r="O349" s="252" t="s">
        <v>1483</v>
      </c>
      <c r="P349" s="252" t="s">
        <v>1477</v>
      </c>
      <c r="Q349" s="258">
        <f>SUMIF('Antelope Bailey Split BA'!$B$7:$B$29,B349,'Antelope Bailey Split BA'!$C$7:$C$29)</f>
        <v>0</v>
      </c>
      <c r="R349" s="258" t="str">
        <f>IF(AND(Q349=1,'Plant Total by Account'!$J$1=2),"EKWRA","")</f>
        <v/>
      </c>
    </row>
    <row r="350" spans="1:18" ht="12.75" customHeight="1" x14ac:dyDescent="0.2">
      <c r="A350" s="249" t="s">
        <v>2400</v>
      </c>
      <c r="B350" s="252" t="s">
        <v>176</v>
      </c>
      <c r="C350" s="252" t="s">
        <v>3350</v>
      </c>
      <c r="D350" s="253">
        <v>86187.909999999989</v>
      </c>
      <c r="E350" s="253">
        <v>1393677.66</v>
      </c>
      <c r="F350" s="253">
        <v>43973907.059999987</v>
      </c>
      <c r="G350" s="546">
        <f t="shared" si="29"/>
        <v>45453772.629999988</v>
      </c>
      <c r="H350" s="254">
        <f>SUMIF('Mix Substation Location Summary'!$B$4:$B$107,B350,'Mix Substation Location Summary'!$C$4:$C$107)</f>
        <v>15880.155943971124</v>
      </c>
      <c r="I350" s="254">
        <f>SUMIF('Mix Substation Location Summary'!$B$4:$B$107,B350,'Mix Substation Location Summary'!$G$4:$G$107)</f>
        <v>255834.04010393136</v>
      </c>
      <c r="J350" s="254">
        <f>SUMIF('Mix Substation Location Summary'!$B$4:$B$107,B350,'Mix Substation Location Summary'!$K$4:$K$107)</f>
        <v>8103161.0922170812</v>
      </c>
      <c r="K350" s="254">
        <f>SUMIF('Mix Substation Location Summary'!$B$4:$B$107,B350,'Mix Substation Location Summary'!$D$4:$D$107)+SUMIF('Mix Substation Location Summary'!$B$4:$B$107,B350,'Mix Substation Location Summary'!$E$4:$E$107)</f>
        <v>70307.754056028876</v>
      </c>
      <c r="L350" s="254">
        <f>SUMIF('Mix Substation Location Summary'!$B$4:$B$107,B350,'Mix Substation Location Summary'!$H$4:$H$107)+SUMIF('Mix Substation Location Summary'!$B$4:$B$107,B350,'Mix Substation Location Summary'!$I$4:$I$107)</f>
        <v>1137843.6198960689</v>
      </c>
      <c r="M350" s="254">
        <f>SUMIF('Mix Substation Location Summary'!$B$4:$B$107,B350,'Mix Substation Location Summary'!$L$4:$L$107)+SUMIF('Mix Substation Location Summary'!$B$4:$B$107,B350,'Mix Substation Location Summary'!$M$4:$M$107)</f>
        <v>35870745.967782922</v>
      </c>
      <c r="N350" s="255">
        <f t="shared" si="31"/>
        <v>0</v>
      </c>
      <c r="O350" s="252" t="s">
        <v>1483</v>
      </c>
      <c r="P350" s="252" t="s">
        <v>1477</v>
      </c>
      <c r="Q350" s="258">
        <f>SUMIF('Antelope Bailey Split BA'!$B$7:$B$29,B350,'Antelope Bailey Split BA'!$C$7:$C$29)</f>
        <v>0</v>
      </c>
      <c r="R350" s="258" t="str">
        <f>IF(AND(Q350=1,'Plant Total by Account'!$J$1=2),"EKWRA","")</f>
        <v/>
      </c>
    </row>
    <row r="351" spans="1:18" ht="12.75" customHeight="1" x14ac:dyDescent="0.2">
      <c r="A351" s="249" t="s">
        <v>2401</v>
      </c>
      <c r="B351" s="252" t="s">
        <v>177</v>
      </c>
      <c r="C351" s="252" t="s">
        <v>3350</v>
      </c>
      <c r="D351" s="253">
        <v>270570.03000000003</v>
      </c>
      <c r="E351" s="253">
        <v>2990436.2699999996</v>
      </c>
      <c r="F351" s="253">
        <v>30308238.950000029</v>
      </c>
      <c r="G351" s="546">
        <f t="shared" si="29"/>
        <v>33569245.25000003</v>
      </c>
      <c r="H351" s="254">
        <f>SUMIF('Mix Substation Location Summary'!$B$4:$B$107,B351,'Mix Substation Location Summary'!$C$4:$C$107)</f>
        <v>62509.740237281811</v>
      </c>
      <c r="I351" s="254">
        <f>SUMIF('Mix Substation Location Summary'!$B$4:$B$107,B351,'Mix Substation Location Summary'!$G$4:$G$107)</f>
        <v>690487.1462498731</v>
      </c>
      <c r="J351" s="254">
        <f>SUMIF('Mix Substation Location Summary'!$B$4:$B$107,B351,'Mix Substation Location Summary'!$K$4:$K$107)</f>
        <v>7012796.8555231206</v>
      </c>
      <c r="K351" s="254">
        <f>SUMIF('Mix Substation Location Summary'!$B$4:$B$107,B351,'Mix Substation Location Summary'!$D$4:$D$107)+SUMIF('Mix Substation Location Summary'!$B$4:$B$107,B351,'Mix Substation Location Summary'!$E$4:$E$107)</f>
        <v>208060.2897627182</v>
      </c>
      <c r="L351" s="254">
        <f>SUMIF('Mix Substation Location Summary'!$B$4:$B$107,B351,'Mix Substation Location Summary'!$H$4:$H$107)+SUMIF('Mix Substation Location Summary'!$B$4:$B$107,B351,'Mix Substation Location Summary'!$I$4:$I$107)</f>
        <v>2299949.1237501269</v>
      </c>
      <c r="M351" s="254">
        <f>SUMIF('Mix Substation Location Summary'!$B$4:$B$107,B351,'Mix Substation Location Summary'!$L$4:$L$107)+SUMIF('Mix Substation Location Summary'!$B$4:$B$107,B351,'Mix Substation Location Summary'!$M$4:$M$107)</f>
        <v>23295442.094476897</v>
      </c>
      <c r="N351" s="255">
        <f t="shared" si="31"/>
        <v>0</v>
      </c>
      <c r="O351" s="252" t="s">
        <v>1483</v>
      </c>
      <c r="P351" s="252" t="s">
        <v>1477</v>
      </c>
      <c r="Q351" s="258">
        <f>SUMIF('Antelope Bailey Split BA'!$B$7:$B$29,B351,'Antelope Bailey Split BA'!$C$7:$C$29)</f>
        <v>0</v>
      </c>
      <c r="R351" s="258" t="str">
        <f>IF(AND(Q351=1,'Plant Total by Account'!$J$1=2),"EKWRA","")</f>
        <v/>
      </c>
    </row>
    <row r="352" spans="1:18" ht="12.75" customHeight="1" x14ac:dyDescent="0.2">
      <c r="A352" s="249" t="s">
        <v>108</v>
      </c>
      <c r="B352" s="252" t="s">
        <v>1161</v>
      </c>
      <c r="C352" s="252" t="s">
        <v>3350</v>
      </c>
      <c r="D352" s="253">
        <v>13285973.810000001</v>
      </c>
      <c r="E352" s="253">
        <v>8429230.9899999984</v>
      </c>
      <c r="F352" s="253">
        <v>28414674.810000021</v>
      </c>
      <c r="G352" s="546">
        <f t="shared" si="29"/>
        <v>50129879.610000014</v>
      </c>
      <c r="H352" s="254">
        <f>SUMIF('Mix Substation Location Summary'!$B$4:$B$107,B352,'Mix Substation Location Summary'!$C$4:$C$107)</f>
        <v>1887095.1421269081</v>
      </c>
      <c r="I352" s="254">
        <f>SUMIF('Mix Substation Location Summary'!$B$4:$B$107,B352,'Mix Substation Location Summary'!$G$4:$G$107)</f>
        <v>1169101.5107728194</v>
      </c>
      <c r="J352" s="254">
        <f>SUMIF('Mix Substation Location Summary'!$B$4:$B$107,B352,'Mix Substation Location Summary'!$K$4:$K$107)</f>
        <v>4156403.3545628078</v>
      </c>
      <c r="K352" s="254">
        <f>SUMIF('Mix Substation Location Summary'!$B$4:$B$107,B352,'Mix Substation Location Summary'!$D$4:$D$107)+SUMIF('Mix Substation Location Summary'!$B$4:$B$107,B352,'Mix Substation Location Summary'!$E$4:$E$107)</f>
        <v>11398878.667873092</v>
      </c>
      <c r="L352" s="254">
        <f>SUMIF('Mix Substation Location Summary'!$B$4:$B$107,B352,'Mix Substation Location Summary'!$H$4:$H$107)+SUMIF('Mix Substation Location Summary'!$B$4:$B$107,B352,'Mix Substation Location Summary'!$I$4:$I$107)</f>
        <v>7260129.4792271815</v>
      </c>
      <c r="M352" s="254">
        <f>SUMIF('Mix Substation Location Summary'!$B$4:$B$107,B352,'Mix Substation Location Summary'!$L$4:$L$107)+SUMIF('Mix Substation Location Summary'!$B$4:$B$107,B352,'Mix Substation Location Summary'!$M$4:$M$107)</f>
        <v>24258271.455437101</v>
      </c>
      <c r="N352" s="255">
        <f t="shared" si="31"/>
        <v>1.0430812835693359E-7</v>
      </c>
      <c r="O352" s="252" t="s">
        <v>1483</v>
      </c>
      <c r="P352" s="252" t="s">
        <v>1477</v>
      </c>
      <c r="Q352" s="258">
        <f>SUMIF('Antelope Bailey Split BA'!$B$7:$B$29,B352,'Antelope Bailey Split BA'!$C$7:$C$29)</f>
        <v>0</v>
      </c>
      <c r="R352" s="258" t="str">
        <f>IF(AND(Q352=1,'Plant Total by Account'!$J$1=2),"EKWRA","")</f>
        <v/>
      </c>
    </row>
    <row r="353" spans="1:18" ht="12.75" customHeight="1" x14ac:dyDescent="0.2">
      <c r="A353" s="249" t="s">
        <v>2402</v>
      </c>
      <c r="B353" s="252" t="s">
        <v>178</v>
      </c>
      <c r="C353" s="252" t="s">
        <v>3350</v>
      </c>
      <c r="D353" s="253">
        <v>72253.170000000013</v>
      </c>
      <c r="E353" s="253">
        <v>3484389.28</v>
      </c>
      <c r="F353" s="253">
        <v>31951393.530000012</v>
      </c>
      <c r="G353" s="546">
        <f t="shared" si="29"/>
        <v>35508035.980000012</v>
      </c>
      <c r="H353" s="254">
        <f>SUMIF('Mix Substation Location Summary'!$B$4:$B$107,B353,'Mix Substation Location Summary'!$C$4:$C$107)</f>
        <v>14072.350099194338</v>
      </c>
      <c r="I353" s="254">
        <f>SUMIF('Mix Substation Location Summary'!$B$4:$B$107,B353,'Mix Substation Location Summary'!$G$4:$G$107)</f>
        <v>675644.25049724837</v>
      </c>
      <c r="J353" s="254">
        <f>SUMIF('Mix Substation Location Summary'!$B$4:$B$107,B353,'Mix Substation Location Summary'!$K$4:$K$107)</f>
        <v>6226020.0119151939</v>
      </c>
      <c r="K353" s="254">
        <f>SUMIF('Mix Substation Location Summary'!$B$4:$B$107,B353,'Mix Substation Location Summary'!$D$4:$D$107)+SUMIF('Mix Substation Location Summary'!$B$4:$B$107,B353,'Mix Substation Location Summary'!$E$4:$E$107)</f>
        <v>58180.819900805669</v>
      </c>
      <c r="L353" s="254">
        <f>SUMIF('Mix Substation Location Summary'!$B$4:$B$107,B353,'Mix Substation Location Summary'!$H$4:$H$107)+SUMIF('Mix Substation Location Summary'!$B$4:$B$107,B353,'Mix Substation Location Summary'!$I$4:$I$107)</f>
        <v>2808745.0295027522</v>
      </c>
      <c r="M353" s="254">
        <f>SUMIF('Mix Substation Location Summary'!$B$4:$B$107,B353,'Mix Substation Location Summary'!$L$4:$L$107)+SUMIF('Mix Substation Location Summary'!$B$4:$B$107,B353,'Mix Substation Location Summary'!$M$4:$M$107)</f>
        <v>25725373.518084813</v>
      </c>
      <c r="N353" s="255">
        <f t="shared" si="31"/>
        <v>0</v>
      </c>
      <c r="O353" s="252" t="s">
        <v>1483</v>
      </c>
      <c r="P353" s="252" t="s">
        <v>1477</v>
      </c>
      <c r="Q353" s="258">
        <f>SUMIF('Antelope Bailey Split BA'!$B$7:$B$29,B353,'Antelope Bailey Split BA'!$C$7:$C$29)</f>
        <v>0</v>
      </c>
      <c r="R353" s="258" t="str">
        <f>IF(AND(Q353=1,'Plant Total by Account'!$J$1=2),"EKWRA","")</f>
        <v/>
      </c>
    </row>
    <row r="354" spans="1:18" ht="12.75" customHeight="1" x14ac:dyDescent="0.2">
      <c r="A354" s="249" t="s">
        <v>2403</v>
      </c>
      <c r="B354" s="252" t="s">
        <v>1341</v>
      </c>
      <c r="C354" s="252" t="s">
        <v>3350</v>
      </c>
      <c r="D354" s="253">
        <v>813416.04999999993</v>
      </c>
      <c r="E354" s="253">
        <v>3395692.3900000006</v>
      </c>
      <c r="F354" s="253">
        <v>14501837.229999995</v>
      </c>
      <c r="G354" s="546">
        <f t="shared" si="29"/>
        <v>18710945.669999994</v>
      </c>
      <c r="H354" s="254">
        <f>SUMIF('Mix Substation Location Summary'!$B$4:$B$107,B354,'Mix Substation Location Summary'!$C$4:$C$107)</f>
        <v>254309.02839388486</v>
      </c>
      <c r="I354" s="254">
        <f>SUMIF('Mix Substation Location Summary'!$B$4:$B$107,B354,'Mix Substation Location Summary'!$G$4:$G$107)</f>
        <v>1061320.6235823219</v>
      </c>
      <c r="J354" s="254">
        <f>SUMIF('Mix Substation Location Summary'!$B$4:$B$107,B354,'Mix Substation Location Summary'!$K$4:$K$107)</f>
        <v>5097496.9445331227</v>
      </c>
      <c r="K354" s="254">
        <f>SUMIF('Mix Substation Location Summary'!$B$4:$B$107,B354,'Mix Substation Location Summary'!$D$4:$D$107)+SUMIF('Mix Substation Location Summary'!$B$4:$B$107,B354,'Mix Substation Location Summary'!$E$4:$E$107)</f>
        <v>559107.02160611516</v>
      </c>
      <c r="L354" s="254">
        <f>SUMIF('Mix Substation Location Summary'!$B$4:$B$107,B354,'Mix Substation Location Summary'!$H$4:$H$107)+SUMIF('Mix Substation Location Summary'!$B$4:$B$107,B354,'Mix Substation Location Summary'!$I$4:$I$107)</f>
        <v>2334371.7664176784</v>
      </c>
      <c r="M354" s="254">
        <f>SUMIF('Mix Substation Location Summary'!$B$4:$B$107,B354,'Mix Substation Location Summary'!$L$4:$L$107)+SUMIF('Mix Substation Location Summary'!$B$4:$B$107,B354,'Mix Substation Location Summary'!$M$4:$M$107)</f>
        <v>9404340.2854668759</v>
      </c>
      <c r="N354" s="255">
        <f t="shared" si="31"/>
        <v>0</v>
      </c>
      <c r="O354" s="252" t="s">
        <v>1483</v>
      </c>
      <c r="P354" s="252" t="s">
        <v>1477</v>
      </c>
      <c r="Q354" s="258">
        <f>SUMIF('Antelope Bailey Split BA'!$B$7:$B$29,B354,'Antelope Bailey Split BA'!$C$7:$C$29)</f>
        <v>0</v>
      </c>
      <c r="R354" s="258" t="str">
        <f>IF(AND(Q354=1,'Plant Total by Account'!$J$1=2),"EKWRA","")</f>
        <v/>
      </c>
    </row>
    <row r="355" spans="1:18" ht="12.75" customHeight="1" x14ac:dyDescent="0.2">
      <c r="A355" s="249" t="s">
        <v>2404</v>
      </c>
      <c r="B355" s="252" t="s">
        <v>1162</v>
      </c>
      <c r="C355" s="252" t="s">
        <v>3350</v>
      </c>
      <c r="D355" s="253">
        <v>59737.3</v>
      </c>
      <c r="E355" s="253">
        <v>1262574.4299999997</v>
      </c>
      <c r="F355" s="253">
        <v>46404217.829999998</v>
      </c>
      <c r="G355" s="546">
        <f t="shared" si="29"/>
        <v>47726529.559999995</v>
      </c>
      <c r="H355" s="254">
        <f>SUMIF('Mix Substation Location Summary'!$B$4:$B$107,B355,'Mix Substation Location Summary'!$C$4:$C$107)</f>
        <v>10238.698805268556</v>
      </c>
      <c r="I355" s="254">
        <f>SUMIF('Mix Substation Location Summary'!$B$4:$B$107,B355,'Mix Substation Location Summary'!$G$4:$G$107)</f>
        <v>226680.98208811146</v>
      </c>
      <c r="J355" s="254">
        <f>SUMIF('Mix Substation Location Summary'!$B$4:$B$107,B355,'Mix Substation Location Summary'!$K$4:$K$107)</f>
        <v>7943188.2447340973</v>
      </c>
      <c r="K355" s="254">
        <f>SUMIF('Mix Substation Location Summary'!$B$4:$B$107,B355,'Mix Substation Location Summary'!$D$4:$D$107)+SUMIF('Mix Substation Location Summary'!$B$4:$B$107,B355,'Mix Substation Location Summary'!$E$4:$E$107)</f>
        <v>49498.601194731455</v>
      </c>
      <c r="L355" s="254">
        <f>SUMIF('Mix Substation Location Summary'!$B$4:$B$107,B355,'Mix Substation Location Summary'!$H$4:$H$107)+SUMIF('Mix Substation Location Summary'!$B$4:$B$107,B355,'Mix Substation Location Summary'!$I$4:$I$107)</f>
        <v>1035893.4479118888</v>
      </c>
      <c r="M355" s="254">
        <f>SUMIF('Mix Substation Location Summary'!$B$4:$B$107,B355,'Mix Substation Location Summary'!$L$4:$L$107)+SUMIF('Mix Substation Location Summary'!$B$4:$B$107,B355,'Mix Substation Location Summary'!$M$4:$M$107)</f>
        <v>38461029.585265897</v>
      </c>
      <c r="N355" s="255">
        <f t="shared" si="31"/>
        <v>0</v>
      </c>
      <c r="O355" s="252" t="s">
        <v>1483</v>
      </c>
      <c r="P355" s="252" t="s">
        <v>1477</v>
      </c>
      <c r="Q355" s="258">
        <f>SUMIF('Antelope Bailey Split BA'!$B$7:$B$29,B355,'Antelope Bailey Split BA'!$C$7:$C$29)</f>
        <v>0</v>
      </c>
      <c r="R355" s="258" t="str">
        <f>IF(AND(Q355=1,'Plant Total by Account'!$J$1=2),"EKWRA","")</f>
        <v/>
      </c>
    </row>
    <row r="356" spans="1:18" ht="12.75" customHeight="1" x14ac:dyDescent="0.2">
      <c r="A356" s="249" t="s">
        <v>2405</v>
      </c>
      <c r="B356" s="252" t="s">
        <v>1163</v>
      </c>
      <c r="C356" s="252" t="s">
        <v>3350</v>
      </c>
      <c r="D356" s="253">
        <v>390538.01</v>
      </c>
      <c r="E356" s="253">
        <v>1575932.29</v>
      </c>
      <c r="F356" s="253">
        <v>21998560.240000006</v>
      </c>
      <c r="G356" s="546">
        <f t="shared" si="29"/>
        <v>23965030.540000007</v>
      </c>
      <c r="H356" s="254">
        <f>SUMIF('Mix Substation Location Summary'!$B$4:$B$107,B356,'Mix Substation Location Summary'!$C$4:$C$107)</f>
        <v>75599.742744322546</v>
      </c>
      <c r="I356" s="254">
        <f>SUMIF('Mix Substation Location Summary'!$B$4:$B$107,B356,'Mix Substation Location Summary'!$G$4:$G$107)</f>
        <v>293457.11064770696</v>
      </c>
      <c r="J356" s="254">
        <f>SUMIF('Mix Substation Location Summary'!$B$4:$B$107,B356,'Mix Substation Location Summary'!$K$4:$K$107)</f>
        <v>4270056.6190298554</v>
      </c>
      <c r="K356" s="254">
        <f>SUMIF('Mix Substation Location Summary'!$B$4:$B$107,B356,'Mix Substation Location Summary'!$D$4:$D$107)+SUMIF('Mix Substation Location Summary'!$B$4:$B$107,B356,'Mix Substation Location Summary'!$E$4:$E$107)</f>
        <v>314938.26725567749</v>
      </c>
      <c r="L356" s="254">
        <f>SUMIF('Mix Substation Location Summary'!$B$4:$B$107,B356,'Mix Substation Location Summary'!$H$4:$H$107)+SUMIF('Mix Substation Location Summary'!$B$4:$B$107,B356,'Mix Substation Location Summary'!$I$4:$I$107)</f>
        <v>1282475.1793522933</v>
      </c>
      <c r="M356" s="254">
        <f>SUMIF('Mix Substation Location Summary'!$B$4:$B$107,B356,'Mix Substation Location Summary'!$L$4:$L$107)+SUMIF('Mix Substation Location Summary'!$B$4:$B$107,B356,'Mix Substation Location Summary'!$M$4:$M$107)</f>
        <v>17728503.620970149</v>
      </c>
      <c r="N356" s="255">
        <f t="shared" si="31"/>
        <v>0</v>
      </c>
      <c r="O356" s="252" t="s">
        <v>1483</v>
      </c>
      <c r="P356" s="252" t="s">
        <v>1477</v>
      </c>
      <c r="Q356" s="258">
        <f>SUMIF('Antelope Bailey Split BA'!$B$7:$B$29,B356,'Antelope Bailey Split BA'!$C$7:$C$29)</f>
        <v>0</v>
      </c>
      <c r="R356" s="258" t="str">
        <f>IF(AND(Q356=1,'Plant Total by Account'!$J$1=2),"EKWRA","")</f>
        <v/>
      </c>
    </row>
    <row r="357" spans="1:18" ht="12.75" customHeight="1" x14ac:dyDescent="0.2">
      <c r="A357" s="249" t="s">
        <v>2406</v>
      </c>
      <c r="B357" s="252" t="s">
        <v>1164</v>
      </c>
      <c r="C357" s="252" t="s">
        <v>3350</v>
      </c>
      <c r="D357" s="253">
        <v>557976.42000000004</v>
      </c>
      <c r="E357" s="253">
        <v>1623359.6099999999</v>
      </c>
      <c r="F357" s="253">
        <v>33283304.360000096</v>
      </c>
      <c r="G357" s="546">
        <f t="shared" si="29"/>
        <v>35464640.390000097</v>
      </c>
      <c r="H357" s="254">
        <f>SUMIF('Mix Substation Location Summary'!$B$4:$B$107,B357,'Mix Substation Location Summary'!$C$4:$C$107)</f>
        <v>90405.509884145999</v>
      </c>
      <c r="I357" s="254">
        <f>SUMIF('Mix Substation Location Summary'!$B$4:$B$107,B357,'Mix Substation Location Summary'!$G$4:$G$107)</f>
        <v>317432.86062883667</v>
      </c>
      <c r="J357" s="254">
        <f>SUMIF('Mix Substation Location Summary'!$B$4:$B$107,B357,'Mix Substation Location Summary'!$K$4:$K$107)</f>
        <v>5340985.8493920164</v>
      </c>
      <c r="K357" s="254">
        <f>SUMIF('Mix Substation Location Summary'!$B$4:$B$107,B357,'Mix Substation Location Summary'!$D$4:$D$107)+SUMIF('Mix Substation Location Summary'!$B$4:$B$107,B357,'Mix Substation Location Summary'!$E$4:$E$107)</f>
        <v>467570.910115854</v>
      </c>
      <c r="L357" s="254">
        <f>SUMIF('Mix Substation Location Summary'!$B$4:$B$107,B357,'Mix Substation Location Summary'!$H$4:$H$107)+SUMIF('Mix Substation Location Summary'!$B$4:$B$107,B357,'Mix Substation Location Summary'!$I$4:$I$107)</f>
        <v>1305926.7493711633</v>
      </c>
      <c r="M357" s="254">
        <f>SUMIF('Mix Substation Location Summary'!$B$4:$B$107,B357,'Mix Substation Location Summary'!$L$4:$L$107)+SUMIF('Mix Substation Location Summary'!$B$4:$B$107,B357,'Mix Substation Location Summary'!$M$4:$M$107)</f>
        <v>27942318.510607976</v>
      </c>
      <c r="N357" s="255">
        <f t="shared" si="31"/>
        <v>1.0430812835693359E-7</v>
      </c>
      <c r="O357" s="252" t="s">
        <v>1483</v>
      </c>
      <c r="P357" s="252" t="s">
        <v>1477</v>
      </c>
      <c r="Q357" s="258">
        <f>SUMIF('Antelope Bailey Split BA'!$B$7:$B$29,B357,'Antelope Bailey Split BA'!$C$7:$C$29)</f>
        <v>0</v>
      </c>
      <c r="R357" s="258" t="str">
        <f>IF(AND(Q357=1,'Plant Total by Account'!$J$1=2),"EKWRA","")</f>
        <v/>
      </c>
    </row>
    <row r="358" spans="1:18" ht="12.75" customHeight="1" x14ac:dyDescent="0.2">
      <c r="A358" s="249" t="s">
        <v>2414</v>
      </c>
      <c r="B358" s="252" t="s">
        <v>179</v>
      </c>
      <c r="C358" s="252" t="s">
        <v>3350</v>
      </c>
      <c r="D358" s="253">
        <v>186144.15</v>
      </c>
      <c r="E358" s="253">
        <v>3595471.3399999989</v>
      </c>
      <c r="F358" s="253">
        <v>47196887.720000029</v>
      </c>
      <c r="G358" s="546">
        <f t="shared" si="29"/>
        <v>50978503.210000031</v>
      </c>
      <c r="H358" s="254">
        <f>SUMIF('Mix Substation Location Summary'!$B$4:$B$107,"5096 &amp; 1094",'Mix Substation Location Summary'!$C$4:$C$107)</f>
        <v>40847.598485576338</v>
      </c>
      <c r="I358" s="254">
        <f>SUMIF('Mix Substation Location Summary'!$B$4:$B$107,"5096 &amp; 1094",'Mix Substation Location Summary'!$G$4:$G$107)</f>
        <v>788978.34576033673</v>
      </c>
      <c r="J358" s="254">
        <f>SUMIF('Mix Substation Location Summary'!$B$4:$B$107,"5096 &amp; 1094",'Mix Substation Location Summary'!$K$4:$K$107)</f>
        <v>10356989.476914385</v>
      </c>
      <c r="K358" s="254">
        <f>SUMIF('Mix Substation Location Summary'!$B$4:$B$107,"5096 &amp; 1094",'Mix Substation Location Summary'!$D$4:$D$107)+SUMIF('Mix Substation Location Summary'!$B$4:$B$107,"5096 &amp; 1094",'Mix Substation Location Summary'!$E$4:$E$107)</f>
        <v>145296.55151442363</v>
      </c>
      <c r="L358" s="254">
        <f>SUMIF('Mix Substation Location Summary'!$B$4:$B$107,"5096 &amp; 1094",'Mix Substation Location Summary'!$H$4:$H$107)+SUMIF('Mix Substation Location Summary'!$B$4:$B$107,"5096 &amp; 1094",'Mix Substation Location Summary'!$I$4:$I$107)</f>
        <v>2806492.9942396632</v>
      </c>
      <c r="M358" s="254">
        <f>SUMIF('Mix Substation Location Summary'!$B$4:$B$107,"5096 &amp; 1094",'Mix Substation Location Summary'!$L$4:$L$107)+SUMIF('Mix Substation Location Summary'!$B$4:$B$107,"5096 &amp; 1094",'Mix Substation Location Summary'!$M$4:$M$107)</f>
        <v>36839898.243085623</v>
      </c>
      <c r="N358" s="255">
        <f t="shared" si="31"/>
        <v>0</v>
      </c>
      <c r="O358" s="252" t="s">
        <v>1483</v>
      </c>
      <c r="P358" s="252" t="s">
        <v>1477</v>
      </c>
      <c r="Q358" s="258">
        <f>SUMIF('Antelope Bailey Split BA'!$B$7:$B$29,B358,'Antelope Bailey Split BA'!$C$7:$C$29)</f>
        <v>0</v>
      </c>
      <c r="R358" s="258" t="str">
        <f>IF(AND(Q358=1,'Plant Total by Account'!$J$1=2),"EKWRA","")</f>
        <v/>
      </c>
    </row>
    <row r="359" spans="1:18" ht="12.75" customHeight="1" x14ac:dyDescent="0.2">
      <c r="A359" s="249" t="s">
        <v>2495</v>
      </c>
      <c r="B359" s="252" t="s">
        <v>2259</v>
      </c>
      <c r="C359" s="252" t="s">
        <v>3350</v>
      </c>
      <c r="D359" s="253">
        <v>0</v>
      </c>
      <c r="E359" s="253">
        <v>35206242.409999996</v>
      </c>
      <c r="F359" s="253">
        <v>46905542.439999998</v>
      </c>
      <c r="G359" s="546">
        <f t="shared" si="29"/>
        <v>82111784.849999994</v>
      </c>
      <c r="H359" s="254">
        <f>SUMIF('Mix Substation Location Summary'!$B$4:$B$107,B359,'Mix Substation Location Summary'!$C$4:$C$107)</f>
        <v>0</v>
      </c>
      <c r="I359" s="254">
        <f>SUMIF('Mix Substation Location Summary'!$B$4:$B$107,B359,'Mix Substation Location Summary'!$G$4:$G$107)</f>
        <v>7160591.6766101699</v>
      </c>
      <c r="J359" s="254">
        <f>SUMIF('Mix Substation Location Summary'!$B$4:$B$107,B359,'Mix Substation Location Summary'!$K$4:$K$107)</f>
        <v>9540110.3267796598</v>
      </c>
      <c r="K359" s="254">
        <f>SUMIF('Mix Substation Location Summary'!$B$4:$B$107,B359,'Mix Substation Location Summary'!$D$4:$D$107)+SUMIF('Mix Substation Location Summary'!$B$4:$B$107,B359,'Mix Substation Location Summary'!$E$4:$E$107)</f>
        <v>0</v>
      </c>
      <c r="L359" s="254">
        <f>SUMIF('Mix Substation Location Summary'!$B$4:$B$107,B359,'Mix Substation Location Summary'!$H$4:$H$107)+SUMIF('Mix Substation Location Summary'!$B$4:$B$107,B359,'Mix Substation Location Summary'!$I$4:$I$107)</f>
        <v>28045650.733389828</v>
      </c>
      <c r="M359" s="254">
        <f>SUMIF('Mix Substation Location Summary'!$B$4:$B$107,B359,'Mix Substation Location Summary'!$L$4:$L$107)+SUMIF('Mix Substation Location Summary'!$B$4:$B$107,B359,'Mix Substation Location Summary'!$M$4:$M$107)</f>
        <v>37365432.113220334</v>
      </c>
      <c r="N359" s="255">
        <f t="shared" si="31"/>
        <v>0</v>
      </c>
      <c r="O359" s="252" t="s">
        <v>1483</v>
      </c>
      <c r="P359" s="252" t="s">
        <v>1477</v>
      </c>
      <c r="Q359" s="258">
        <f>SUMIF('Antelope Bailey Split BA'!$B$7:$B$29,B359,'Antelope Bailey Split BA'!$C$7:$C$29)</f>
        <v>0</v>
      </c>
      <c r="R359" s="258" t="str">
        <f>IF(AND(Q359=1,'Plant Total by Account'!$J$1=2),"EKWRA","")</f>
        <v/>
      </c>
    </row>
    <row r="360" spans="1:18" ht="12.75" customHeight="1" x14ac:dyDescent="0.2">
      <c r="A360" s="249" t="s">
        <v>2499</v>
      </c>
      <c r="B360" s="252" t="s">
        <v>1181</v>
      </c>
      <c r="C360" s="252" t="s">
        <v>3350</v>
      </c>
      <c r="D360" s="253">
        <v>629540.58000000019</v>
      </c>
      <c r="E360" s="253">
        <v>4035526.1</v>
      </c>
      <c r="F360" s="253">
        <v>29412559.739999983</v>
      </c>
      <c r="G360" s="546">
        <f t="shared" si="29"/>
        <v>34077626.419999987</v>
      </c>
      <c r="H360" s="254">
        <f>SUMIF('Mix Substation Location Summary'!$B$4:$B$107,B360,'Mix Substation Location Summary'!$C$4:$C$107)</f>
        <v>168034.23774045531</v>
      </c>
      <c r="I360" s="254">
        <f>SUMIF('Mix Substation Location Summary'!$B$4:$B$107,B360,'Mix Substation Location Summary'!$G$4:$G$107)</f>
        <v>1095285.0318836188</v>
      </c>
      <c r="J360" s="254">
        <f>SUMIF('Mix Substation Location Summary'!$B$4:$B$107,B360,'Mix Substation Location Summary'!$K$4:$K$107)</f>
        <v>7724215.7416085312</v>
      </c>
      <c r="K360" s="254">
        <f>SUMIF('Mix Substation Location Summary'!$B$4:$B$107,B360,'Mix Substation Location Summary'!$D$4:$D$107)+SUMIF('Mix Substation Location Summary'!$B$4:$B$107,B360,'Mix Substation Location Summary'!$E$4:$E$107)</f>
        <v>461506.34225954476</v>
      </c>
      <c r="L360" s="254">
        <f>SUMIF('Mix Substation Location Summary'!$B$4:$B$107,B360,'Mix Substation Location Summary'!$H$4:$H$107)+SUMIF('Mix Substation Location Summary'!$B$4:$B$107,B360,'Mix Substation Location Summary'!$I$4:$I$107)</f>
        <v>2940241.0681163818</v>
      </c>
      <c r="M360" s="254">
        <f>SUMIF('Mix Substation Location Summary'!$B$4:$B$107,B360,'Mix Substation Location Summary'!$L$4:$L$107)+SUMIF('Mix Substation Location Summary'!$B$4:$B$107,B360,'Mix Substation Location Summary'!$M$4:$M$107)</f>
        <v>21688343.998391464</v>
      </c>
      <c r="N360" s="255">
        <f t="shared" si="31"/>
        <v>0</v>
      </c>
      <c r="O360" s="252" t="s">
        <v>1483</v>
      </c>
      <c r="P360" s="252" t="s">
        <v>1477</v>
      </c>
      <c r="Q360" s="258">
        <f>SUMIF('Antelope Bailey Split BA'!$B$7:$B$29,B360,'Antelope Bailey Split BA'!$C$7:$C$29)</f>
        <v>0</v>
      </c>
      <c r="R360" s="258" t="str">
        <f>IF(AND(Q360=1,'Plant Total by Account'!$J$1=2),"EKWRA","")</f>
        <v/>
      </c>
    </row>
    <row r="361" spans="1:18" ht="12.75" customHeight="1" x14ac:dyDescent="0.2">
      <c r="A361" s="249" t="s">
        <v>2522</v>
      </c>
      <c r="B361" s="252" t="s">
        <v>1200</v>
      </c>
      <c r="C361" s="252" t="s">
        <v>3348</v>
      </c>
      <c r="D361" s="253">
        <v>17113.75</v>
      </c>
      <c r="E361" s="253">
        <v>94614.940000000017</v>
      </c>
      <c r="F361" s="253">
        <v>6586444.9999999972</v>
      </c>
      <c r="G361" s="546">
        <f t="shared" ref="G361:G392" si="32">SUM(D361:F361)</f>
        <v>6698173.6899999976</v>
      </c>
      <c r="H361" s="254">
        <f>SUMIF('Mix Substation Location Summary'!$B$4:$B$107,B361,'Mix Substation Location Summary'!$C$4:$C$107)</f>
        <v>2228.2803868731094</v>
      </c>
      <c r="I361" s="254">
        <f>SUMIF('Mix Substation Location Summary'!$B$4:$B$107,B361,'Mix Substation Location Summary'!$G$4:$G$107)</f>
        <v>12137.991914816937</v>
      </c>
      <c r="J361" s="254">
        <f>SUMIF('Mix Substation Location Summary'!$B$4:$B$107,B361,'Mix Substation Location Summary'!$K$4:$K$107)</f>
        <v>857763.39310165425</v>
      </c>
      <c r="K361" s="254">
        <f>SUMIF('Mix Substation Location Summary'!$B$4:$B$107,B361,'Mix Substation Location Summary'!$D$4:$D$107)+SUMIF('Mix Substation Location Summary'!$B$4:$B$107,B361,'Mix Substation Location Summary'!$E$4:$E$107)</f>
        <v>14885.469613126892</v>
      </c>
      <c r="L361" s="254">
        <f>SUMIF('Mix Substation Location Summary'!$B$4:$B$107,B361,'Mix Substation Location Summary'!$H$4:$H$107)+SUMIF('Mix Substation Location Summary'!$B$4:$B$107,B361,'Mix Substation Location Summary'!$I$4:$I$107)</f>
        <v>82476.948085183074</v>
      </c>
      <c r="M361" s="254">
        <f>SUMIF('Mix Substation Location Summary'!$B$4:$B$107,B361,'Mix Substation Location Summary'!$L$4:$L$107)+SUMIF('Mix Substation Location Summary'!$B$4:$B$107,B361,'Mix Substation Location Summary'!$M$4:$M$107)</f>
        <v>5728681.606898346</v>
      </c>
      <c r="N361" s="255">
        <f t="shared" si="31"/>
        <v>0</v>
      </c>
      <c r="O361" s="252" t="s">
        <v>1483</v>
      </c>
      <c r="P361" s="267" t="s">
        <v>1478</v>
      </c>
      <c r="Q361" s="258">
        <f>SUMIF('Antelope Bailey Split BA'!$B$7:$B$29,B361,'Antelope Bailey Split BA'!$C$7:$C$29)</f>
        <v>0</v>
      </c>
      <c r="R361" s="258" t="str">
        <f>IF(AND(Q361=1,'Plant Total by Account'!$J$1=2),"EKWRA","")</f>
        <v/>
      </c>
    </row>
    <row r="362" spans="1:18" ht="12.75" customHeight="1" x14ac:dyDescent="0.2">
      <c r="A362" s="249" t="s">
        <v>2531</v>
      </c>
      <c r="B362" s="252" t="s">
        <v>1209</v>
      </c>
      <c r="C362" s="252" t="s">
        <v>3350</v>
      </c>
      <c r="D362" s="253">
        <v>22088.07</v>
      </c>
      <c r="E362" s="253">
        <v>5330121.5600000024</v>
      </c>
      <c r="F362" s="253">
        <v>58593735.900000021</v>
      </c>
      <c r="G362" s="546">
        <f t="shared" si="32"/>
        <v>63945945.530000024</v>
      </c>
      <c r="H362" s="254">
        <f>SUMIF('Mix Substation Location Summary'!$B$4:$B$107,B362,'Mix Substation Location Summary'!$C$4:$C$107)</f>
        <v>18831.568805125495</v>
      </c>
      <c r="I362" s="254">
        <f>SUMIF('Mix Substation Location Summary'!$B$4:$B$107,B362,'Mix Substation Location Summary'!$G$4:$G$107)</f>
        <v>5151040.3699562075</v>
      </c>
      <c r="J362" s="254">
        <f>SUMIF('Mix Substation Location Summary'!$B$4:$B$107,B362,'Mix Substation Location Summary'!$K$4:$K$107)</f>
        <v>49348357.723540641</v>
      </c>
      <c r="K362" s="254">
        <f>SUMIF('Mix Substation Location Summary'!$B$4:$B$107,B362,'Mix Substation Location Summary'!$D$4:$D$107)+SUMIF('Mix Substation Location Summary'!$B$4:$B$107,B362,'Mix Substation Location Summary'!$E$4:$E$107)</f>
        <v>3256.501194874505</v>
      </c>
      <c r="L362" s="254">
        <f>SUMIF('Mix Substation Location Summary'!$B$4:$B$107,B362,'Mix Substation Location Summary'!$H$4:$H$107)+SUMIF('Mix Substation Location Summary'!$B$4:$B$107,B362,'Mix Substation Location Summary'!$I$4:$I$107)</f>
        <v>179081.19004379242</v>
      </c>
      <c r="M362" s="254">
        <f>SUMIF('Mix Substation Location Summary'!$B$4:$B$107,B362,'Mix Substation Location Summary'!$L$4:$L$107)+SUMIF('Mix Substation Location Summary'!$B$4:$B$107,B362,'Mix Substation Location Summary'!$M$4:$M$107)</f>
        <v>9245378.176459372</v>
      </c>
      <c r="N362" s="255">
        <f t="shared" si="31"/>
        <v>0</v>
      </c>
      <c r="O362" s="252" t="s">
        <v>1483</v>
      </c>
      <c r="P362" s="252" t="s">
        <v>1723</v>
      </c>
      <c r="Q362" s="258">
        <f>SUMIF('Antelope Bailey Split BA'!$B$7:$B$29,B362,'Antelope Bailey Split BA'!$C$7:$C$29)</f>
        <v>0</v>
      </c>
      <c r="R362" s="258" t="str">
        <f>IF(AND(Q362=1,'Plant Total by Account'!$J$1=2),"EKWRA","")</f>
        <v/>
      </c>
    </row>
    <row r="363" spans="1:18" ht="12.75" customHeight="1" x14ac:dyDescent="0.2">
      <c r="A363" s="249" t="s">
        <v>2534</v>
      </c>
      <c r="B363" s="252" t="s">
        <v>1212</v>
      </c>
      <c r="C363" s="252" t="s">
        <v>3350</v>
      </c>
      <c r="D363" s="253">
        <v>0</v>
      </c>
      <c r="E363" s="253">
        <v>253575.50000000003</v>
      </c>
      <c r="F363" s="253">
        <v>15410457.579999983</v>
      </c>
      <c r="G363" s="546">
        <f t="shared" si="32"/>
        <v>15664033.079999983</v>
      </c>
      <c r="H363" s="254">
        <f>SUMIF('Mix Substation Location Summary'!$B$4:$B$107,B363,'Mix Substation Location Summary'!$C$4:$C$107)</f>
        <v>0</v>
      </c>
      <c r="I363" s="254">
        <f>SUMIF('Mix Substation Location Summary'!$B$4:$B$107,B363,'Mix Substation Location Summary'!$G$4:$G$107)</f>
        <v>59734.168349336418</v>
      </c>
      <c r="J363" s="254">
        <f>SUMIF('Mix Substation Location Summary'!$B$4:$B$107,B363,'Mix Substation Location Summary'!$K$4:$K$107)</f>
        <v>3630204.287969566</v>
      </c>
      <c r="K363" s="254">
        <f>SUMIF('Mix Substation Location Summary'!$B$4:$B$107,B363,'Mix Substation Location Summary'!$D$4:$D$107)+SUMIF('Mix Substation Location Summary'!$B$4:$B$107,B363,'Mix Substation Location Summary'!$E$4:$E$107)</f>
        <v>0</v>
      </c>
      <c r="L363" s="254">
        <f>SUMIF('Mix Substation Location Summary'!$B$4:$B$107,B363,'Mix Substation Location Summary'!$H$4:$H$107)+SUMIF('Mix Substation Location Summary'!$B$4:$B$107,B363,'Mix Substation Location Summary'!$I$4:$I$107)</f>
        <v>193841.33165066357</v>
      </c>
      <c r="M363" s="254">
        <f>SUMIF('Mix Substation Location Summary'!$B$4:$B$107,B363,'Mix Substation Location Summary'!$L$4:$L$107)+SUMIF('Mix Substation Location Summary'!$B$4:$B$107,B363,'Mix Substation Location Summary'!$M$4:$M$107)</f>
        <v>11780253.292030422</v>
      </c>
      <c r="N363" s="255">
        <f t="shared" si="31"/>
        <v>0</v>
      </c>
      <c r="O363" s="252" t="s">
        <v>1483</v>
      </c>
      <c r="P363" s="252" t="s">
        <v>1477</v>
      </c>
      <c r="Q363" s="258">
        <f>SUMIF('Antelope Bailey Split BA'!$B$7:$B$29,B363,'Antelope Bailey Split BA'!$C$7:$C$29)</f>
        <v>0</v>
      </c>
      <c r="R363" s="258" t="str">
        <f>IF(AND(Q363=1,'Plant Total by Account'!$J$1=2),"EKWRA","")</f>
        <v/>
      </c>
    </row>
    <row r="364" spans="1:18" ht="12.75" customHeight="1" x14ac:dyDescent="0.2">
      <c r="A364" s="249" t="s">
        <v>895</v>
      </c>
      <c r="B364" s="252" t="s">
        <v>1401</v>
      </c>
      <c r="C364" s="252" t="s">
        <v>3348</v>
      </c>
      <c r="D364" s="253">
        <v>7964.44</v>
      </c>
      <c r="E364" s="253">
        <v>103561.94000000002</v>
      </c>
      <c r="F364" s="253">
        <v>6773479.2200000025</v>
      </c>
      <c r="G364" s="546">
        <f t="shared" si="32"/>
        <v>6885005.6000000024</v>
      </c>
      <c r="H364" s="260">
        <f>SUMIF('Mix Substation Location Summary'!$B$4:$B$107,B364,'Mix Substation Location Summary'!$C$4:$C$107)</f>
        <v>4949.8635027554865</v>
      </c>
      <c r="I364" s="254">
        <f>SUMIF('Mix Substation Location Summary'!$B$4:$B$107,B364,'Mix Substation Location Summary'!$G$4:$G$107)</f>
        <v>64209.716554795115</v>
      </c>
      <c r="J364" s="261">
        <f>SUMIF('Mix Substation Location Summary'!$B$4:$B$107,B364,'Mix Substation Location Summary'!$K$4:$K$107)</f>
        <v>4209840.3164457995</v>
      </c>
      <c r="K364" s="260">
        <f>SUMIF('Mix Substation Location Summary'!$B$4:$B$107,B364,'Mix Substation Location Summary'!$D$4:$D$107)+SUMIF('Mix Substation Location Summary'!$B$4:$B$107,B364,'Mix Substation Location Summary'!$E$4:$E$107)</f>
        <v>3014.5764972445136</v>
      </c>
      <c r="L364" s="261">
        <f>SUMIF('Mix Substation Location Summary'!$B$4:$B$107,B364,'Mix Substation Location Summary'!$H$4:$H$107)+SUMIF('Mix Substation Location Summary'!$B$4:$B$107,B364,'Mix Substation Location Summary'!$I$4:$I$107)</f>
        <v>39352.223445204894</v>
      </c>
      <c r="M364" s="261">
        <f>SUMIF('Mix Substation Location Summary'!$B$4:$B$107,B364,'Mix Substation Location Summary'!$L$4:$L$107)+SUMIF('Mix Substation Location Summary'!$B$4:$B$107,B364,'Mix Substation Location Summary'!$M$4:$M$107)</f>
        <v>2563638.9035542007</v>
      </c>
      <c r="N364" s="255">
        <f t="shared" si="31"/>
        <v>0</v>
      </c>
      <c r="O364" s="252" t="s">
        <v>1483</v>
      </c>
      <c r="P364" s="267" t="s">
        <v>1478</v>
      </c>
      <c r="Q364" s="258">
        <f>SUMIF('Antelope Bailey Split BA'!$B$7:$B$29,B364,'Antelope Bailey Split BA'!$C$7:$C$29)</f>
        <v>0</v>
      </c>
      <c r="R364" s="258" t="str">
        <f>IF(AND(Q364=1,'Plant Total by Account'!$J$1=2),"EKWRA","")</f>
        <v/>
      </c>
    </row>
    <row r="365" spans="1:18" ht="12.75" customHeight="1" x14ac:dyDescent="0.2">
      <c r="A365" s="249" t="s">
        <v>892</v>
      </c>
      <c r="B365" s="252" t="s">
        <v>1385</v>
      </c>
      <c r="C365" s="252" t="s">
        <v>3350</v>
      </c>
      <c r="D365" s="253">
        <v>48811.41</v>
      </c>
      <c r="E365" s="253">
        <v>630433.3600000001</v>
      </c>
      <c r="F365" s="253">
        <v>26686331.109999999</v>
      </c>
      <c r="G365" s="546">
        <f t="shared" si="32"/>
        <v>27365575.879999999</v>
      </c>
      <c r="H365" s="260">
        <f>SUMIF('Mix Substation Location Summary'!$B$4:$B$107,B365,'Mix Substation Location Summary'!$C$4:$C$107)</f>
        <v>28584.969909692139</v>
      </c>
      <c r="I365" s="254">
        <f>SUMIF('Mix Substation Location Summary'!$B$4:$B$107,B365,'Mix Substation Location Summary'!$G$4:$G$107)</f>
        <v>342806.61918786593</v>
      </c>
      <c r="J365" s="261">
        <f>SUMIF('Mix Substation Location Summary'!$B$4:$B$107,B365,'Mix Substation Location Summary'!$K$4:$K$107)</f>
        <v>15657528.111002665</v>
      </c>
      <c r="K365" s="260">
        <f>SUMIF('Mix Substation Location Summary'!$B$4:$B$107,B365,'Mix Substation Location Summary'!$D$4:$D$107)+SUMIF('Mix Substation Location Summary'!$B$4:$B$107,B365,'Mix Substation Location Summary'!$E$4:$E$107)</f>
        <v>20226.440090307864</v>
      </c>
      <c r="L365" s="261">
        <f>SUMIF('Mix Substation Location Summary'!$B$4:$B$107,B365,'Mix Substation Location Summary'!$H$4:$H$107)+SUMIF('Mix Substation Location Summary'!$B$4:$B$107,B365,'Mix Substation Location Summary'!$I$4:$I$107)</f>
        <v>287626.740812134</v>
      </c>
      <c r="M365" s="261">
        <f>SUMIF('Mix Substation Location Summary'!$B$4:$B$107,B365,'Mix Substation Location Summary'!$L$4:$L$107)+SUMIF('Mix Substation Location Summary'!$B$4:$B$107,B365,'Mix Substation Location Summary'!$M$4:$M$107)</f>
        <v>11028802.998997333</v>
      </c>
      <c r="N365" s="255">
        <f t="shared" si="31"/>
        <v>0</v>
      </c>
      <c r="O365" s="252" t="s">
        <v>1483</v>
      </c>
      <c r="P365" s="252" t="s">
        <v>1723</v>
      </c>
      <c r="Q365" s="258">
        <f>SUMIF('Antelope Bailey Split BA'!$B$7:$B$29,B365,'Antelope Bailey Split BA'!$C$7:$C$29)</f>
        <v>0</v>
      </c>
      <c r="R365" s="258" t="str">
        <f>IF(AND(Q365=1,'Plant Total by Account'!$J$1=2),"EKWRA","")</f>
        <v/>
      </c>
    </row>
    <row r="366" spans="1:18" ht="12.75" customHeight="1" x14ac:dyDescent="0.2">
      <c r="A366" s="249" t="s">
        <v>1006</v>
      </c>
      <c r="B366" s="252" t="s">
        <v>1343</v>
      </c>
      <c r="C366" s="252" t="s">
        <v>3349</v>
      </c>
      <c r="D366" s="253">
        <v>134360.20000000001</v>
      </c>
      <c r="E366" s="253">
        <v>6652926.6399999997</v>
      </c>
      <c r="F366" s="253">
        <v>112856441.01000001</v>
      </c>
      <c r="G366" s="546">
        <f t="shared" si="32"/>
        <v>119643727.85000001</v>
      </c>
      <c r="H366" s="260">
        <f>SUMIF('Mix Substation Location Summary'!$B$4:$B$107,B366,'Mix Substation Location Summary'!$C$4:$C$107)</f>
        <v>132175.36224559104</v>
      </c>
      <c r="I366" s="254">
        <f>SUMIF('Mix Substation Location Summary'!$B$4:$B$107,B366,'Mix Substation Location Summary'!$G$4:$G$107)</f>
        <v>6545404.1574478745</v>
      </c>
      <c r="J366" s="261">
        <f>SUMIF('Mix Substation Location Summary'!$B$4:$B$107,B366,'Mix Substation Location Summary'!$K$4:$K$107)</f>
        <v>111020615.84609683</v>
      </c>
      <c r="K366" s="260">
        <f>SUMIF('Mix Substation Location Summary'!$B$4:$B$107,B366,'Mix Substation Location Summary'!$D$4:$D$107)+SUMIF('Mix Substation Location Summary'!$B$4:$B$107,B366,'Mix Substation Location Summary'!$E$4:$E$107)</f>
        <v>2184.837754408954</v>
      </c>
      <c r="L366" s="261">
        <f>SUMIF('Mix Substation Location Summary'!$B$4:$B$107,B366,'Mix Substation Location Summary'!$H$4:$H$107)+SUMIF('Mix Substation Location Summary'!$B$4:$B$107,B366,'Mix Substation Location Summary'!$I$4:$I$107)</f>
        <v>107522.48255212441</v>
      </c>
      <c r="M366" s="261">
        <f>SUMIF('Mix Substation Location Summary'!$B$4:$B$107,B366,'Mix Substation Location Summary'!$L$4:$L$107)+SUMIF('Mix Substation Location Summary'!$B$4:$B$107,B366,'Mix Substation Location Summary'!$M$4:$M$107)</f>
        <v>1835825.1639031512</v>
      </c>
      <c r="N366" s="255">
        <f t="shared" si="31"/>
        <v>0</v>
      </c>
      <c r="O366" s="252" t="s">
        <v>1483</v>
      </c>
      <c r="P366" s="252" t="s">
        <v>1477</v>
      </c>
      <c r="Q366" s="258">
        <f>SUMIF('Antelope Bailey Split BA'!$B$7:$B$29,B366,'Antelope Bailey Split BA'!$C$7:$C$29)</f>
        <v>0</v>
      </c>
      <c r="R366" s="258" t="str">
        <f>IF(AND(Q366=1,'Plant Total by Account'!$J$1=2),"EKWRA","")</f>
        <v/>
      </c>
    </row>
    <row r="367" spans="1:18" ht="12.75" customHeight="1" x14ac:dyDescent="0.2">
      <c r="A367" s="249" t="s">
        <v>896</v>
      </c>
      <c r="B367" s="252" t="s">
        <v>1402</v>
      </c>
      <c r="C367" s="252" t="s">
        <v>3349</v>
      </c>
      <c r="D367" s="253">
        <v>314770.49999999994</v>
      </c>
      <c r="E367" s="253">
        <v>34639546.779999994</v>
      </c>
      <c r="F367" s="253">
        <v>170823495.38999981</v>
      </c>
      <c r="G367" s="546">
        <f t="shared" si="32"/>
        <v>205777812.66999981</v>
      </c>
      <c r="H367" s="260">
        <f>SUMIF('Mix Substation Location Summary'!$B$4:$B$107,B367,'Mix Substation Location Summary'!$C$4:$C$107)</f>
        <v>159283.17476894686</v>
      </c>
      <c r="I367" s="254">
        <f>SUMIF('Mix Substation Location Summary'!$B$4:$B$107,B367,'Mix Substation Location Summary'!$G$4:$G$107)</f>
        <v>22182376.771513332</v>
      </c>
      <c r="J367" s="261">
        <f>SUMIF('Mix Substation Location Summary'!$B$4:$B$107,B367,'Mix Substation Location Summary'!$K$4:$K$107)</f>
        <v>83169041.551748604</v>
      </c>
      <c r="K367" s="260">
        <f>SUMIF('Mix Substation Location Summary'!$B$4:$B$107,B367,'Mix Substation Location Summary'!$D$4:$D$107)+SUMIF('Mix Substation Location Summary'!$B$4:$B$107,B367,'Mix Substation Location Summary'!$E$4:$E$107)</f>
        <v>155487.32523105308</v>
      </c>
      <c r="L367" s="261">
        <f>SUMIF('Mix Substation Location Summary'!$B$4:$B$107,B367,'Mix Substation Location Summary'!$H$4:$H$107)+SUMIF('Mix Substation Location Summary'!$B$4:$B$107,B367,'Mix Substation Location Summary'!$I$4:$I$107)</f>
        <v>12457170.00848667</v>
      </c>
      <c r="M367" s="261">
        <f>SUMIF('Mix Substation Location Summary'!$B$4:$B$107,B367,'Mix Substation Location Summary'!$L$4:$L$107)+SUMIF('Mix Substation Location Summary'!$B$4:$B$107,B367,'Mix Substation Location Summary'!$M$4:$M$107)</f>
        <v>87654453.838251442</v>
      </c>
      <c r="N367" s="255">
        <f t="shared" si="31"/>
        <v>-2.6822090148925781E-7</v>
      </c>
      <c r="O367" s="252" t="s">
        <v>1483</v>
      </c>
      <c r="P367" s="252" t="s">
        <v>1477</v>
      </c>
      <c r="Q367" s="258">
        <f>SUMIF('Antelope Bailey Split BA'!$B$7:$B$29,B367,'Antelope Bailey Split BA'!$C$7:$C$29)</f>
        <v>0</v>
      </c>
      <c r="R367" s="258" t="str">
        <f>IF(AND(Q367=1,'Plant Total by Account'!$J$1=2),"EKWRA","")</f>
        <v/>
      </c>
    </row>
    <row r="368" spans="1:18" ht="12.75" customHeight="1" x14ac:dyDescent="0.2">
      <c r="A368" s="249" t="s">
        <v>137</v>
      </c>
      <c r="B368" s="252" t="s">
        <v>1432</v>
      </c>
      <c r="C368" s="252" t="s">
        <v>3350</v>
      </c>
      <c r="D368" s="253">
        <v>0</v>
      </c>
      <c r="E368" s="253">
        <v>3441216.5999999996</v>
      </c>
      <c r="F368" s="253">
        <v>18545011.089999992</v>
      </c>
      <c r="G368" s="546">
        <f t="shared" si="32"/>
        <v>21986227.68999999</v>
      </c>
      <c r="H368" s="260">
        <f>SUMIF('Mix Substation Location Summary'!$B$4:$B$107,RIGHT(B368,4),'Mix Substation Location Summary'!$C$4:$C$107)</f>
        <v>0</v>
      </c>
      <c r="I368" s="261">
        <f>SUMIF('Mix Substation Location Summary'!$B$4:$B$107,RIGHT(B368,4),'Mix Substation Location Summary'!$G$4:$G$107)</f>
        <v>1973284.0388846942</v>
      </c>
      <c r="J368" s="261">
        <f>SUMIF('Mix Substation Location Summary'!$B$4:$B$107,RIGHT(B368,4),'Mix Substation Location Summary'!$K$4:$K$107)</f>
        <v>10632542.284144025</v>
      </c>
      <c r="K368" s="260">
        <f>SUMIF('Mix Substation Location Summary'!$B$4:$B$107,RIGHT(B368,4),'Mix Substation Location Summary'!$D$4:$D$107)+SUMIF('Mix Substation Location Summary'!$B$4:$B$107,RIGHT(B368,4),'Mix Substation Location Summary'!$E$4:$E$107)</f>
        <v>0</v>
      </c>
      <c r="L368" s="261">
        <f>SUMIF('Mix Substation Location Summary'!$B$4:$B$107,RIGHT(B368,4),'Mix Substation Location Summary'!$H$4:$H$107)+SUMIF('Mix Substation Location Summary'!$B$4:$B$107,RIGHT(B368,4),'Mix Substation Location Summary'!$I$4:$I$107)</f>
        <v>1467932.5611153066</v>
      </c>
      <c r="M368" s="261">
        <f>SUMIF('Mix Substation Location Summary'!$B$4:$B$107,RIGHT(B368,4),'Mix Substation Location Summary'!$L$4:$L$107)+SUMIF('Mix Substation Location Summary'!$B$4:$B$107,RIGHT(B368,4),'Mix Substation Location Summary'!$M$4:$M$107)</f>
        <v>7912468.8058559708</v>
      </c>
      <c r="N368" s="255">
        <f t="shared" si="31"/>
        <v>0</v>
      </c>
      <c r="O368" s="252" t="s">
        <v>1483</v>
      </c>
      <c r="P368" s="252" t="s">
        <v>1477</v>
      </c>
      <c r="Q368" s="258">
        <f>SUMIF('Antelope Bailey Split BA'!$B$7:$B$29,B368,'Antelope Bailey Split BA'!$C$7:$C$29)</f>
        <v>0</v>
      </c>
      <c r="R368" s="258" t="str">
        <f>IF(AND(Q368=1,'Plant Total by Account'!$J$1=2),"EKWRA","")</f>
        <v/>
      </c>
    </row>
    <row r="369" spans="1:18" ht="12.75" customHeight="1" x14ac:dyDescent="0.2">
      <c r="A369" s="249" t="s">
        <v>894</v>
      </c>
      <c r="B369" s="252" t="s">
        <v>1368</v>
      </c>
      <c r="C369" s="252" t="s">
        <v>3348</v>
      </c>
      <c r="D369" s="253">
        <v>302392.48000000004</v>
      </c>
      <c r="E369" s="253">
        <v>3850233.7500000009</v>
      </c>
      <c r="F369" s="253">
        <v>35797855.999999993</v>
      </c>
      <c r="G369" s="546">
        <f t="shared" si="32"/>
        <v>39950482.229999997</v>
      </c>
      <c r="H369" s="260">
        <f>SUMIF('Mix Substation Location Summary'!$B$4:$B$107,B369,'Mix Substation Location Summary'!$C$4:$C$107)</f>
        <v>105359.09031686527</v>
      </c>
      <c r="I369" s="254">
        <f>SUMIF('Mix Substation Location Summary'!$B$4:$B$107,B369,'Mix Substation Location Summary'!$G$4:$G$107)</f>
        <v>835254.1146023313</v>
      </c>
      <c r="J369" s="261">
        <f>SUMIF('Mix Substation Location Summary'!$B$4:$B$107,B369,'Mix Substation Location Summary'!$K$4:$K$107)</f>
        <v>13200615.173423063</v>
      </c>
      <c r="K369" s="260">
        <f>SUMIF('Mix Substation Location Summary'!$B$4:$B$107,B369,'Mix Substation Location Summary'!$D$4:$D$107)+SUMIF('Mix Substation Location Summary'!$B$4:$B$107,B369,'Mix Substation Location Summary'!$E$4:$E$107)</f>
        <v>197033.38968313474</v>
      </c>
      <c r="L369" s="261">
        <f>SUMIF('Mix Substation Location Summary'!$B$4:$B$107,B369,'Mix Substation Location Summary'!$H$4:$H$107)+SUMIF('Mix Substation Location Summary'!$B$4:$B$107,B369,'Mix Substation Location Summary'!$I$4:$I$107)</f>
        <v>3014979.6353976694</v>
      </c>
      <c r="M369" s="261">
        <f>SUMIF('Mix Substation Location Summary'!$B$4:$B$107,B369,'Mix Substation Location Summary'!$L$4:$L$107)+SUMIF('Mix Substation Location Summary'!$B$4:$B$107,B369,'Mix Substation Location Summary'!$M$4:$M$107)</f>
        <v>22597240.826576933</v>
      </c>
      <c r="N369" s="255">
        <f t="shared" si="31"/>
        <v>0</v>
      </c>
      <c r="O369" s="252" t="s">
        <v>1483</v>
      </c>
      <c r="P369" s="267" t="s">
        <v>1478</v>
      </c>
      <c r="Q369" s="258">
        <f>SUMIF('Antelope Bailey Split BA'!$B$7:$B$29,B369,'Antelope Bailey Split BA'!$C$7:$C$29)</f>
        <v>0</v>
      </c>
      <c r="R369" s="258" t="str">
        <f>IF(AND(Q369=1,'Plant Total by Account'!$J$1=2),"EKWRA","")</f>
        <v/>
      </c>
    </row>
    <row r="370" spans="1:18" ht="12.75" customHeight="1" x14ac:dyDescent="0.2">
      <c r="A370" s="249" t="s">
        <v>2323</v>
      </c>
      <c r="B370" s="252" t="s">
        <v>1083</v>
      </c>
      <c r="C370" s="252" t="s">
        <v>3349</v>
      </c>
      <c r="D370" s="253">
        <v>2910822.12</v>
      </c>
      <c r="E370" s="253">
        <v>0</v>
      </c>
      <c r="F370" s="253">
        <v>27104.880000000001</v>
      </c>
      <c r="G370" s="546">
        <f t="shared" si="32"/>
        <v>2937927</v>
      </c>
      <c r="H370" s="254">
        <f>SUMIF('Trans Line Reconciliation'!$B$5:$B$84,$B370,'Trans Line Reconciliation'!$N$5:$N$84)</f>
        <v>2910822.12</v>
      </c>
      <c r="I370" s="268">
        <f>SUMIF('Trans Line Reconciliation'!$B$5:$B$84,$B370,'Trans Line Reconciliation'!$O$5:$O$84)</f>
        <v>0</v>
      </c>
      <c r="J370" s="268">
        <f>SUMIF('Trans Line Reconciliation'!$B$5:$B$84,$B370,'Trans Line Reconciliation'!$P$5:$P$84)</f>
        <v>27104.880000000001</v>
      </c>
      <c r="K370" s="254">
        <f>SUMIF('Trans Line Reconciliation'!$B$5:$B$84,$B370,'Trans Line Reconciliation'!$Q$5:$Q$84)</f>
        <v>0</v>
      </c>
      <c r="L370" s="268">
        <f>SUMIF('Trans Line Reconciliation'!$B$5:$B$84,$B370,'Trans Line Reconciliation'!$R$5:$R$84)</f>
        <v>0</v>
      </c>
      <c r="M370" s="268">
        <f>SUMIF('Trans Line Reconciliation'!$B$5:$B$84,$B370,'Trans Line Reconciliation'!$S$5:$S$84)</f>
        <v>0</v>
      </c>
      <c r="N370" s="255">
        <f t="shared" ref="N370:N377" si="33">G370-SUM(H370:M370)</f>
        <v>0</v>
      </c>
      <c r="O370" s="252" t="s">
        <v>2267</v>
      </c>
      <c r="P370" s="252"/>
      <c r="Q370" s="258">
        <f>SUMIF('Antelope Bailey Split BA'!$B$7:$B$29,B370,'Antelope Bailey Split BA'!$C$7:$C$29)</f>
        <v>0</v>
      </c>
      <c r="R370" s="258" t="str">
        <f>IF(AND(Q370=1,'Plant Total by Account'!$J$1=2),"EKWRA","")</f>
        <v/>
      </c>
    </row>
    <row r="371" spans="1:18" ht="12.75" customHeight="1" x14ac:dyDescent="0.2">
      <c r="A371" s="249" t="s">
        <v>2324</v>
      </c>
      <c r="B371" s="252" t="s">
        <v>1084</v>
      </c>
      <c r="C371" s="252" t="s">
        <v>3351</v>
      </c>
      <c r="D371" s="253">
        <v>0</v>
      </c>
      <c r="E371" s="253">
        <v>95840.85</v>
      </c>
      <c r="F371" s="253">
        <v>0</v>
      </c>
      <c r="G371" s="546">
        <f t="shared" si="32"/>
        <v>95840.85</v>
      </c>
      <c r="H371" s="254">
        <f>SUMIF('Trans Line Reconciliation'!$B$5:$B$84,$B371,'Trans Line Reconciliation'!$N$5:$N$84)</f>
        <v>0</v>
      </c>
      <c r="I371" s="268">
        <f>SUMIF('Trans Line Reconciliation'!$B$5:$B$84,$B371,'Trans Line Reconciliation'!$O$5:$O$84)</f>
        <v>95840.85</v>
      </c>
      <c r="J371" s="268">
        <f>SUMIF('Trans Line Reconciliation'!$B$5:$B$84,$B371,'Trans Line Reconciliation'!$P$5:$P$84)</f>
        <v>0</v>
      </c>
      <c r="K371" s="254">
        <f>SUMIF('Trans Line Reconciliation'!$B$5:$B$84,$B371,'Trans Line Reconciliation'!$Q$5:$Q$84)</f>
        <v>0</v>
      </c>
      <c r="L371" s="268">
        <f>SUMIF('Trans Line Reconciliation'!$B$5:$B$84,$B371,'Trans Line Reconciliation'!$R$5:$R$84)</f>
        <v>0</v>
      </c>
      <c r="M371" s="268">
        <f>SUMIF('Trans Line Reconciliation'!$B$5:$B$84,$B371,'Trans Line Reconciliation'!$S$5:$S$84)</f>
        <v>0</v>
      </c>
      <c r="N371" s="255">
        <f t="shared" si="33"/>
        <v>0</v>
      </c>
      <c r="O371" s="252" t="s">
        <v>2267</v>
      </c>
      <c r="P371" s="252"/>
      <c r="Q371" s="258">
        <f>SUMIF('Antelope Bailey Split BA'!$B$7:$B$29,B371,'Antelope Bailey Split BA'!$C$7:$C$29)</f>
        <v>0</v>
      </c>
      <c r="R371" s="258" t="str">
        <f>IF(AND(Q371=1,'Plant Total by Account'!$J$1=2),"EKWRA","")</f>
        <v/>
      </c>
    </row>
    <row r="372" spans="1:18" ht="12.75" customHeight="1" x14ac:dyDescent="0.2">
      <c r="A372" s="249" t="s">
        <v>2324</v>
      </c>
      <c r="B372" s="252" t="s">
        <v>1085</v>
      </c>
      <c r="C372" s="252" t="s">
        <v>3351</v>
      </c>
      <c r="D372" s="253">
        <v>0</v>
      </c>
      <c r="E372" s="253">
        <v>540.83000000000004</v>
      </c>
      <c r="F372" s="253">
        <v>0</v>
      </c>
      <c r="G372" s="546">
        <f t="shared" si="32"/>
        <v>540.83000000000004</v>
      </c>
      <c r="H372" s="254">
        <f>SUMIF('Trans Line Reconciliation'!$B$5:$B$84,$B372,'Trans Line Reconciliation'!$N$5:$N$84)</f>
        <v>0</v>
      </c>
      <c r="I372" s="268">
        <f>SUMIF('Trans Line Reconciliation'!$B$5:$B$84,$B372,'Trans Line Reconciliation'!$O$5:$O$84)</f>
        <v>540.83000000000004</v>
      </c>
      <c r="J372" s="268">
        <f>SUMIF('Trans Line Reconciliation'!$B$5:$B$84,$B372,'Trans Line Reconciliation'!$P$5:$P$84)</f>
        <v>0</v>
      </c>
      <c r="K372" s="254">
        <f>SUMIF('Trans Line Reconciliation'!$B$5:$B$84,$B372,'Trans Line Reconciliation'!$Q$5:$Q$84)</f>
        <v>0</v>
      </c>
      <c r="L372" s="268">
        <f>SUMIF('Trans Line Reconciliation'!$B$5:$B$84,$B372,'Trans Line Reconciliation'!$R$5:$R$84)</f>
        <v>0</v>
      </c>
      <c r="M372" s="268">
        <f>SUMIF('Trans Line Reconciliation'!$B$5:$B$84,$B372,'Trans Line Reconciliation'!$S$5:$S$84)</f>
        <v>0</v>
      </c>
      <c r="N372" s="255">
        <f t="shared" si="33"/>
        <v>0</v>
      </c>
      <c r="O372" s="252" t="s">
        <v>2267</v>
      </c>
      <c r="P372" s="252"/>
      <c r="Q372" s="258">
        <f>SUMIF('Antelope Bailey Split BA'!$B$7:$B$29,B372,'Antelope Bailey Split BA'!$C$7:$C$29)</f>
        <v>0</v>
      </c>
      <c r="R372" s="258" t="str">
        <f>IF(AND(Q372=1,'Plant Total by Account'!$J$1=2),"EKWRA","")</f>
        <v/>
      </c>
    </row>
    <row r="373" spans="1:18" ht="12.75" customHeight="1" x14ac:dyDescent="0.2">
      <c r="A373" s="249" t="s">
        <v>1316</v>
      </c>
      <c r="B373" s="252" t="s">
        <v>2203</v>
      </c>
      <c r="C373" s="252"/>
      <c r="D373" s="253">
        <v>179131.19</v>
      </c>
      <c r="E373" s="253">
        <v>0</v>
      </c>
      <c r="F373" s="253">
        <v>0</v>
      </c>
      <c r="G373" s="546">
        <f t="shared" si="32"/>
        <v>179131.19</v>
      </c>
      <c r="H373" s="254">
        <f>SUMIF('Trans Line Reconciliation'!$B$5:$B$84,$B373,'Trans Line Reconciliation'!$N$5:$N$84)</f>
        <v>179131.18999999997</v>
      </c>
      <c r="I373" s="268">
        <f>SUMIF('Trans Line Reconciliation'!$B$5:$B$84,$B373,'Trans Line Reconciliation'!$O$5:$O$84)</f>
        <v>0</v>
      </c>
      <c r="J373" s="268">
        <f>SUMIF('Trans Line Reconciliation'!$B$5:$B$84,$B373,'Trans Line Reconciliation'!$P$5:$P$84)</f>
        <v>0</v>
      </c>
      <c r="K373" s="254">
        <f>SUMIF('Trans Line Reconciliation'!$B$5:$B$84,$B373,'Trans Line Reconciliation'!$Q$5:$Q$84)</f>
        <v>0</v>
      </c>
      <c r="L373" s="268">
        <f>SUMIF('Trans Line Reconciliation'!$B$5:$B$84,$B373,'Trans Line Reconciliation'!$R$5:$R$84)</f>
        <v>0</v>
      </c>
      <c r="M373" s="268">
        <f>SUMIF('Trans Line Reconciliation'!$B$5:$B$84,$B373,'Trans Line Reconciliation'!$S$5:$S$84)</f>
        <v>0</v>
      </c>
      <c r="N373" s="255">
        <f t="shared" si="33"/>
        <v>0</v>
      </c>
      <c r="O373" s="252" t="s">
        <v>2267</v>
      </c>
      <c r="P373" s="252"/>
      <c r="Q373" s="258">
        <f>SUMIF('Antelope Bailey Split BA'!$B$7:$B$29,B373,'Antelope Bailey Split BA'!$C$7:$C$29)</f>
        <v>0</v>
      </c>
      <c r="R373" s="258" t="str">
        <f>IF(AND(Q373=1,'Plant Total by Account'!$J$1=2),"EKWRA","")</f>
        <v/>
      </c>
    </row>
    <row r="374" spans="1:18" ht="12.75" customHeight="1" x14ac:dyDescent="0.2">
      <c r="A374" s="249" t="s">
        <v>1317</v>
      </c>
      <c r="B374" s="252" t="s">
        <v>2204</v>
      </c>
      <c r="C374" s="252" t="s">
        <v>3350</v>
      </c>
      <c r="D374" s="253">
        <v>186657</v>
      </c>
      <c r="E374" s="253">
        <v>0</v>
      </c>
      <c r="F374" s="253">
        <v>0</v>
      </c>
      <c r="G374" s="546">
        <f t="shared" si="32"/>
        <v>186657</v>
      </c>
      <c r="H374" s="254">
        <f>SUMIF('Trans Line Reconciliation'!$B$5:$B$84,$B374,'Trans Line Reconciliation'!$N$5:$N$84)</f>
        <v>186657</v>
      </c>
      <c r="I374" s="268">
        <f>SUMIF('Trans Line Reconciliation'!$B$5:$B$84,$B374,'Trans Line Reconciliation'!$O$5:$O$84)</f>
        <v>0</v>
      </c>
      <c r="J374" s="268">
        <f>SUMIF('Trans Line Reconciliation'!$B$5:$B$84,$B374,'Trans Line Reconciliation'!$P$5:$P$84)</f>
        <v>0</v>
      </c>
      <c r="K374" s="254">
        <f>SUMIF('Trans Line Reconciliation'!$B$5:$B$84,$B374,'Trans Line Reconciliation'!$Q$5:$Q$84)</f>
        <v>0</v>
      </c>
      <c r="L374" s="268">
        <f>SUMIF('Trans Line Reconciliation'!$B$5:$B$84,$B374,'Trans Line Reconciliation'!$R$5:$R$84)</f>
        <v>0</v>
      </c>
      <c r="M374" s="268">
        <f>SUMIF('Trans Line Reconciliation'!$B$5:$B$84,$B374,'Trans Line Reconciliation'!$S$5:$S$84)</f>
        <v>0</v>
      </c>
      <c r="N374" s="255">
        <f t="shared" si="33"/>
        <v>0</v>
      </c>
      <c r="O374" s="252" t="s">
        <v>2267</v>
      </c>
      <c r="P374" s="252"/>
      <c r="Q374" s="258">
        <f>SUMIF('Antelope Bailey Split BA'!$B$7:$B$29,B374,'Antelope Bailey Split BA'!$C$7:$C$29)</f>
        <v>0</v>
      </c>
      <c r="R374" s="258" t="str">
        <f>IF(AND(Q374=1,'Plant Total by Account'!$J$1=2),"EKWRA","")</f>
        <v/>
      </c>
    </row>
    <row r="375" spans="1:18" ht="12.75" customHeight="1" x14ac:dyDescent="0.2">
      <c r="A375" s="249" t="s">
        <v>1318</v>
      </c>
      <c r="B375" s="252" t="s">
        <v>2205</v>
      </c>
      <c r="C375" s="252" t="s">
        <v>3350</v>
      </c>
      <c r="D375" s="253">
        <v>13001.630000000001</v>
      </c>
      <c r="E375" s="253">
        <v>0</v>
      </c>
      <c r="F375" s="253">
        <v>0</v>
      </c>
      <c r="G375" s="546">
        <f t="shared" si="32"/>
        <v>13001.630000000001</v>
      </c>
      <c r="H375" s="254">
        <f>SUMIF('Trans Line Reconciliation'!$B$5:$B$84,$B375,'Trans Line Reconciliation'!$N$5:$N$84)</f>
        <v>13001.63</v>
      </c>
      <c r="I375" s="268">
        <f>SUMIF('Trans Line Reconciliation'!$B$5:$B$84,$B375,'Trans Line Reconciliation'!$O$5:$O$84)</f>
        <v>0</v>
      </c>
      <c r="J375" s="268">
        <f>SUMIF('Trans Line Reconciliation'!$B$5:$B$84,$B375,'Trans Line Reconciliation'!$P$5:$P$84)</f>
        <v>0</v>
      </c>
      <c r="K375" s="254">
        <f>SUMIF('Trans Line Reconciliation'!$B$5:$B$84,$B375,'Trans Line Reconciliation'!$Q$5:$Q$84)</f>
        <v>0</v>
      </c>
      <c r="L375" s="268">
        <f>SUMIF('Trans Line Reconciliation'!$B$5:$B$84,$B375,'Trans Line Reconciliation'!$R$5:$R$84)</f>
        <v>0</v>
      </c>
      <c r="M375" s="268">
        <f>SUMIF('Trans Line Reconciliation'!$B$5:$B$84,$B375,'Trans Line Reconciliation'!$S$5:$S$84)</f>
        <v>0</v>
      </c>
      <c r="N375" s="255">
        <f t="shared" si="33"/>
        <v>0</v>
      </c>
      <c r="O375" s="252" t="s">
        <v>2267</v>
      </c>
      <c r="P375" s="252"/>
      <c r="Q375" s="258">
        <f>SUMIF('Antelope Bailey Split BA'!$B$7:$B$29,B375,'Antelope Bailey Split BA'!$C$7:$C$29)</f>
        <v>0</v>
      </c>
      <c r="R375" s="258" t="str">
        <f>IF(AND(Q375=1,'Plant Total by Account'!$J$1=2),"EKWRA","")</f>
        <v/>
      </c>
    </row>
    <row r="376" spans="1:18" ht="12.75" customHeight="1" x14ac:dyDescent="0.2">
      <c r="A376" s="249" t="s">
        <v>1319</v>
      </c>
      <c r="B376" s="252" t="s">
        <v>2206</v>
      </c>
      <c r="C376" s="252" t="s">
        <v>3350</v>
      </c>
      <c r="D376" s="253">
        <v>61040.14</v>
      </c>
      <c r="E376" s="253">
        <v>0</v>
      </c>
      <c r="F376" s="253">
        <v>0</v>
      </c>
      <c r="G376" s="546">
        <f t="shared" si="32"/>
        <v>61040.14</v>
      </c>
      <c r="H376" s="254">
        <f>SUMIF('Trans Line Reconciliation'!$B$5:$B$84,$B376,'Trans Line Reconciliation'!$N$5:$N$84)</f>
        <v>61040.14</v>
      </c>
      <c r="I376" s="268">
        <f>SUMIF('Trans Line Reconciliation'!$B$5:$B$84,$B376,'Trans Line Reconciliation'!$O$5:$O$84)</f>
        <v>0</v>
      </c>
      <c r="J376" s="268">
        <f>SUMIF('Trans Line Reconciliation'!$B$5:$B$84,$B376,'Trans Line Reconciliation'!$P$5:$P$84)</f>
        <v>0</v>
      </c>
      <c r="K376" s="254">
        <f>SUMIF('Trans Line Reconciliation'!$B$5:$B$84,$B376,'Trans Line Reconciliation'!$Q$5:$Q$84)</f>
        <v>0</v>
      </c>
      <c r="L376" s="268">
        <f>SUMIF('Trans Line Reconciliation'!$B$5:$B$84,$B376,'Trans Line Reconciliation'!$R$5:$R$84)</f>
        <v>0</v>
      </c>
      <c r="M376" s="268">
        <f>SUMIF('Trans Line Reconciliation'!$B$5:$B$84,$B376,'Trans Line Reconciliation'!$S$5:$S$84)</f>
        <v>0</v>
      </c>
      <c r="N376" s="255">
        <f t="shared" si="33"/>
        <v>0</v>
      </c>
      <c r="O376" s="252" t="s">
        <v>2267</v>
      </c>
      <c r="P376" s="252"/>
      <c r="Q376" s="258">
        <f>SUMIF('Antelope Bailey Split BA'!$B$7:$B$29,B376,'Antelope Bailey Split BA'!$C$7:$C$29)</f>
        <v>0</v>
      </c>
      <c r="R376" s="258" t="str">
        <f>IF(AND(Q376=1,'Plant Total by Account'!$J$1=2),"EKWRA","")</f>
        <v/>
      </c>
    </row>
    <row r="377" spans="1:18" ht="12.75" customHeight="1" x14ac:dyDescent="0.2">
      <c r="A377" s="249" t="s">
        <v>2325</v>
      </c>
      <c r="B377" s="252" t="s">
        <v>1086</v>
      </c>
      <c r="C377" s="252" t="s">
        <v>3350</v>
      </c>
      <c r="D377" s="253">
        <v>1458517.0799999998</v>
      </c>
      <c r="E377" s="253">
        <v>278181.34999999998</v>
      </c>
      <c r="F377" s="253">
        <v>98474.790000000008</v>
      </c>
      <c r="G377" s="546">
        <f t="shared" si="32"/>
        <v>1835173.2199999997</v>
      </c>
      <c r="H377" s="254">
        <f>SUMIF('Trans Line Reconciliation'!$B$5:$B$84,$B377,'Trans Line Reconciliation'!$N$5:$N$84)</f>
        <v>1418562.1815764289</v>
      </c>
      <c r="I377" s="268">
        <f>SUMIF('Trans Line Reconciliation'!$B$5:$B$84,$B377,'Trans Line Reconciliation'!$O$5:$O$84)</f>
        <v>270518.33933738939</v>
      </c>
      <c r="J377" s="268">
        <f>SUMIF('Trans Line Reconciliation'!$B$5:$B$84,$B377,'Trans Line Reconciliation'!$P$5:$P$84)</f>
        <v>95762.123008599126</v>
      </c>
      <c r="K377" s="254">
        <f>SUMIF('Trans Line Reconciliation'!$B$5:$B$84,$B377,'Trans Line Reconciliation'!$Q$5:$Q$84)</f>
        <v>39954.898423570907</v>
      </c>
      <c r="L377" s="268">
        <f>SUMIF('Trans Line Reconciliation'!$B$5:$B$84,$B377,'Trans Line Reconciliation'!$R$5:$R$84)</f>
        <v>7663.0106626105844</v>
      </c>
      <c r="M377" s="268">
        <f>SUMIF('Trans Line Reconciliation'!$B$5:$B$84,$B377,'Trans Line Reconciliation'!$S$5:$S$84)</f>
        <v>2712.6669914008817</v>
      </c>
      <c r="N377" s="255">
        <f t="shared" si="33"/>
        <v>0</v>
      </c>
      <c r="O377" s="252" t="s">
        <v>2267</v>
      </c>
      <c r="P377" s="252"/>
      <c r="Q377" s="258">
        <f>SUMIF('Antelope Bailey Split BA'!$B$7:$B$29,B377,'Antelope Bailey Split BA'!$C$7:$C$29)</f>
        <v>0</v>
      </c>
      <c r="R377" s="258" t="str">
        <f>IF(AND(Q377=1,'Plant Total by Account'!$J$1=2),"EKWRA","")</f>
        <v/>
      </c>
    </row>
    <row r="378" spans="1:18" ht="12.75" customHeight="1" x14ac:dyDescent="0.2">
      <c r="A378" s="249" t="s">
        <v>508</v>
      </c>
      <c r="B378" s="252" t="s">
        <v>2207</v>
      </c>
      <c r="C378" s="252"/>
      <c r="D378" s="253">
        <v>1466127.54</v>
      </c>
      <c r="E378" s="253">
        <v>0</v>
      </c>
      <c r="F378" s="253">
        <v>0</v>
      </c>
      <c r="G378" s="546">
        <f t="shared" si="32"/>
        <v>1466127.54</v>
      </c>
      <c r="H378" s="254">
        <f>SUMIF('Trans Line Reconciliation'!$B$5:$B$84,$B378,'Trans Line Reconciliation'!$N$5:$N$84)</f>
        <v>777708.03908957134</v>
      </c>
      <c r="I378" s="268">
        <f>SUMIF('Trans Line Reconciliation'!$B$5:$B$84,$B378,'Trans Line Reconciliation'!$O$5:$O$84)</f>
        <v>0</v>
      </c>
      <c r="J378" s="268">
        <f>SUMIF('Trans Line Reconciliation'!$B$5:$B$84,$B378,'Trans Line Reconciliation'!$P$5:$P$84)</f>
        <v>0</v>
      </c>
      <c r="K378" s="254">
        <f>SUMIF('Trans Line Reconciliation'!$B$5:$B$84,$B378,'Trans Line Reconciliation'!$Q$5:$Q$84)</f>
        <v>688419.5009104287</v>
      </c>
      <c r="L378" s="268">
        <f>SUMIF('Trans Line Reconciliation'!$B$5:$B$84,$B378,'Trans Line Reconciliation'!$R$5:$R$84)</f>
        <v>0</v>
      </c>
      <c r="M378" s="268">
        <f>SUMIF('Trans Line Reconciliation'!$B$5:$B$84,$B378,'Trans Line Reconciliation'!$S$5:$S$84)</f>
        <v>0</v>
      </c>
      <c r="N378" s="255">
        <f t="shared" ref="N378:N409" si="34">G378-SUM(H378:M378)</f>
        <v>0</v>
      </c>
      <c r="O378" s="252" t="s">
        <v>2267</v>
      </c>
      <c r="P378" s="252"/>
      <c r="Q378" s="258">
        <f>SUMIF('Antelope Bailey Split BA'!$B$7:$B$29,B378,'Antelope Bailey Split BA'!$C$7:$C$29)</f>
        <v>0</v>
      </c>
      <c r="R378" s="258" t="str">
        <f>IF(AND(Q378=1,'Plant Total by Account'!$J$1=2),"EKWRA","")</f>
        <v/>
      </c>
    </row>
    <row r="379" spans="1:18" ht="12.75" customHeight="1" x14ac:dyDescent="0.2">
      <c r="A379" s="249" t="s">
        <v>509</v>
      </c>
      <c r="B379" s="252" t="s">
        <v>2208</v>
      </c>
      <c r="C379" s="252"/>
      <c r="D379" s="253">
        <v>1331335.1000000001</v>
      </c>
      <c r="E379" s="253">
        <v>0</v>
      </c>
      <c r="F379" s="253">
        <v>0</v>
      </c>
      <c r="G379" s="546">
        <f t="shared" si="32"/>
        <v>1331335.1000000001</v>
      </c>
      <c r="H379" s="254">
        <f>SUMIF('Trans Line Reconciliation'!$B$5:$B$84,$B379,'Trans Line Reconciliation'!$N$5:$N$84)</f>
        <v>1253514.4942617316</v>
      </c>
      <c r="I379" s="268">
        <f>SUMIF('Trans Line Reconciliation'!$B$5:$B$84,$B379,'Trans Line Reconciliation'!$O$5:$O$84)</f>
        <v>0</v>
      </c>
      <c r="J379" s="268">
        <f>SUMIF('Trans Line Reconciliation'!$B$5:$B$84,$B379,'Trans Line Reconciliation'!$P$5:$P$84)</f>
        <v>0</v>
      </c>
      <c r="K379" s="254">
        <f>SUMIF('Trans Line Reconciliation'!$B$5:$B$84,$B379,'Trans Line Reconciliation'!$Q$5:$Q$84)</f>
        <v>77820.605738268467</v>
      </c>
      <c r="L379" s="268">
        <f>SUMIF('Trans Line Reconciliation'!$B$5:$B$84,$B379,'Trans Line Reconciliation'!$R$5:$R$84)</f>
        <v>0</v>
      </c>
      <c r="M379" s="268">
        <f>SUMIF('Trans Line Reconciliation'!$B$5:$B$84,$B379,'Trans Line Reconciliation'!$S$5:$S$84)</f>
        <v>0</v>
      </c>
      <c r="N379" s="255">
        <f t="shared" si="34"/>
        <v>0</v>
      </c>
      <c r="O379" s="252" t="s">
        <v>2267</v>
      </c>
      <c r="P379" s="252"/>
      <c r="Q379" s="258">
        <f>SUMIF('Antelope Bailey Split BA'!$B$7:$B$29,B379,'Antelope Bailey Split BA'!$C$7:$C$29)</f>
        <v>0</v>
      </c>
      <c r="R379" s="258" t="str">
        <f>IF(AND(Q379=1,'Plant Total by Account'!$J$1=2),"EKWRA","")</f>
        <v/>
      </c>
    </row>
    <row r="380" spans="1:18" ht="12.75" customHeight="1" x14ac:dyDescent="0.2">
      <c r="A380" s="249" t="s">
        <v>2326</v>
      </c>
      <c r="B380" s="252" t="s">
        <v>169</v>
      </c>
      <c r="C380" s="252" t="s">
        <v>3353</v>
      </c>
      <c r="D380" s="253">
        <v>31669555.880000006</v>
      </c>
      <c r="E380" s="253">
        <v>307314.38</v>
      </c>
      <c r="F380" s="253">
        <v>1071634.4200000002</v>
      </c>
      <c r="G380" s="546">
        <f t="shared" si="32"/>
        <v>33048504.680000007</v>
      </c>
      <c r="H380" s="254">
        <f>SUMIF('Trans Line Reconciliation'!$B$5:$B$84,$B380,'Trans Line Reconciliation'!$N$5:$N$84)</f>
        <v>3469110.4013464162</v>
      </c>
      <c r="I380" s="268">
        <f>SUMIF('Trans Line Reconciliation'!$B$5:$B$84,$B380,'Trans Line Reconciliation'!$O$5:$O$84)</f>
        <v>122152.85737609216</v>
      </c>
      <c r="J380" s="268">
        <f>SUMIF('Trans Line Reconciliation'!$B$5:$B$84,$B380,'Trans Line Reconciliation'!$P$5:$P$84)</f>
        <v>116166.1450978038</v>
      </c>
      <c r="K380" s="254">
        <f>SUMIF('Trans Line Reconciliation'!$B$5:$B$84,$B380,'Trans Line Reconciliation'!$Q$5:$Q$84)</f>
        <v>28200445.478653591</v>
      </c>
      <c r="L380" s="268">
        <f>SUMIF('Trans Line Reconciliation'!$B$5:$B$84,$B380,'Trans Line Reconciliation'!$R$5:$R$84)</f>
        <v>185161.52262390783</v>
      </c>
      <c r="M380" s="268">
        <f>SUMIF('Trans Line Reconciliation'!$B$5:$B$84,$B380,'Trans Line Reconciliation'!$S$5:$S$84)</f>
        <v>955468.27490219637</v>
      </c>
      <c r="N380" s="255">
        <f t="shared" si="34"/>
        <v>0</v>
      </c>
      <c r="O380" s="252" t="s">
        <v>2267</v>
      </c>
      <c r="P380" s="252"/>
      <c r="Q380" s="258">
        <f>SUMIF('Antelope Bailey Split BA'!$B$7:$B$29,B380,'Antelope Bailey Split BA'!$C$7:$C$29)</f>
        <v>0</v>
      </c>
      <c r="R380" s="258" t="str">
        <f>IF(AND(Q380=1,'Plant Total by Account'!$J$1=2),"EKWRA","")</f>
        <v/>
      </c>
    </row>
    <row r="381" spans="1:18" ht="12.75" customHeight="1" x14ac:dyDescent="0.2">
      <c r="A381" s="249" t="s">
        <v>510</v>
      </c>
      <c r="B381" s="252" t="s">
        <v>2209</v>
      </c>
      <c r="C381" s="252"/>
      <c r="D381" s="253">
        <v>563121.10000000009</v>
      </c>
      <c r="E381" s="253">
        <v>0</v>
      </c>
      <c r="F381" s="253">
        <v>0</v>
      </c>
      <c r="G381" s="546">
        <f t="shared" si="32"/>
        <v>563121.10000000009</v>
      </c>
      <c r="H381" s="254">
        <f>SUMIF('Trans Line Reconciliation'!$B$5:$B$84,$B381,'Trans Line Reconciliation'!$N$5:$N$84)</f>
        <v>1303.1386957310856</v>
      </c>
      <c r="I381" s="268">
        <f>SUMIF('Trans Line Reconciliation'!$B$5:$B$84,$B381,'Trans Line Reconciliation'!$O$5:$O$84)</f>
        <v>0</v>
      </c>
      <c r="J381" s="268">
        <f>SUMIF('Trans Line Reconciliation'!$B$5:$B$84,$B381,'Trans Line Reconciliation'!$P$5:$P$84)</f>
        <v>0</v>
      </c>
      <c r="K381" s="254">
        <f>SUMIF('Trans Line Reconciliation'!$B$5:$B$84,$B381,'Trans Line Reconciliation'!$Q$5:$Q$84)</f>
        <v>561817.96130426903</v>
      </c>
      <c r="L381" s="268">
        <f>SUMIF('Trans Line Reconciliation'!$B$5:$B$84,$B381,'Trans Line Reconciliation'!$R$5:$R$84)</f>
        <v>0</v>
      </c>
      <c r="M381" s="268">
        <f>SUMIF('Trans Line Reconciliation'!$B$5:$B$84,$B381,'Trans Line Reconciliation'!$S$5:$S$84)</f>
        <v>0</v>
      </c>
      <c r="N381" s="255">
        <f t="shared" si="34"/>
        <v>0</v>
      </c>
      <c r="O381" s="252" t="s">
        <v>2267</v>
      </c>
      <c r="P381" s="252"/>
      <c r="Q381" s="258">
        <f>SUMIF('Antelope Bailey Split BA'!$B$7:$B$29,B381,'Antelope Bailey Split BA'!$C$7:$C$29)</f>
        <v>0</v>
      </c>
      <c r="R381" s="258" t="str">
        <f>IF(AND(Q381=1,'Plant Total by Account'!$J$1=2),"EKWRA","")</f>
        <v/>
      </c>
    </row>
    <row r="382" spans="1:18" ht="12.75" customHeight="1" x14ac:dyDescent="0.2">
      <c r="A382" s="249" t="s">
        <v>2327</v>
      </c>
      <c r="B382" s="252" t="s">
        <v>1087</v>
      </c>
      <c r="C382" s="252" t="s">
        <v>3350</v>
      </c>
      <c r="D382" s="253">
        <v>2639356.88</v>
      </c>
      <c r="E382" s="253">
        <v>303336.46999999997</v>
      </c>
      <c r="F382" s="253">
        <v>0</v>
      </c>
      <c r="G382" s="546">
        <f t="shared" si="32"/>
        <v>2942693.3499999996</v>
      </c>
      <c r="H382" s="254">
        <f>SUMIF('Trans Line Reconciliation'!$B$5:$B$84,$B382,'Trans Line Reconciliation'!$N$5:$N$84)</f>
        <v>2399012.7348375577</v>
      </c>
      <c r="I382" s="268">
        <f>SUMIF('Trans Line Reconciliation'!$B$5:$B$84,$B382,'Trans Line Reconciliation'!$O$5:$O$84)</f>
        <v>296715.87401653378</v>
      </c>
      <c r="J382" s="268">
        <f>SUMIF('Trans Line Reconciliation'!$B$5:$B$84,$B382,'Trans Line Reconciliation'!$P$5:$P$84)</f>
        <v>0</v>
      </c>
      <c r="K382" s="254">
        <f>SUMIF('Trans Line Reconciliation'!$B$5:$B$84,$B382,'Trans Line Reconciliation'!$Q$5:$Q$84)</f>
        <v>240344.14516244223</v>
      </c>
      <c r="L382" s="268">
        <f>SUMIF('Trans Line Reconciliation'!$B$5:$B$84,$B382,'Trans Line Reconciliation'!$R$5:$R$84)</f>
        <v>6620.5959834661917</v>
      </c>
      <c r="M382" s="268">
        <f>SUMIF('Trans Line Reconciliation'!$B$5:$B$84,$B382,'Trans Line Reconciliation'!$S$5:$S$84)</f>
        <v>0</v>
      </c>
      <c r="N382" s="255">
        <f t="shared" si="34"/>
        <v>0</v>
      </c>
      <c r="O382" s="252" t="s">
        <v>2267</v>
      </c>
      <c r="P382" s="252"/>
      <c r="Q382" s="258">
        <f>SUMIF('Antelope Bailey Split BA'!$B$7:$B$29,B382,'Antelope Bailey Split BA'!$C$7:$C$29)</f>
        <v>0</v>
      </c>
      <c r="R382" s="258" t="str">
        <f>IF(AND(Q382=1,'Plant Total by Account'!$J$1=2),"EKWRA","")</f>
        <v/>
      </c>
    </row>
    <row r="383" spans="1:18" ht="12.75" customHeight="1" x14ac:dyDescent="0.2">
      <c r="A383" s="249" t="s">
        <v>2328</v>
      </c>
      <c r="B383" s="252" t="s">
        <v>1088</v>
      </c>
      <c r="C383" s="252" t="s">
        <v>3350</v>
      </c>
      <c r="D383" s="253">
        <v>8067990.54</v>
      </c>
      <c r="E383" s="253">
        <v>3035776.63</v>
      </c>
      <c r="F383" s="253">
        <v>0</v>
      </c>
      <c r="G383" s="546">
        <f t="shared" si="32"/>
        <v>11103767.17</v>
      </c>
      <c r="H383" s="254">
        <f>SUMIF('Trans Line Reconciliation'!$B$5:$B$84,$B383,'Trans Line Reconciliation'!$N$5:$N$84)</f>
        <v>8067990.540000001</v>
      </c>
      <c r="I383" s="268">
        <f>SUMIF('Trans Line Reconciliation'!$B$5:$B$84,$B383,'Trans Line Reconciliation'!$O$5:$O$84)</f>
        <v>3035776.63</v>
      </c>
      <c r="J383" s="268">
        <f>SUMIF('Trans Line Reconciliation'!$B$5:$B$84,$B383,'Trans Line Reconciliation'!$P$5:$P$84)</f>
        <v>0</v>
      </c>
      <c r="K383" s="254">
        <f>SUMIF('Trans Line Reconciliation'!$B$5:$B$84,$B383,'Trans Line Reconciliation'!$Q$5:$Q$84)</f>
        <v>0</v>
      </c>
      <c r="L383" s="268">
        <f>SUMIF('Trans Line Reconciliation'!$B$5:$B$84,$B383,'Trans Line Reconciliation'!$R$5:$R$84)</f>
        <v>0</v>
      </c>
      <c r="M383" s="268">
        <f>SUMIF('Trans Line Reconciliation'!$B$5:$B$84,$B383,'Trans Line Reconciliation'!$S$5:$S$84)</f>
        <v>0</v>
      </c>
      <c r="N383" s="255">
        <f t="shared" si="34"/>
        <v>0</v>
      </c>
      <c r="O383" s="252" t="s">
        <v>2267</v>
      </c>
      <c r="P383" s="252"/>
      <c r="Q383" s="258">
        <f>SUMIF('Antelope Bailey Split BA'!$B$7:$B$29,B383,'Antelope Bailey Split BA'!$C$7:$C$29)</f>
        <v>0</v>
      </c>
      <c r="R383" s="258" t="str">
        <f>IF(AND(Q383=1,'Plant Total by Account'!$J$1=2),"EKWRA","")</f>
        <v/>
      </c>
    </row>
    <row r="384" spans="1:18" ht="12.75" customHeight="1" x14ac:dyDescent="0.2">
      <c r="A384" s="249" t="s">
        <v>1320</v>
      </c>
      <c r="B384" s="252" t="s">
        <v>2210</v>
      </c>
      <c r="C384" s="252" t="s">
        <v>3350</v>
      </c>
      <c r="D384" s="253">
        <v>1943.6299999999999</v>
      </c>
      <c r="E384" s="253">
        <v>0</v>
      </c>
      <c r="F384" s="253">
        <v>0</v>
      </c>
      <c r="G384" s="546">
        <f t="shared" si="32"/>
        <v>1943.6299999999999</v>
      </c>
      <c r="H384" s="254">
        <f>SUMIF('Trans Line Reconciliation'!$B$5:$B$84,$B384,'Trans Line Reconciliation'!$N$5:$N$84)</f>
        <v>1943.6300000000006</v>
      </c>
      <c r="I384" s="268">
        <f>SUMIF('Trans Line Reconciliation'!$B$5:$B$84,$B384,'Trans Line Reconciliation'!$O$5:$O$84)</f>
        <v>0</v>
      </c>
      <c r="J384" s="268">
        <f>SUMIF('Trans Line Reconciliation'!$B$5:$B$84,$B384,'Trans Line Reconciliation'!$P$5:$P$84)</f>
        <v>0</v>
      </c>
      <c r="K384" s="254">
        <f>SUMIF('Trans Line Reconciliation'!$B$5:$B$84,$B384,'Trans Line Reconciliation'!$Q$5:$Q$84)</f>
        <v>0</v>
      </c>
      <c r="L384" s="268">
        <f>SUMIF('Trans Line Reconciliation'!$B$5:$B$84,$B384,'Trans Line Reconciliation'!$R$5:$R$84)</f>
        <v>0</v>
      </c>
      <c r="M384" s="268">
        <f>SUMIF('Trans Line Reconciliation'!$B$5:$B$84,$B384,'Trans Line Reconciliation'!$S$5:$S$84)</f>
        <v>0</v>
      </c>
      <c r="N384" s="255">
        <f t="shared" si="34"/>
        <v>0</v>
      </c>
      <c r="O384" s="252" t="s">
        <v>2267</v>
      </c>
      <c r="P384" s="252"/>
      <c r="Q384" s="258">
        <f>SUMIF('Antelope Bailey Split BA'!$B$7:$B$29,B384,'Antelope Bailey Split BA'!$C$7:$C$29)</f>
        <v>0</v>
      </c>
      <c r="R384" s="258" t="str">
        <f>IF(AND(Q384=1,'Plant Total by Account'!$J$1=2),"EKWRA","")</f>
        <v/>
      </c>
    </row>
    <row r="385" spans="1:18" ht="12.75" customHeight="1" x14ac:dyDescent="0.2">
      <c r="A385" s="249" t="s">
        <v>1321</v>
      </c>
      <c r="B385" s="252" t="s">
        <v>2211</v>
      </c>
      <c r="C385" s="252" t="s">
        <v>3350</v>
      </c>
      <c r="D385" s="253">
        <v>874871.71</v>
      </c>
      <c r="E385" s="253">
        <v>0</v>
      </c>
      <c r="F385" s="253">
        <v>0</v>
      </c>
      <c r="G385" s="546">
        <f t="shared" si="32"/>
        <v>874871.71</v>
      </c>
      <c r="H385" s="254">
        <f>SUMIF('Trans Line Reconciliation'!$B$5:$B$84,$B385,'Trans Line Reconciliation'!$N$5:$N$84)</f>
        <v>866527.70676984976</v>
      </c>
      <c r="I385" s="268">
        <f>SUMIF('Trans Line Reconciliation'!$B$5:$B$84,$B385,'Trans Line Reconciliation'!$O$5:$O$84)</f>
        <v>0</v>
      </c>
      <c r="J385" s="268">
        <f>SUMIF('Trans Line Reconciliation'!$B$5:$B$84,$B385,'Trans Line Reconciliation'!$P$5:$P$84)</f>
        <v>0</v>
      </c>
      <c r="K385" s="254">
        <f>SUMIF('Trans Line Reconciliation'!$B$5:$B$84,$B385,'Trans Line Reconciliation'!$Q$5:$Q$84)</f>
        <v>8344.0032301502069</v>
      </c>
      <c r="L385" s="268">
        <f>SUMIF('Trans Line Reconciliation'!$B$5:$B$84,$B385,'Trans Line Reconciliation'!$R$5:$R$84)</f>
        <v>0</v>
      </c>
      <c r="M385" s="268">
        <f>SUMIF('Trans Line Reconciliation'!$B$5:$B$84,$B385,'Trans Line Reconciliation'!$S$5:$S$84)</f>
        <v>0</v>
      </c>
      <c r="N385" s="255">
        <f t="shared" si="34"/>
        <v>0</v>
      </c>
      <c r="O385" s="252" t="s">
        <v>2267</v>
      </c>
      <c r="P385" s="252"/>
      <c r="Q385" s="258">
        <f>SUMIF('Antelope Bailey Split BA'!$B$7:$B$29,B385,'Antelope Bailey Split BA'!$C$7:$C$29)</f>
        <v>0</v>
      </c>
      <c r="R385" s="258" t="str">
        <f>IF(AND(Q385=1,'Plant Total by Account'!$J$1=2),"EKWRA","")</f>
        <v/>
      </c>
    </row>
    <row r="386" spans="1:18" ht="12.75" customHeight="1" x14ac:dyDescent="0.2">
      <c r="A386" s="249" t="s">
        <v>2329</v>
      </c>
      <c r="B386" s="252" t="s">
        <v>1089</v>
      </c>
      <c r="C386" s="252" t="s">
        <v>3350</v>
      </c>
      <c r="D386" s="253">
        <v>3210577.8000000003</v>
      </c>
      <c r="E386" s="253">
        <v>534060.26</v>
      </c>
      <c r="F386" s="253">
        <v>661181.77</v>
      </c>
      <c r="G386" s="546">
        <f t="shared" si="32"/>
        <v>4405819.83</v>
      </c>
      <c r="H386" s="254">
        <f>SUMIF('Trans Line Reconciliation'!$B$5:$B$84,$B386,'Trans Line Reconciliation'!$N$5:$N$84)</f>
        <v>3063760.5697918776</v>
      </c>
      <c r="I386" s="268">
        <f>SUMIF('Trans Line Reconciliation'!$B$5:$B$84,$B386,'Trans Line Reconciliation'!$O$5:$O$84)</f>
        <v>514836.2580232817</v>
      </c>
      <c r="J386" s="268">
        <f>SUMIF('Trans Line Reconciliation'!$B$5:$B$84,$B386,'Trans Line Reconciliation'!$P$5:$P$84)</f>
        <v>630944.71945687162</v>
      </c>
      <c r="K386" s="254">
        <f>SUMIF('Trans Line Reconciliation'!$B$5:$B$84,$B386,'Trans Line Reconciliation'!$Q$5:$Q$84)</f>
        <v>146817.23020812264</v>
      </c>
      <c r="L386" s="268">
        <f>SUMIF('Trans Line Reconciliation'!$B$5:$B$84,$B386,'Trans Line Reconciliation'!$R$5:$R$84)</f>
        <v>19224.001976718311</v>
      </c>
      <c r="M386" s="268">
        <f>SUMIF('Trans Line Reconciliation'!$B$5:$B$84,$B386,'Trans Line Reconciliation'!$S$5:$S$84)</f>
        <v>30237.050543128396</v>
      </c>
      <c r="N386" s="255">
        <f t="shared" si="34"/>
        <v>0</v>
      </c>
      <c r="O386" s="252" t="s">
        <v>2267</v>
      </c>
      <c r="P386" s="252"/>
      <c r="Q386" s="258">
        <f>SUMIF('Antelope Bailey Split BA'!$B$7:$B$29,B386,'Antelope Bailey Split BA'!$C$7:$C$29)</f>
        <v>0</v>
      </c>
      <c r="R386" s="258" t="str">
        <f>IF(AND(Q386=1,'Plant Total by Account'!$J$1=2),"EKWRA","")</f>
        <v/>
      </c>
    </row>
    <row r="387" spans="1:18" ht="12.75" customHeight="1" x14ac:dyDescent="0.2">
      <c r="A387" s="249" t="s">
        <v>2330</v>
      </c>
      <c r="B387" s="252" t="s">
        <v>1090</v>
      </c>
      <c r="C387" s="252" t="s">
        <v>3350</v>
      </c>
      <c r="D387" s="253">
        <v>1607024.1400000001</v>
      </c>
      <c r="E387" s="253">
        <v>531634.82999999996</v>
      </c>
      <c r="F387" s="253">
        <v>2148.6799999999998</v>
      </c>
      <c r="G387" s="546">
        <f t="shared" si="32"/>
        <v>2140807.6500000004</v>
      </c>
      <c r="H387" s="254">
        <f>SUMIF('Trans Line Reconciliation'!$B$5:$B$84,$B387,'Trans Line Reconciliation'!$N$5:$N$84)</f>
        <v>1607024.1400000001</v>
      </c>
      <c r="I387" s="268">
        <f>SUMIF('Trans Line Reconciliation'!$B$5:$B$84,$B387,'Trans Line Reconciliation'!$O$5:$O$84)</f>
        <v>531634.82999999996</v>
      </c>
      <c r="J387" s="268">
        <f>SUMIF('Trans Line Reconciliation'!$B$5:$B$84,$B387,'Trans Line Reconciliation'!$P$5:$P$84)</f>
        <v>2148.6799999999998</v>
      </c>
      <c r="K387" s="254">
        <f>SUMIF('Trans Line Reconciliation'!$B$5:$B$84,$B387,'Trans Line Reconciliation'!$Q$5:$Q$84)</f>
        <v>0</v>
      </c>
      <c r="L387" s="268">
        <f>SUMIF('Trans Line Reconciliation'!$B$5:$B$84,$B387,'Trans Line Reconciliation'!$R$5:$R$84)</f>
        <v>0</v>
      </c>
      <c r="M387" s="268">
        <f>SUMIF('Trans Line Reconciliation'!$B$5:$B$84,$B387,'Trans Line Reconciliation'!$S$5:$S$84)</f>
        <v>0</v>
      </c>
      <c r="N387" s="255">
        <f t="shared" si="34"/>
        <v>0</v>
      </c>
      <c r="O387" s="252" t="s">
        <v>2267</v>
      </c>
      <c r="P387" s="252"/>
      <c r="Q387" s="258">
        <f>SUMIF('Antelope Bailey Split BA'!$B$7:$B$29,B387,'Antelope Bailey Split BA'!$C$7:$C$29)</f>
        <v>0</v>
      </c>
      <c r="R387" s="258" t="str">
        <f>IF(AND(Q387=1,'Plant Total by Account'!$J$1=2),"EKWRA","")</f>
        <v/>
      </c>
    </row>
    <row r="388" spans="1:18" ht="12.75" customHeight="1" x14ac:dyDescent="0.2">
      <c r="A388" s="249" t="s">
        <v>2331</v>
      </c>
      <c r="B388" s="252" t="s">
        <v>1091</v>
      </c>
      <c r="C388" s="252" t="s">
        <v>3350</v>
      </c>
      <c r="D388" s="253">
        <v>3594552.46</v>
      </c>
      <c r="E388" s="253">
        <v>174910.36000000002</v>
      </c>
      <c r="F388" s="253">
        <v>2064.92</v>
      </c>
      <c r="G388" s="546">
        <f t="shared" si="32"/>
        <v>3771527.7399999998</v>
      </c>
      <c r="H388" s="254">
        <f>SUMIF('Trans Line Reconciliation'!$B$5:$B$84,$B388,'Trans Line Reconciliation'!$N$5:$N$84)</f>
        <v>3594621.72</v>
      </c>
      <c r="I388" s="268">
        <f>SUMIF('Trans Line Reconciliation'!$B$5:$B$84,$B388,'Trans Line Reconciliation'!$O$5:$O$84)</f>
        <v>174910.36</v>
      </c>
      <c r="J388" s="268">
        <f>SUMIF('Trans Line Reconciliation'!$B$5:$B$84,$B388,'Trans Line Reconciliation'!$P$5:$P$84)</f>
        <v>2064.92</v>
      </c>
      <c r="K388" s="254">
        <f>SUMIF('Trans Line Reconciliation'!$B$5:$B$84,$B388,'Trans Line Reconciliation'!$Q$5:$Q$84)</f>
        <v>-69.260000000242144</v>
      </c>
      <c r="L388" s="268">
        <f>SUMIF('Trans Line Reconciliation'!$B$5:$B$84,$B388,'Trans Line Reconciliation'!$R$5:$R$84)</f>
        <v>2.9103830456733704E-11</v>
      </c>
      <c r="M388" s="268">
        <f>SUMIF('Trans Line Reconciliation'!$B$5:$B$84,$B388,'Trans Line Reconciliation'!$S$5:$S$84)</f>
        <v>0</v>
      </c>
      <c r="N388" s="255">
        <f t="shared" si="34"/>
        <v>0</v>
      </c>
      <c r="O388" s="252" t="s">
        <v>2267</v>
      </c>
      <c r="P388" s="252"/>
      <c r="Q388" s="258">
        <f>SUMIF('Antelope Bailey Split BA'!$B$7:$B$29,B388,'Antelope Bailey Split BA'!$C$7:$C$29)</f>
        <v>0</v>
      </c>
      <c r="R388" s="258" t="str">
        <f>IF(AND(Q388=1,'Plant Total by Account'!$J$1=2),"EKWRA","")</f>
        <v/>
      </c>
    </row>
    <row r="389" spans="1:18" ht="12.75" customHeight="1" x14ac:dyDescent="0.2">
      <c r="A389" s="249" t="s">
        <v>2332</v>
      </c>
      <c r="B389" s="252" t="s">
        <v>1092</v>
      </c>
      <c r="C389" s="252" t="s">
        <v>3350</v>
      </c>
      <c r="D389" s="253">
        <v>1005475.76</v>
      </c>
      <c r="E389" s="253">
        <v>7083.96</v>
      </c>
      <c r="F389" s="253">
        <v>12857.19</v>
      </c>
      <c r="G389" s="546">
        <f t="shared" si="32"/>
        <v>1025416.9099999999</v>
      </c>
      <c r="H389" s="254">
        <f>SUMIF('Trans Line Reconciliation'!$B$5:$B$84,$B389,'Trans Line Reconciliation'!$N$5:$N$84)</f>
        <v>1005508.8399999996</v>
      </c>
      <c r="I389" s="268">
        <f>SUMIF('Trans Line Reconciliation'!$B$5:$B$84,$B389,'Trans Line Reconciliation'!$O$5:$O$84)</f>
        <v>7083.9599999999991</v>
      </c>
      <c r="J389" s="268">
        <f>SUMIF('Trans Line Reconciliation'!$B$5:$B$84,$B389,'Trans Line Reconciliation'!$P$5:$P$84)</f>
        <v>12857.189999999999</v>
      </c>
      <c r="K389" s="254">
        <f>SUMIF('Trans Line Reconciliation'!$B$5:$B$84,$B389,'Trans Line Reconciliation'!$Q$5:$Q$84)</f>
        <v>-33.079999999608845</v>
      </c>
      <c r="L389" s="268">
        <f>SUMIF('Trans Line Reconciliation'!$B$5:$B$84,$B389,'Trans Line Reconciliation'!$R$5:$R$84)</f>
        <v>9.0949470177292824E-13</v>
      </c>
      <c r="M389" s="268">
        <f>SUMIF('Trans Line Reconciliation'!$B$5:$B$84,$B389,'Trans Line Reconciliation'!$S$5:$S$84)</f>
        <v>0</v>
      </c>
      <c r="N389" s="255">
        <f t="shared" si="34"/>
        <v>0</v>
      </c>
      <c r="O389" s="252" t="s">
        <v>2267</v>
      </c>
      <c r="P389" s="252"/>
      <c r="Q389" s="258">
        <f>SUMIF('Antelope Bailey Split BA'!$B$7:$B$29,B389,'Antelope Bailey Split BA'!$C$7:$C$29)</f>
        <v>0</v>
      </c>
      <c r="R389" s="258" t="str">
        <f>IF(AND(Q389=1,'Plant Total by Account'!$J$1=2),"EKWRA","")</f>
        <v/>
      </c>
    </row>
    <row r="390" spans="1:18" ht="12.75" customHeight="1" x14ac:dyDescent="0.2">
      <c r="A390" s="249" t="s">
        <v>2333</v>
      </c>
      <c r="B390" s="252" t="s">
        <v>1093</v>
      </c>
      <c r="C390" s="252" t="s">
        <v>3350</v>
      </c>
      <c r="D390" s="253">
        <v>5639404.7100000009</v>
      </c>
      <c r="E390" s="253">
        <v>134434.71000000002</v>
      </c>
      <c r="F390" s="253">
        <v>2259.8000000000002</v>
      </c>
      <c r="G390" s="546">
        <f t="shared" si="32"/>
        <v>5776099.2200000007</v>
      </c>
      <c r="H390" s="254">
        <f>SUMIF('Trans Line Reconciliation'!$B$5:$B$84,$B390,'Trans Line Reconciliation'!$N$5:$N$84)</f>
        <v>5239034.8803760903</v>
      </c>
      <c r="I390" s="268">
        <f>SUMIF('Trans Line Reconciliation'!$B$5:$B$84,$B390,'Trans Line Reconciliation'!$O$5:$O$84)</f>
        <v>124516.07307997544</v>
      </c>
      <c r="J390" s="268">
        <f>SUMIF('Trans Line Reconciliation'!$B$5:$B$84,$B390,'Trans Line Reconciliation'!$P$5:$P$84)</f>
        <v>2093.0712161028086</v>
      </c>
      <c r="K390" s="254">
        <f>SUMIF('Trans Line Reconciliation'!$B$5:$B$84,$B390,'Trans Line Reconciliation'!$Q$5:$Q$84)</f>
        <v>400369.8296239106</v>
      </c>
      <c r="L390" s="268">
        <f>SUMIF('Trans Line Reconciliation'!$B$5:$B$84,$B390,'Trans Line Reconciliation'!$R$5:$R$84)</f>
        <v>9918.6369200245827</v>
      </c>
      <c r="M390" s="268">
        <f>SUMIF('Trans Line Reconciliation'!$B$5:$B$84,$B390,'Trans Line Reconciliation'!$S$5:$S$84)</f>
        <v>166.72878389719153</v>
      </c>
      <c r="N390" s="255">
        <f t="shared" si="34"/>
        <v>0</v>
      </c>
      <c r="O390" s="252" t="s">
        <v>2267</v>
      </c>
      <c r="P390" s="252"/>
      <c r="Q390" s="258">
        <f>SUMIF('Antelope Bailey Split BA'!$B$7:$B$29,B390,'Antelope Bailey Split BA'!$C$7:$C$29)</f>
        <v>0</v>
      </c>
      <c r="R390" s="258" t="str">
        <f>IF(AND(Q390=1,'Plant Total by Account'!$J$1=2),"EKWRA","")</f>
        <v/>
      </c>
    </row>
    <row r="391" spans="1:18" ht="12.75" customHeight="1" x14ac:dyDescent="0.2">
      <c r="A391" s="249" t="s">
        <v>2334</v>
      </c>
      <c r="B391" s="252" t="s">
        <v>1094</v>
      </c>
      <c r="C391" s="252" t="s">
        <v>3350</v>
      </c>
      <c r="D391" s="253">
        <v>2099654.15</v>
      </c>
      <c r="E391" s="253">
        <v>71859.650000000009</v>
      </c>
      <c r="F391" s="253">
        <v>100.89</v>
      </c>
      <c r="G391" s="546">
        <f t="shared" si="32"/>
        <v>2171614.69</v>
      </c>
      <c r="H391" s="254">
        <f>SUMIF('Trans Line Reconciliation'!$B$5:$B$84,$B391,'Trans Line Reconciliation'!$N$5:$N$84)</f>
        <v>1793706.872299684</v>
      </c>
      <c r="I391" s="268">
        <f>SUMIF('Trans Line Reconciliation'!$B$5:$B$84,$B391,'Trans Line Reconciliation'!$O$5:$O$84)</f>
        <v>61385.087068522727</v>
      </c>
      <c r="J391" s="268">
        <f>SUMIF('Trans Line Reconciliation'!$B$5:$B$84,$B391,'Trans Line Reconciliation'!$P$5:$P$84)</f>
        <v>86.183851916106718</v>
      </c>
      <c r="K391" s="254">
        <f>SUMIF('Trans Line Reconciliation'!$B$5:$B$84,$B391,'Trans Line Reconciliation'!$Q$5:$Q$84)</f>
        <v>305947.27770031593</v>
      </c>
      <c r="L391" s="268">
        <f>SUMIF('Trans Line Reconciliation'!$B$5:$B$84,$B391,'Trans Line Reconciliation'!$R$5:$R$84)</f>
        <v>10474.562931477281</v>
      </c>
      <c r="M391" s="268">
        <f>SUMIF('Trans Line Reconciliation'!$B$5:$B$84,$B391,'Trans Line Reconciliation'!$S$5:$S$84)</f>
        <v>14.706148083893282</v>
      </c>
      <c r="N391" s="255">
        <f t="shared" si="34"/>
        <v>0</v>
      </c>
      <c r="O391" s="252" t="s">
        <v>2267</v>
      </c>
      <c r="P391" s="252"/>
      <c r="Q391" s="258">
        <f>SUMIF('Antelope Bailey Split BA'!$B$7:$B$29,B391,'Antelope Bailey Split BA'!$C$7:$C$29)</f>
        <v>0</v>
      </c>
      <c r="R391" s="258" t="str">
        <f>IF(AND(Q391=1,'Plant Total by Account'!$J$1=2),"EKWRA","")</f>
        <v/>
      </c>
    </row>
    <row r="392" spans="1:18" ht="12.75" customHeight="1" x14ac:dyDescent="0.2">
      <c r="A392" s="249" t="s">
        <v>2335</v>
      </c>
      <c r="B392" s="252" t="s">
        <v>1095</v>
      </c>
      <c r="C392" s="252" t="s">
        <v>3350</v>
      </c>
      <c r="D392" s="253">
        <v>4270244.0200000005</v>
      </c>
      <c r="E392" s="253">
        <v>298149.87000000005</v>
      </c>
      <c r="F392" s="253">
        <v>3380</v>
      </c>
      <c r="G392" s="546">
        <f t="shared" si="32"/>
        <v>4571773.8900000006</v>
      </c>
      <c r="H392" s="254">
        <f>SUMIF('Trans Line Reconciliation'!$B$5:$B$84,$B392,'Trans Line Reconciliation'!$N$5:$N$84)</f>
        <v>3695472.462674276</v>
      </c>
      <c r="I392" s="268">
        <f>SUMIF('Trans Line Reconciliation'!$B$5:$B$84,$B392,'Trans Line Reconciliation'!$O$5:$O$84)</f>
        <v>258018.49563661142</v>
      </c>
      <c r="J392" s="268">
        <f>SUMIF('Trans Line Reconciliation'!$B$5:$B$84,$B392,'Trans Line Reconciliation'!$P$5:$P$84)</f>
        <v>2925.0474442660216</v>
      </c>
      <c r="K392" s="254">
        <f>SUMIF('Trans Line Reconciliation'!$B$5:$B$84,$B392,'Trans Line Reconciliation'!$Q$5:$Q$84)</f>
        <v>574771.55732572451</v>
      </c>
      <c r="L392" s="268">
        <f>SUMIF('Trans Line Reconciliation'!$B$5:$B$84,$B392,'Trans Line Reconciliation'!$R$5:$R$84)</f>
        <v>40131.374363388633</v>
      </c>
      <c r="M392" s="268">
        <f>SUMIF('Trans Line Reconciliation'!$B$5:$B$84,$B392,'Trans Line Reconciliation'!$S$5:$S$84)</f>
        <v>454.95255573397844</v>
      </c>
      <c r="N392" s="255">
        <f t="shared" si="34"/>
        <v>0</v>
      </c>
      <c r="O392" s="252" t="s">
        <v>2267</v>
      </c>
      <c r="P392" s="252"/>
      <c r="Q392" s="258">
        <f>SUMIF('Antelope Bailey Split BA'!$B$7:$B$29,B392,'Antelope Bailey Split BA'!$C$7:$C$29)</f>
        <v>0</v>
      </c>
      <c r="R392" s="258" t="str">
        <f>IF(AND(Q392=1,'Plant Total by Account'!$J$1=2),"EKWRA","")</f>
        <v/>
      </c>
    </row>
    <row r="393" spans="1:18" ht="12.75" customHeight="1" x14ac:dyDescent="0.2">
      <c r="A393" s="249" t="s">
        <v>1322</v>
      </c>
      <c r="B393" s="252" t="s">
        <v>2212</v>
      </c>
      <c r="C393" s="252" t="s">
        <v>3350</v>
      </c>
      <c r="D393" s="253">
        <v>353928.47</v>
      </c>
      <c r="E393" s="253">
        <v>0</v>
      </c>
      <c r="F393" s="253">
        <v>0</v>
      </c>
      <c r="G393" s="546">
        <f t="shared" ref="G393:G448" si="35">SUM(D393:F393)</f>
        <v>353928.47</v>
      </c>
      <c r="H393" s="254">
        <f>SUMIF('Trans Line Reconciliation'!$B$5:$B$84,$B393,'Trans Line Reconciliation'!$N$5:$N$84)</f>
        <v>353928.47</v>
      </c>
      <c r="I393" s="268">
        <f>SUMIF('Trans Line Reconciliation'!$B$5:$B$84,$B393,'Trans Line Reconciliation'!$O$5:$O$84)</f>
        <v>0</v>
      </c>
      <c r="J393" s="268">
        <f>SUMIF('Trans Line Reconciliation'!$B$5:$B$84,$B393,'Trans Line Reconciliation'!$P$5:$P$84)</f>
        <v>0</v>
      </c>
      <c r="K393" s="254">
        <f>SUMIF('Trans Line Reconciliation'!$B$5:$B$84,$B393,'Trans Line Reconciliation'!$Q$5:$Q$84)</f>
        <v>0</v>
      </c>
      <c r="L393" s="268">
        <f>SUMIF('Trans Line Reconciliation'!$B$5:$B$84,$B393,'Trans Line Reconciliation'!$R$5:$R$84)</f>
        <v>0</v>
      </c>
      <c r="M393" s="268">
        <f>SUMIF('Trans Line Reconciliation'!$B$5:$B$84,$B393,'Trans Line Reconciliation'!$S$5:$S$84)</f>
        <v>0</v>
      </c>
      <c r="N393" s="255">
        <f t="shared" si="34"/>
        <v>0</v>
      </c>
      <c r="O393" s="252" t="s">
        <v>2267</v>
      </c>
      <c r="P393" s="252"/>
      <c r="Q393" s="258">
        <f>SUMIF('Antelope Bailey Split BA'!$B$7:$B$29,B393,'Antelope Bailey Split BA'!$C$7:$C$29)</f>
        <v>0</v>
      </c>
      <c r="R393" s="258" t="str">
        <f>IF(AND(Q393=1,'Plant Total by Account'!$J$1=2),"EKWRA","")</f>
        <v/>
      </c>
    </row>
    <row r="394" spans="1:18" ht="12.75" customHeight="1" x14ac:dyDescent="0.2">
      <c r="A394" s="249" t="s">
        <v>2336</v>
      </c>
      <c r="B394" s="252" t="s">
        <v>1096</v>
      </c>
      <c r="C394" s="252" t="s">
        <v>3349</v>
      </c>
      <c r="D394" s="253">
        <v>1734921.02</v>
      </c>
      <c r="E394" s="253">
        <v>0</v>
      </c>
      <c r="F394" s="253">
        <v>16632.95</v>
      </c>
      <c r="G394" s="546">
        <f t="shared" si="35"/>
        <v>1751553.97</v>
      </c>
      <c r="H394" s="254">
        <f>SUMIF('Trans Line Reconciliation'!$B$5:$B$84,$B394,'Trans Line Reconciliation'!$N$5:$N$84)</f>
        <v>1734921.0199999998</v>
      </c>
      <c r="I394" s="268">
        <f>SUMIF('Trans Line Reconciliation'!$B$5:$B$84,$B394,'Trans Line Reconciliation'!$O$5:$O$84)</f>
        <v>0</v>
      </c>
      <c r="J394" s="268">
        <f>SUMIF('Trans Line Reconciliation'!$B$5:$B$84,$B394,'Trans Line Reconciliation'!$P$5:$P$84)</f>
        <v>16632.949999999997</v>
      </c>
      <c r="K394" s="254">
        <f>SUMIF('Trans Line Reconciliation'!$B$5:$B$84,$B394,'Trans Line Reconciliation'!$Q$5:$Q$84)</f>
        <v>0</v>
      </c>
      <c r="L394" s="268">
        <f>SUMIF('Trans Line Reconciliation'!$B$5:$B$84,$B394,'Trans Line Reconciliation'!$R$5:$R$84)</f>
        <v>0</v>
      </c>
      <c r="M394" s="268">
        <f>SUMIF('Trans Line Reconciliation'!$B$5:$B$84,$B394,'Trans Line Reconciliation'!$S$5:$S$84)</f>
        <v>0</v>
      </c>
      <c r="N394" s="255">
        <f t="shared" si="34"/>
        <v>0</v>
      </c>
      <c r="O394" s="252" t="s">
        <v>2267</v>
      </c>
      <c r="P394" s="252"/>
      <c r="Q394" s="258">
        <f>SUMIF('Antelope Bailey Split BA'!$B$7:$B$29,B394,'Antelope Bailey Split BA'!$C$7:$C$29)</f>
        <v>0</v>
      </c>
      <c r="R394" s="258" t="str">
        <f>IF(AND(Q394=1,'Plant Total by Account'!$J$1=2),"EKWRA","")</f>
        <v/>
      </c>
    </row>
    <row r="395" spans="1:18" ht="12.75" customHeight="1" x14ac:dyDescent="0.2">
      <c r="A395" s="249" t="s">
        <v>511</v>
      </c>
      <c r="B395" s="252" t="s">
        <v>2213</v>
      </c>
      <c r="C395" s="252"/>
      <c r="D395" s="253">
        <v>485.44</v>
      </c>
      <c r="E395" s="253">
        <v>0</v>
      </c>
      <c r="F395" s="253">
        <v>0</v>
      </c>
      <c r="G395" s="546">
        <f t="shared" si="35"/>
        <v>485.44</v>
      </c>
      <c r="H395" s="254">
        <f>SUMIF('Trans Line Reconciliation'!$B$5:$B$84,$B395,'Trans Line Reconciliation'!$N$5:$N$84)</f>
        <v>0</v>
      </c>
      <c r="I395" s="268">
        <f>SUMIF('Trans Line Reconciliation'!$B$5:$B$84,$B395,'Trans Line Reconciliation'!$O$5:$O$84)</f>
        <v>0</v>
      </c>
      <c r="J395" s="268">
        <f>SUMIF('Trans Line Reconciliation'!$B$5:$B$84,$B395,'Trans Line Reconciliation'!$P$5:$P$84)</f>
        <v>0</v>
      </c>
      <c r="K395" s="254">
        <f>SUMIF('Trans Line Reconciliation'!$B$5:$B$84,$B395,'Trans Line Reconciliation'!$Q$5:$Q$84)</f>
        <v>485.44</v>
      </c>
      <c r="L395" s="268">
        <f>SUMIF('Trans Line Reconciliation'!$B$5:$B$84,$B395,'Trans Line Reconciliation'!$R$5:$R$84)</f>
        <v>0</v>
      </c>
      <c r="M395" s="268">
        <f>SUMIF('Trans Line Reconciliation'!$B$5:$B$84,$B395,'Trans Line Reconciliation'!$S$5:$S$84)</f>
        <v>0</v>
      </c>
      <c r="N395" s="255">
        <f t="shared" si="34"/>
        <v>0</v>
      </c>
      <c r="O395" s="252" t="s">
        <v>2267</v>
      </c>
      <c r="P395" s="252"/>
      <c r="Q395" s="258">
        <f>SUMIF('Antelope Bailey Split BA'!$B$7:$B$29,B395,'Antelope Bailey Split BA'!$C$7:$C$29)</f>
        <v>0</v>
      </c>
      <c r="R395" s="258" t="str">
        <f>IF(AND(Q395=1,'Plant Total by Account'!$J$1=2),"EKWRA","")</f>
        <v/>
      </c>
    </row>
    <row r="396" spans="1:18" ht="12.75" customHeight="1" x14ac:dyDescent="0.2">
      <c r="A396" s="249" t="s">
        <v>2337</v>
      </c>
      <c r="B396" s="252" t="s">
        <v>1097</v>
      </c>
      <c r="C396" s="252" t="s">
        <v>3350</v>
      </c>
      <c r="D396" s="253">
        <v>11414611.949999999</v>
      </c>
      <c r="E396" s="253">
        <v>1761945.9299999995</v>
      </c>
      <c r="F396" s="253">
        <v>1918.1100000000001</v>
      </c>
      <c r="G396" s="546">
        <f t="shared" si="35"/>
        <v>13178475.989999998</v>
      </c>
      <c r="H396" s="254">
        <f>SUMIF('Trans Line Reconciliation'!$B$5:$B$84,$B396,'Trans Line Reconciliation'!$N$5:$N$84)</f>
        <v>8492875.3996889424</v>
      </c>
      <c r="I396" s="268">
        <f>SUMIF('Trans Line Reconciliation'!$B$5:$B$84,$B396,'Trans Line Reconciliation'!$O$5:$O$84)</f>
        <v>1316772.494567086</v>
      </c>
      <c r="J396" s="268">
        <f>SUMIF('Trans Line Reconciliation'!$B$5:$B$84,$B396,'Trans Line Reconciliation'!$P$5:$P$84)</f>
        <v>1427.1417464084145</v>
      </c>
      <c r="K396" s="254">
        <f>SUMIF('Trans Line Reconciliation'!$B$5:$B$84,$B396,'Trans Line Reconciliation'!$Q$5:$Q$84)</f>
        <v>2921736.5503110569</v>
      </c>
      <c r="L396" s="268">
        <f>SUMIF('Trans Line Reconciliation'!$B$5:$B$84,$B396,'Trans Line Reconciliation'!$R$5:$R$84)</f>
        <v>445173.43543291348</v>
      </c>
      <c r="M396" s="268">
        <f>SUMIF('Trans Line Reconciliation'!$B$5:$B$84,$B396,'Trans Line Reconciliation'!$S$5:$S$84)</f>
        <v>490.96825359158561</v>
      </c>
      <c r="N396" s="255">
        <f t="shared" si="34"/>
        <v>0</v>
      </c>
      <c r="O396" s="252" t="s">
        <v>2267</v>
      </c>
      <c r="P396" s="252"/>
      <c r="Q396" s="258">
        <f>SUMIF('Antelope Bailey Split BA'!$B$7:$B$29,B396,'Antelope Bailey Split BA'!$C$7:$C$29)</f>
        <v>0</v>
      </c>
      <c r="R396" s="258" t="str">
        <f>IF(AND(Q396=1,'Plant Total by Account'!$J$1=2),"EKWRA","")</f>
        <v/>
      </c>
    </row>
    <row r="397" spans="1:18" ht="12.75" customHeight="1" x14ac:dyDescent="0.2">
      <c r="A397" s="249" t="s">
        <v>1323</v>
      </c>
      <c r="B397" s="252" t="s">
        <v>2214</v>
      </c>
      <c r="C397" s="252"/>
      <c r="D397" s="253">
        <v>19842.47</v>
      </c>
      <c r="E397" s="253">
        <v>0</v>
      </c>
      <c r="F397" s="253">
        <v>0</v>
      </c>
      <c r="G397" s="546">
        <f t="shared" si="35"/>
        <v>19842.47</v>
      </c>
      <c r="H397" s="254">
        <f>SUMIF('Trans Line Reconciliation'!$B$5:$B$84,$B397,'Trans Line Reconciliation'!$N$5:$N$84)</f>
        <v>19842.470000000005</v>
      </c>
      <c r="I397" s="268">
        <f>SUMIF('Trans Line Reconciliation'!$B$5:$B$84,$B397,'Trans Line Reconciliation'!$O$5:$O$84)</f>
        <v>0</v>
      </c>
      <c r="J397" s="268">
        <f>SUMIF('Trans Line Reconciliation'!$B$5:$B$84,$B397,'Trans Line Reconciliation'!$P$5:$P$84)</f>
        <v>0</v>
      </c>
      <c r="K397" s="254">
        <f>SUMIF('Trans Line Reconciliation'!$B$5:$B$84,$B397,'Trans Line Reconciliation'!$Q$5:$Q$84)</f>
        <v>0</v>
      </c>
      <c r="L397" s="268">
        <f>SUMIF('Trans Line Reconciliation'!$B$5:$B$84,$B397,'Trans Line Reconciliation'!$R$5:$R$84)</f>
        <v>0</v>
      </c>
      <c r="M397" s="268">
        <f>SUMIF('Trans Line Reconciliation'!$B$5:$B$84,$B397,'Trans Line Reconciliation'!$S$5:$S$84)</f>
        <v>0</v>
      </c>
      <c r="N397" s="255">
        <f t="shared" si="34"/>
        <v>0</v>
      </c>
      <c r="O397" s="252" t="s">
        <v>2267</v>
      </c>
      <c r="P397" s="252"/>
      <c r="Q397" s="258">
        <f>SUMIF('Antelope Bailey Split BA'!$B$7:$B$29,B397,'Antelope Bailey Split BA'!$C$7:$C$29)</f>
        <v>0</v>
      </c>
      <c r="R397" s="258" t="str">
        <f>IF(AND(Q397=1,'Plant Total by Account'!$J$1=2),"EKWRA","")</f>
        <v/>
      </c>
    </row>
    <row r="398" spans="1:18" ht="12.75" customHeight="1" x14ac:dyDescent="0.2">
      <c r="A398" s="249" t="s">
        <v>512</v>
      </c>
      <c r="B398" s="252" t="s">
        <v>2215</v>
      </c>
      <c r="C398" s="252" t="s">
        <v>3353</v>
      </c>
      <c r="D398" s="253">
        <v>38460.07</v>
      </c>
      <c r="E398" s="253">
        <v>0</v>
      </c>
      <c r="F398" s="253">
        <v>0</v>
      </c>
      <c r="G398" s="546">
        <f t="shared" si="35"/>
        <v>38460.07</v>
      </c>
      <c r="H398" s="254">
        <f>SUMIF('Trans Line Reconciliation'!$B$5:$B$84,$B398,'Trans Line Reconciliation'!$N$5:$N$84)</f>
        <v>0</v>
      </c>
      <c r="I398" s="268">
        <f>SUMIF('Trans Line Reconciliation'!$B$5:$B$84,$B398,'Trans Line Reconciliation'!$O$5:$O$84)</f>
        <v>0</v>
      </c>
      <c r="J398" s="268">
        <f>SUMIF('Trans Line Reconciliation'!$B$5:$B$84,$B398,'Trans Line Reconciliation'!$P$5:$P$84)</f>
        <v>0</v>
      </c>
      <c r="K398" s="254">
        <f>SUMIF('Trans Line Reconciliation'!$B$5:$B$84,$B398,'Trans Line Reconciliation'!$Q$5:$Q$84)</f>
        <v>38460.07</v>
      </c>
      <c r="L398" s="268">
        <f>SUMIF('Trans Line Reconciliation'!$B$5:$B$84,$B398,'Trans Line Reconciliation'!$R$5:$R$84)</f>
        <v>0</v>
      </c>
      <c r="M398" s="268">
        <f>SUMIF('Trans Line Reconciliation'!$B$5:$B$84,$B398,'Trans Line Reconciliation'!$S$5:$S$84)</f>
        <v>0</v>
      </c>
      <c r="N398" s="255">
        <f t="shared" si="34"/>
        <v>0</v>
      </c>
      <c r="O398" s="252" t="s">
        <v>2267</v>
      </c>
      <c r="P398" s="252"/>
      <c r="Q398" s="258">
        <f>SUMIF('Antelope Bailey Split BA'!$B$7:$B$29,B398,'Antelope Bailey Split BA'!$C$7:$C$29)</f>
        <v>0</v>
      </c>
      <c r="R398" s="258" t="str">
        <f>IF(AND(Q398=1,'Plant Total by Account'!$J$1=2),"EKWRA","")</f>
        <v/>
      </c>
    </row>
    <row r="399" spans="1:18" ht="12.75" customHeight="1" x14ac:dyDescent="0.2">
      <c r="A399" s="249" t="s">
        <v>1324</v>
      </c>
      <c r="B399" s="252" t="s">
        <v>2216</v>
      </c>
      <c r="C399" s="252" t="s">
        <v>3349</v>
      </c>
      <c r="D399" s="253">
        <v>157989.61000000002</v>
      </c>
      <c r="E399" s="253">
        <v>0</v>
      </c>
      <c r="F399" s="253">
        <v>0</v>
      </c>
      <c r="G399" s="546">
        <f t="shared" si="35"/>
        <v>157989.61000000002</v>
      </c>
      <c r="H399" s="254">
        <f>SUMIF('Trans Line Reconciliation'!$B$5:$B$84,$B399,'Trans Line Reconciliation'!$N$5:$N$84)</f>
        <v>157989.61000000002</v>
      </c>
      <c r="I399" s="268">
        <f>SUMIF('Trans Line Reconciliation'!$B$5:$B$84,$B399,'Trans Line Reconciliation'!$O$5:$O$84)</f>
        <v>0</v>
      </c>
      <c r="J399" s="268">
        <f>SUMIF('Trans Line Reconciliation'!$B$5:$B$84,$B399,'Trans Line Reconciliation'!$P$5:$P$84)</f>
        <v>0</v>
      </c>
      <c r="K399" s="254">
        <f>SUMIF('Trans Line Reconciliation'!$B$5:$B$84,$B399,'Trans Line Reconciliation'!$Q$5:$Q$84)</f>
        <v>0</v>
      </c>
      <c r="L399" s="268">
        <f>SUMIF('Trans Line Reconciliation'!$B$5:$B$84,$B399,'Trans Line Reconciliation'!$R$5:$R$84)</f>
        <v>0</v>
      </c>
      <c r="M399" s="268">
        <f>SUMIF('Trans Line Reconciliation'!$B$5:$B$84,$B399,'Trans Line Reconciliation'!$S$5:$S$84)</f>
        <v>0</v>
      </c>
      <c r="N399" s="255">
        <f t="shared" si="34"/>
        <v>0</v>
      </c>
      <c r="O399" s="252" t="s">
        <v>2267</v>
      </c>
      <c r="P399" s="252"/>
      <c r="Q399" s="258">
        <f>SUMIF('Antelope Bailey Split BA'!$B$7:$B$29,B399,'Antelope Bailey Split BA'!$C$7:$C$29)</f>
        <v>0</v>
      </c>
      <c r="R399" s="258" t="str">
        <f>IF(AND(Q399=1,'Plant Total by Account'!$J$1=2),"EKWRA","")</f>
        <v/>
      </c>
    </row>
    <row r="400" spans="1:18" ht="12.75" customHeight="1" x14ac:dyDescent="0.2">
      <c r="A400" s="249" t="s">
        <v>513</v>
      </c>
      <c r="B400" s="252" t="s">
        <v>2217</v>
      </c>
      <c r="C400" s="252"/>
      <c r="D400" s="253">
        <v>3146.16</v>
      </c>
      <c r="E400" s="253">
        <v>0</v>
      </c>
      <c r="F400" s="253">
        <v>0</v>
      </c>
      <c r="G400" s="546">
        <f t="shared" si="35"/>
        <v>3146.16</v>
      </c>
      <c r="H400" s="254">
        <f>SUMIF('Trans Line Reconciliation'!$B$5:$B$84,$B400,'Trans Line Reconciliation'!$N$5:$N$84)</f>
        <v>3132.068757508694</v>
      </c>
      <c r="I400" s="268">
        <f>SUMIF('Trans Line Reconciliation'!$B$5:$B$84,$B400,'Trans Line Reconciliation'!$O$5:$O$84)</f>
        <v>0</v>
      </c>
      <c r="J400" s="268">
        <f>SUMIF('Trans Line Reconciliation'!$B$5:$B$84,$B400,'Trans Line Reconciliation'!$P$5:$P$84)</f>
        <v>0</v>
      </c>
      <c r="K400" s="254">
        <f>SUMIF('Trans Line Reconciliation'!$B$5:$B$84,$B400,'Trans Line Reconciliation'!$Q$5:$Q$84)</f>
        <v>14.09124249130582</v>
      </c>
      <c r="L400" s="268">
        <f>SUMIF('Trans Line Reconciliation'!$B$5:$B$84,$B400,'Trans Line Reconciliation'!$R$5:$R$84)</f>
        <v>0</v>
      </c>
      <c r="M400" s="268">
        <f>SUMIF('Trans Line Reconciliation'!$B$5:$B$84,$B400,'Trans Line Reconciliation'!$S$5:$S$84)</f>
        <v>0</v>
      </c>
      <c r="N400" s="255">
        <f t="shared" si="34"/>
        <v>0</v>
      </c>
      <c r="O400" s="252" t="s">
        <v>2267</v>
      </c>
      <c r="P400" s="252"/>
      <c r="Q400" s="258">
        <f>SUMIF('Antelope Bailey Split BA'!$B$7:$B$29,B400,'Antelope Bailey Split BA'!$C$7:$C$29)</f>
        <v>0</v>
      </c>
      <c r="R400" s="258" t="str">
        <f>IF(AND(Q400=1,'Plant Total by Account'!$J$1=2),"EKWRA","")</f>
        <v/>
      </c>
    </row>
    <row r="401" spans="1:18" ht="12.75" customHeight="1" x14ac:dyDescent="0.2">
      <c r="A401" s="249" t="s">
        <v>514</v>
      </c>
      <c r="B401" s="252" t="s">
        <v>2218</v>
      </c>
      <c r="C401" s="252" t="s">
        <v>3353</v>
      </c>
      <c r="D401" s="253">
        <v>53165.170000000006</v>
      </c>
      <c r="E401" s="253">
        <v>0</v>
      </c>
      <c r="F401" s="253">
        <v>0</v>
      </c>
      <c r="G401" s="546">
        <f t="shared" si="35"/>
        <v>53165.170000000006</v>
      </c>
      <c r="H401" s="254">
        <f>SUMIF('Trans Line Reconciliation'!$B$5:$B$84,$B401,'Trans Line Reconciliation'!$N$5:$N$84)</f>
        <v>0</v>
      </c>
      <c r="I401" s="268">
        <f>SUMIF('Trans Line Reconciliation'!$B$5:$B$84,$B401,'Trans Line Reconciliation'!$O$5:$O$84)</f>
        <v>0</v>
      </c>
      <c r="J401" s="268">
        <f>SUMIF('Trans Line Reconciliation'!$B$5:$B$84,$B401,'Trans Line Reconciliation'!$P$5:$P$84)</f>
        <v>0</v>
      </c>
      <c r="K401" s="254">
        <f>SUMIF('Trans Line Reconciliation'!$B$5:$B$84,$B401,'Trans Line Reconciliation'!$Q$5:$Q$84)</f>
        <v>53165.170000000006</v>
      </c>
      <c r="L401" s="268">
        <f>SUMIF('Trans Line Reconciliation'!$B$5:$B$84,$B401,'Trans Line Reconciliation'!$R$5:$R$84)</f>
        <v>0</v>
      </c>
      <c r="M401" s="268">
        <f>SUMIF('Trans Line Reconciliation'!$B$5:$B$84,$B401,'Trans Line Reconciliation'!$S$5:$S$84)</f>
        <v>0</v>
      </c>
      <c r="N401" s="255">
        <f t="shared" si="34"/>
        <v>0</v>
      </c>
      <c r="O401" s="252" t="s">
        <v>2267</v>
      </c>
      <c r="P401" s="252"/>
      <c r="Q401" s="258">
        <f>SUMIF('Antelope Bailey Split BA'!$B$7:$B$29,B401,'Antelope Bailey Split BA'!$C$7:$C$29)</f>
        <v>0</v>
      </c>
      <c r="R401" s="258" t="str">
        <f>IF(AND(Q401=1,'Plant Total by Account'!$J$1=2),"EKWRA","")</f>
        <v/>
      </c>
    </row>
    <row r="402" spans="1:18" ht="12.75" customHeight="1" x14ac:dyDescent="0.2">
      <c r="A402" s="249" t="s">
        <v>515</v>
      </c>
      <c r="B402" s="252" t="s">
        <v>2219</v>
      </c>
      <c r="C402" s="252"/>
      <c r="D402" s="253">
        <v>2211888.9</v>
      </c>
      <c r="E402" s="253">
        <v>0</v>
      </c>
      <c r="F402" s="253">
        <v>0</v>
      </c>
      <c r="G402" s="546">
        <f t="shared" si="35"/>
        <v>2211888.9</v>
      </c>
      <c r="H402" s="254">
        <f>SUMIF('Trans Line Reconciliation'!$B$5:$B$84,$B402,'Trans Line Reconciliation'!$N$5:$N$84)</f>
        <v>1443554.0104040431</v>
      </c>
      <c r="I402" s="268">
        <f>SUMIF('Trans Line Reconciliation'!$B$5:$B$84,$B402,'Trans Line Reconciliation'!$O$5:$O$84)</f>
        <v>0</v>
      </c>
      <c r="J402" s="268">
        <f>SUMIF('Trans Line Reconciliation'!$B$5:$B$84,$B402,'Trans Line Reconciliation'!$P$5:$P$84)</f>
        <v>0</v>
      </c>
      <c r="K402" s="254">
        <f>SUMIF('Trans Line Reconciliation'!$B$5:$B$84,$B402,'Trans Line Reconciliation'!$Q$5:$Q$84)</f>
        <v>768334.88959595677</v>
      </c>
      <c r="L402" s="268">
        <f>SUMIF('Trans Line Reconciliation'!$B$5:$B$84,$B402,'Trans Line Reconciliation'!$R$5:$R$84)</f>
        <v>0</v>
      </c>
      <c r="M402" s="268">
        <f>SUMIF('Trans Line Reconciliation'!$B$5:$B$84,$B402,'Trans Line Reconciliation'!$S$5:$S$84)</f>
        <v>0</v>
      </c>
      <c r="N402" s="255">
        <f t="shared" si="34"/>
        <v>0</v>
      </c>
      <c r="O402" s="252" t="s">
        <v>2267</v>
      </c>
      <c r="P402" s="252"/>
      <c r="Q402" s="258">
        <f>SUMIF('Antelope Bailey Split BA'!$B$7:$B$29,B402,'Antelope Bailey Split BA'!$C$7:$C$29)</f>
        <v>0</v>
      </c>
      <c r="R402" s="258" t="str">
        <f>IF(AND(Q402=1,'Plant Total by Account'!$J$1=2),"EKWRA","")</f>
        <v/>
      </c>
    </row>
    <row r="403" spans="1:18" ht="12.75" customHeight="1" x14ac:dyDescent="0.2">
      <c r="A403" s="249" t="s">
        <v>1325</v>
      </c>
      <c r="B403" s="252" t="s">
        <v>2220</v>
      </c>
      <c r="C403" s="252" t="s">
        <v>3349</v>
      </c>
      <c r="D403" s="253">
        <v>1330373</v>
      </c>
      <c r="E403" s="253">
        <v>0</v>
      </c>
      <c r="F403" s="253">
        <v>0</v>
      </c>
      <c r="G403" s="546">
        <f t="shared" si="35"/>
        <v>1330373</v>
      </c>
      <c r="H403" s="254">
        <f>SUMIF('Trans Line Reconciliation'!$B$5:$B$84,$B403,'Trans Line Reconciliation'!$N$5:$N$84)</f>
        <v>1330373</v>
      </c>
      <c r="I403" s="268">
        <f>SUMIF('Trans Line Reconciliation'!$B$5:$B$84,$B403,'Trans Line Reconciliation'!$O$5:$O$84)</f>
        <v>0</v>
      </c>
      <c r="J403" s="268">
        <f>SUMIF('Trans Line Reconciliation'!$B$5:$B$84,$B403,'Trans Line Reconciliation'!$P$5:$P$84)</f>
        <v>0</v>
      </c>
      <c r="K403" s="254">
        <f>SUMIF('Trans Line Reconciliation'!$B$5:$B$84,$B403,'Trans Line Reconciliation'!$Q$5:$Q$84)</f>
        <v>0</v>
      </c>
      <c r="L403" s="268">
        <f>SUMIF('Trans Line Reconciliation'!$B$5:$B$84,$B403,'Trans Line Reconciliation'!$R$5:$R$84)</f>
        <v>0</v>
      </c>
      <c r="M403" s="268">
        <f>SUMIF('Trans Line Reconciliation'!$B$5:$B$84,$B403,'Trans Line Reconciliation'!$S$5:$S$84)</f>
        <v>0</v>
      </c>
      <c r="N403" s="255">
        <f t="shared" si="34"/>
        <v>0</v>
      </c>
      <c r="O403" s="252" t="s">
        <v>2267</v>
      </c>
      <c r="P403" s="252"/>
      <c r="Q403" s="258">
        <f>SUMIF('Antelope Bailey Split BA'!$B$7:$B$29,B403,'Antelope Bailey Split BA'!$C$7:$C$29)</f>
        <v>0</v>
      </c>
      <c r="R403" s="258" t="str">
        <f>IF(AND(Q403=1,'Plant Total by Account'!$J$1=2),"EKWRA","")</f>
        <v/>
      </c>
    </row>
    <row r="404" spans="1:18" ht="12.75" customHeight="1" x14ac:dyDescent="0.2">
      <c r="A404" s="249" t="s">
        <v>1325</v>
      </c>
      <c r="B404" s="252" t="s">
        <v>2221</v>
      </c>
      <c r="C404" s="252" t="s">
        <v>3349</v>
      </c>
      <c r="D404" s="253">
        <v>16589.080000000002</v>
      </c>
      <c r="E404" s="253">
        <v>0</v>
      </c>
      <c r="F404" s="253">
        <v>0</v>
      </c>
      <c r="G404" s="546">
        <f t="shared" si="35"/>
        <v>16589.080000000002</v>
      </c>
      <c r="H404" s="254">
        <f>SUMIF('Trans Line Reconciliation'!$B$5:$B$84,$B404,'Trans Line Reconciliation'!$N$5:$N$84)</f>
        <v>16589.080000000002</v>
      </c>
      <c r="I404" s="268">
        <f>SUMIF('Trans Line Reconciliation'!$B$5:$B$84,$B404,'Trans Line Reconciliation'!$O$5:$O$84)</f>
        <v>0</v>
      </c>
      <c r="J404" s="268">
        <f>SUMIF('Trans Line Reconciliation'!$B$5:$B$84,$B404,'Trans Line Reconciliation'!$P$5:$P$84)</f>
        <v>0</v>
      </c>
      <c r="K404" s="254">
        <f>SUMIF('Trans Line Reconciliation'!$B$5:$B$84,$B404,'Trans Line Reconciliation'!$Q$5:$Q$84)</f>
        <v>0</v>
      </c>
      <c r="L404" s="268">
        <f>SUMIF('Trans Line Reconciliation'!$B$5:$B$84,$B404,'Trans Line Reconciliation'!$R$5:$R$84)</f>
        <v>0</v>
      </c>
      <c r="M404" s="268">
        <f>SUMIF('Trans Line Reconciliation'!$B$5:$B$84,$B404,'Trans Line Reconciliation'!$S$5:$S$84)</f>
        <v>0</v>
      </c>
      <c r="N404" s="255">
        <f t="shared" si="34"/>
        <v>0</v>
      </c>
      <c r="O404" s="252" t="s">
        <v>2267</v>
      </c>
      <c r="P404" s="252"/>
      <c r="Q404" s="258">
        <f>SUMIF('Antelope Bailey Split BA'!$B$7:$B$29,B404,'Antelope Bailey Split BA'!$C$7:$C$29)</f>
        <v>0</v>
      </c>
      <c r="R404" s="258" t="str">
        <f>IF(AND(Q404=1,'Plant Total by Account'!$J$1=2),"EKWRA","")</f>
        <v/>
      </c>
    </row>
    <row r="405" spans="1:18" ht="12.75" customHeight="1" x14ac:dyDescent="0.2">
      <c r="A405" s="249" t="s">
        <v>2338</v>
      </c>
      <c r="B405" s="252" t="s">
        <v>1098</v>
      </c>
      <c r="C405" s="252" t="s">
        <v>3349</v>
      </c>
      <c r="D405" s="253">
        <v>9600704.3000000007</v>
      </c>
      <c r="E405" s="253">
        <v>0</v>
      </c>
      <c r="F405" s="253">
        <v>98.19</v>
      </c>
      <c r="G405" s="546">
        <f t="shared" si="35"/>
        <v>9600802.4900000002</v>
      </c>
      <c r="H405" s="254">
        <f>SUMIF('Trans Line Reconciliation'!$B$5:$B$84,$B405,'Trans Line Reconciliation'!$N$5:$N$84)</f>
        <v>9605387.3200000003</v>
      </c>
      <c r="I405" s="268">
        <f>SUMIF('Trans Line Reconciliation'!$B$5:$B$84,$B405,'Trans Line Reconciliation'!$O$5:$O$84)</f>
        <v>0</v>
      </c>
      <c r="J405" s="268">
        <f>SUMIF('Trans Line Reconciliation'!$B$5:$B$84,$B405,'Trans Line Reconciliation'!$P$5:$P$84)</f>
        <v>98.189999999999984</v>
      </c>
      <c r="K405" s="254">
        <f>SUMIF('Trans Line Reconciliation'!$B$5:$B$84,$B405,'Trans Line Reconciliation'!$Q$5:$Q$84)</f>
        <v>-4683.019999999553</v>
      </c>
      <c r="L405" s="268">
        <f>SUMIF('Trans Line Reconciliation'!$B$5:$B$84,$B405,'Trans Line Reconciliation'!$R$5:$R$84)</f>
        <v>0</v>
      </c>
      <c r="M405" s="268">
        <f>SUMIF('Trans Line Reconciliation'!$B$5:$B$84,$B405,'Trans Line Reconciliation'!$S$5:$S$84)</f>
        <v>0</v>
      </c>
      <c r="N405" s="255">
        <f t="shared" si="34"/>
        <v>0</v>
      </c>
      <c r="O405" s="252" t="s">
        <v>2267</v>
      </c>
      <c r="P405" s="252"/>
      <c r="Q405" s="258">
        <f>SUMIF('Antelope Bailey Split BA'!$B$7:$B$29,B405,'Antelope Bailey Split BA'!$C$7:$C$29)</f>
        <v>0</v>
      </c>
      <c r="R405" s="258" t="str">
        <f>IF(AND(Q405=1,'Plant Total by Account'!$J$1=2),"EKWRA","")</f>
        <v/>
      </c>
    </row>
    <row r="406" spans="1:18" ht="12.75" customHeight="1" x14ac:dyDescent="0.2">
      <c r="A406" s="249" t="s">
        <v>516</v>
      </c>
      <c r="B406" s="252" t="s">
        <v>2222</v>
      </c>
      <c r="C406" s="252" t="s">
        <v>3353</v>
      </c>
      <c r="D406" s="253">
        <v>516.81000000000006</v>
      </c>
      <c r="E406" s="253">
        <v>0</v>
      </c>
      <c r="F406" s="253">
        <v>0</v>
      </c>
      <c r="G406" s="546">
        <f t="shared" si="35"/>
        <v>516.81000000000006</v>
      </c>
      <c r="H406" s="254">
        <f>SUMIF('Trans Line Reconciliation'!$B$5:$B$84,$B406,'Trans Line Reconciliation'!$N$5:$N$84)</f>
        <v>0</v>
      </c>
      <c r="I406" s="268">
        <f>SUMIF('Trans Line Reconciliation'!$B$5:$B$84,$B406,'Trans Line Reconciliation'!$O$5:$O$84)</f>
        <v>0</v>
      </c>
      <c r="J406" s="268">
        <f>SUMIF('Trans Line Reconciliation'!$B$5:$B$84,$B406,'Trans Line Reconciliation'!$P$5:$P$84)</f>
        <v>0</v>
      </c>
      <c r="K406" s="254">
        <f>SUMIF('Trans Line Reconciliation'!$B$5:$B$84,$B406,'Trans Line Reconciliation'!$Q$5:$Q$84)</f>
        <v>516.81000000000006</v>
      </c>
      <c r="L406" s="268">
        <f>SUMIF('Trans Line Reconciliation'!$B$5:$B$84,$B406,'Trans Line Reconciliation'!$R$5:$R$84)</f>
        <v>0</v>
      </c>
      <c r="M406" s="268">
        <f>SUMIF('Trans Line Reconciliation'!$B$5:$B$84,$B406,'Trans Line Reconciliation'!$S$5:$S$84)</f>
        <v>0</v>
      </c>
      <c r="N406" s="255">
        <f t="shared" si="34"/>
        <v>0</v>
      </c>
      <c r="O406" s="252" t="s">
        <v>2267</v>
      </c>
      <c r="P406" s="252"/>
      <c r="Q406" s="258">
        <f>SUMIF('Antelope Bailey Split BA'!$B$7:$B$29,B406,'Antelope Bailey Split BA'!$C$7:$C$29)</f>
        <v>0</v>
      </c>
      <c r="R406" s="258" t="str">
        <f>IF(AND(Q406=1,'Plant Total by Account'!$J$1=2),"EKWRA","")</f>
        <v/>
      </c>
    </row>
    <row r="407" spans="1:18" ht="12.75" customHeight="1" x14ac:dyDescent="0.2">
      <c r="A407" s="249" t="s">
        <v>1326</v>
      </c>
      <c r="B407" s="252" t="s">
        <v>2223</v>
      </c>
      <c r="C407" s="252" t="s">
        <v>3349</v>
      </c>
      <c r="D407" s="253">
        <v>278111.81</v>
      </c>
      <c r="E407" s="253">
        <v>0</v>
      </c>
      <c r="F407" s="253">
        <v>0</v>
      </c>
      <c r="G407" s="546">
        <f t="shared" si="35"/>
        <v>278111.81</v>
      </c>
      <c r="H407" s="254">
        <f>SUMIF('Trans Line Reconciliation'!$B$5:$B$84,$B407,'Trans Line Reconciliation'!$N$5:$N$84)</f>
        <v>278111.81</v>
      </c>
      <c r="I407" s="268">
        <f>SUMIF('Trans Line Reconciliation'!$B$5:$B$84,$B407,'Trans Line Reconciliation'!$O$5:$O$84)</f>
        <v>0</v>
      </c>
      <c r="J407" s="268">
        <f>SUMIF('Trans Line Reconciliation'!$B$5:$B$84,$B407,'Trans Line Reconciliation'!$P$5:$P$84)</f>
        <v>0</v>
      </c>
      <c r="K407" s="254">
        <f>SUMIF('Trans Line Reconciliation'!$B$5:$B$84,$B407,'Trans Line Reconciliation'!$Q$5:$Q$84)</f>
        <v>0</v>
      </c>
      <c r="L407" s="268">
        <f>SUMIF('Trans Line Reconciliation'!$B$5:$B$84,$B407,'Trans Line Reconciliation'!$R$5:$R$84)</f>
        <v>0</v>
      </c>
      <c r="M407" s="268">
        <f>SUMIF('Trans Line Reconciliation'!$B$5:$B$84,$B407,'Trans Line Reconciliation'!$S$5:$S$84)</f>
        <v>0</v>
      </c>
      <c r="N407" s="255">
        <f t="shared" si="34"/>
        <v>0</v>
      </c>
      <c r="O407" s="252" t="s">
        <v>2267</v>
      </c>
      <c r="P407" s="252"/>
      <c r="Q407" s="258">
        <f>SUMIF('Antelope Bailey Split BA'!$B$7:$B$29,B407,'Antelope Bailey Split BA'!$C$7:$C$29)</f>
        <v>0</v>
      </c>
      <c r="R407" s="258" t="str">
        <f>IF(AND(Q407=1,'Plant Total by Account'!$J$1=2),"EKWRA","")</f>
        <v/>
      </c>
    </row>
    <row r="408" spans="1:18" ht="12.75" customHeight="1" x14ac:dyDescent="0.2">
      <c r="A408" s="249" t="s">
        <v>1327</v>
      </c>
      <c r="B408" s="252" t="s">
        <v>2224</v>
      </c>
      <c r="C408" s="252" t="s">
        <v>3349</v>
      </c>
      <c r="D408" s="253">
        <v>76199.12</v>
      </c>
      <c r="E408" s="253">
        <v>0</v>
      </c>
      <c r="F408" s="253">
        <v>0</v>
      </c>
      <c r="G408" s="546">
        <f t="shared" si="35"/>
        <v>76199.12</v>
      </c>
      <c r="H408" s="254">
        <f>SUMIF('Trans Line Reconciliation'!$B$5:$B$84,$B408,'Trans Line Reconciliation'!$N$5:$N$84)</f>
        <v>76199.12</v>
      </c>
      <c r="I408" s="268">
        <f>SUMIF('Trans Line Reconciliation'!$B$5:$B$84,$B408,'Trans Line Reconciliation'!$O$5:$O$84)</f>
        <v>0</v>
      </c>
      <c r="J408" s="268">
        <f>SUMIF('Trans Line Reconciliation'!$B$5:$B$84,$B408,'Trans Line Reconciliation'!$P$5:$P$84)</f>
        <v>0</v>
      </c>
      <c r="K408" s="254">
        <f>SUMIF('Trans Line Reconciliation'!$B$5:$B$84,$B408,'Trans Line Reconciliation'!$Q$5:$Q$84)</f>
        <v>0</v>
      </c>
      <c r="L408" s="268">
        <f>SUMIF('Trans Line Reconciliation'!$B$5:$B$84,$B408,'Trans Line Reconciliation'!$R$5:$R$84)</f>
        <v>0</v>
      </c>
      <c r="M408" s="268">
        <f>SUMIF('Trans Line Reconciliation'!$B$5:$B$84,$B408,'Trans Line Reconciliation'!$S$5:$S$84)</f>
        <v>0</v>
      </c>
      <c r="N408" s="255">
        <f t="shared" si="34"/>
        <v>0</v>
      </c>
      <c r="O408" s="252" t="s">
        <v>2267</v>
      </c>
      <c r="P408" s="252"/>
      <c r="Q408" s="258">
        <f>SUMIF('Antelope Bailey Split BA'!$B$7:$B$29,B408,'Antelope Bailey Split BA'!$C$7:$C$29)</f>
        <v>0</v>
      </c>
      <c r="R408" s="258" t="str">
        <f>IF(AND(Q408=1,'Plant Total by Account'!$J$1=2),"EKWRA","")</f>
        <v/>
      </c>
    </row>
    <row r="409" spans="1:18" ht="12.75" customHeight="1" x14ac:dyDescent="0.2">
      <c r="A409" s="249" t="s">
        <v>517</v>
      </c>
      <c r="B409" s="252" t="s">
        <v>2225</v>
      </c>
      <c r="C409" s="252" t="s">
        <v>3353</v>
      </c>
      <c r="D409" s="253">
        <v>25409.4</v>
      </c>
      <c r="E409" s="253">
        <v>0</v>
      </c>
      <c r="F409" s="253">
        <v>0</v>
      </c>
      <c r="G409" s="546">
        <f t="shared" si="35"/>
        <v>25409.4</v>
      </c>
      <c r="H409" s="254">
        <f>SUMIF('Trans Line Reconciliation'!$B$5:$B$84,$B409,'Trans Line Reconciliation'!$N$5:$N$84)</f>
        <v>0</v>
      </c>
      <c r="I409" s="268">
        <f>SUMIF('Trans Line Reconciliation'!$B$5:$B$84,$B409,'Trans Line Reconciliation'!$O$5:$O$84)</f>
        <v>0</v>
      </c>
      <c r="J409" s="268">
        <f>SUMIF('Trans Line Reconciliation'!$B$5:$B$84,$B409,'Trans Line Reconciliation'!$P$5:$P$84)</f>
        <v>0</v>
      </c>
      <c r="K409" s="254">
        <f>SUMIF('Trans Line Reconciliation'!$B$5:$B$84,$B409,'Trans Line Reconciliation'!$Q$5:$Q$84)</f>
        <v>25409.4</v>
      </c>
      <c r="L409" s="268">
        <f>SUMIF('Trans Line Reconciliation'!$B$5:$B$84,$B409,'Trans Line Reconciliation'!$R$5:$R$84)</f>
        <v>0</v>
      </c>
      <c r="M409" s="268">
        <f>SUMIF('Trans Line Reconciliation'!$B$5:$B$84,$B409,'Trans Line Reconciliation'!$S$5:$S$84)</f>
        <v>0</v>
      </c>
      <c r="N409" s="255">
        <f t="shared" si="34"/>
        <v>0</v>
      </c>
      <c r="O409" s="252" t="s">
        <v>2267</v>
      </c>
      <c r="P409" s="252"/>
      <c r="Q409" s="258">
        <f>SUMIF('Antelope Bailey Split BA'!$B$7:$B$29,B409,'Antelope Bailey Split BA'!$C$7:$C$29)</f>
        <v>0</v>
      </c>
      <c r="R409" s="258" t="str">
        <f>IF(AND(Q409=1,'Plant Total by Account'!$J$1=2),"EKWRA","")</f>
        <v/>
      </c>
    </row>
    <row r="410" spans="1:18" ht="12.75" customHeight="1" x14ac:dyDescent="0.2">
      <c r="A410" s="249" t="s">
        <v>1328</v>
      </c>
      <c r="B410" s="252" t="s">
        <v>2226</v>
      </c>
      <c r="C410" s="252" t="s">
        <v>3349</v>
      </c>
      <c r="D410" s="253">
        <v>6166.88</v>
      </c>
      <c r="E410" s="253">
        <v>0</v>
      </c>
      <c r="F410" s="253">
        <v>0</v>
      </c>
      <c r="G410" s="546">
        <f t="shared" si="35"/>
        <v>6166.88</v>
      </c>
      <c r="H410" s="254">
        <f>SUMIF('Trans Line Reconciliation'!$B$5:$B$84,$B410,'Trans Line Reconciliation'!$N$5:$N$84)</f>
        <v>6166.88</v>
      </c>
      <c r="I410" s="268">
        <f>SUMIF('Trans Line Reconciliation'!$B$5:$B$84,$B410,'Trans Line Reconciliation'!$O$5:$O$84)</f>
        <v>0</v>
      </c>
      <c r="J410" s="268">
        <f>SUMIF('Trans Line Reconciliation'!$B$5:$B$84,$B410,'Trans Line Reconciliation'!$P$5:$P$84)</f>
        <v>0</v>
      </c>
      <c r="K410" s="254">
        <f>SUMIF('Trans Line Reconciliation'!$B$5:$B$84,$B410,'Trans Line Reconciliation'!$Q$5:$Q$84)</f>
        <v>0</v>
      </c>
      <c r="L410" s="268">
        <f>SUMIF('Trans Line Reconciliation'!$B$5:$B$84,$B410,'Trans Line Reconciliation'!$R$5:$R$84)</f>
        <v>0</v>
      </c>
      <c r="M410" s="268">
        <f>SUMIF('Trans Line Reconciliation'!$B$5:$B$84,$B410,'Trans Line Reconciliation'!$S$5:$S$84)</f>
        <v>0</v>
      </c>
      <c r="N410" s="255">
        <f t="shared" ref="N410:N441" si="36">G410-SUM(H410:M410)</f>
        <v>0</v>
      </c>
      <c r="O410" s="252" t="s">
        <v>2267</v>
      </c>
      <c r="P410" s="252"/>
      <c r="Q410" s="258">
        <f>SUMIF('Antelope Bailey Split BA'!$B$7:$B$29,B410,'Antelope Bailey Split BA'!$C$7:$C$29)</f>
        <v>0</v>
      </c>
      <c r="R410" s="258" t="str">
        <f>IF(AND(Q410=1,'Plant Total by Account'!$J$1=2),"EKWRA","")</f>
        <v/>
      </c>
    </row>
    <row r="411" spans="1:18" ht="12.75" customHeight="1" x14ac:dyDescent="0.2">
      <c r="A411" s="249" t="s">
        <v>1329</v>
      </c>
      <c r="B411" s="252" t="s">
        <v>2227</v>
      </c>
      <c r="C411" s="252" t="s">
        <v>3350</v>
      </c>
      <c r="D411" s="253">
        <v>9993.51</v>
      </c>
      <c r="E411" s="253">
        <v>0</v>
      </c>
      <c r="F411" s="253">
        <v>0</v>
      </c>
      <c r="G411" s="546">
        <f t="shared" si="35"/>
        <v>9993.51</v>
      </c>
      <c r="H411" s="254">
        <f>SUMIF('Trans Line Reconciliation'!$B$5:$B$84,$B411,'Trans Line Reconciliation'!$N$5:$N$84)</f>
        <v>9993.5099999999984</v>
      </c>
      <c r="I411" s="268">
        <f>SUMIF('Trans Line Reconciliation'!$B$5:$B$84,$B411,'Trans Line Reconciliation'!$O$5:$O$84)</f>
        <v>0</v>
      </c>
      <c r="J411" s="268">
        <f>SUMIF('Trans Line Reconciliation'!$B$5:$B$84,$B411,'Trans Line Reconciliation'!$P$5:$P$84)</f>
        <v>0</v>
      </c>
      <c r="K411" s="254">
        <f>SUMIF('Trans Line Reconciliation'!$B$5:$B$84,$B411,'Trans Line Reconciliation'!$Q$5:$Q$84)</f>
        <v>0</v>
      </c>
      <c r="L411" s="268">
        <f>SUMIF('Trans Line Reconciliation'!$B$5:$B$84,$B411,'Trans Line Reconciliation'!$R$5:$R$84)</f>
        <v>0</v>
      </c>
      <c r="M411" s="268">
        <f>SUMIF('Trans Line Reconciliation'!$B$5:$B$84,$B411,'Trans Line Reconciliation'!$S$5:$S$84)</f>
        <v>0</v>
      </c>
      <c r="N411" s="255">
        <f t="shared" si="36"/>
        <v>0</v>
      </c>
      <c r="O411" s="252" t="s">
        <v>2267</v>
      </c>
      <c r="P411" s="252"/>
      <c r="Q411" s="258">
        <f>SUMIF('Antelope Bailey Split BA'!$B$7:$B$29,B411,'Antelope Bailey Split BA'!$C$7:$C$29)</f>
        <v>0</v>
      </c>
      <c r="R411" s="258" t="str">
        <f>IF(AND(Q411=1,'Plant Total by Account'!$J$1=2),"EKWRA","")</f>
        <v/>
      </c>
    </row>
    <row r="412" spans="1:18" ht="12.75" customHeight="1" x14ac:dyDescent="0.2">
      <c r="A412" s="249" t="s">
        <v>2339</v>
      </c>
      <c r="B412" s="252" t="s">
        <v>1099</v>
      </c>
      <c r="C412" s="252" t="s">
        <v>3350</v>
      </c>
      <c r="D412" s="253">
        <v>3854651.36</v>
      </c>
      <c r="E412" s="253">
        <v>0</v>
      </c>
      <c r="F412" s="253">
        <v>1880.02</v>
      </c>
      <c r="G412" s="546">
        <f t="shared" si="35"/>
        <v>3856531.38</v>
      </c>
      <c r="H412" s="254">
        <f>SUMIF('Trans Line Reconciliation'!$B$5:$B$84,$B412,'Trans Line Reconciliation'!$N$5:$N$84)</f>
        <v>3855187.6400000006</v>
      </c>
      <c r="I412" s="268">
        <f>SUMIF('Trans Line Reconciliation'!$B$5:$B$84,$B412,'Trans Line Reconciliation'!$O$5:$O$84)</f>
        <v>0</v>
      </c>
      <c r="J412" s="268">
        <f>SUMIF('Trans Line Reconciliation'!$B$5:$B$84,$B412,'Trans Line Reconciliation'!$P$5:$P$84)</f>
        <v>1880.0200000000004</v>
      </c>
      <c r="K412" s="254">
        <f>SUMIF('Trans Line Reconciliation'!$B$5:$B$84,$B412,'Trans Line Reconciliation'!$Q$5:$Q$84)</f>
        <v>-536.28000000072643</v>
      </c>
      <c r="L412" s="268">
        <f>SUMIF('Trans Line Reconciliation'!$B$5:$B$84,$B412,'Trans Line Reconciliation'!$R$5:$R$84)</f>
        <v>0</v>
      </c>
      <c r="M412" s="268">
        <f>SUMIF('Trans Line Reconciliation'!$B$5:$B$84,$B412,'Trans Line Reconciliation'!$S$5:$S$84)</f>
        <v>0</v>
      </c>
      <c r="N412" s="255">
        <f t="shared" si="36"/>
        <v>0</v>
      </c>
      <c r="O412" s="252" t="s">
        <v>2267</v>
      </c>
      <c r="P412" s="252"/>
      <c r="Q412" s="258">
        <f>SUMIF('Antelope Bailey Split BA'!$B$7:$B$29,B412,'Antelope Bailey Split BA'!$C$7:$C$29)</f>
        <v>0</v>
      </c>
      <c r="R412" s="258" t="str">
        <f>IF(AND(Q412=1,'Plant Total by Account'!$J$1=2),"EKWRA","")</f>
        <v/>
      </c>
    </row>
    <row r="413" spans="1:18" ht="12.75" customHeight="1" x14ac:dyDescent="0.2">
      <c r="A413" s="249" t="s">
        <v>518</v>
      </c>
      <c r="B413" s="252" t="s">
        <v>2228</v>
      </c>
      <c r="C413" s="252" t="s">
        <v>3349</v>
      </c>
      <c r="D413" s="253">
        <v>1696736.1199999999</v>
      </c>
      <c r="E413" s="253">
        <v>0</v>
      </c>
      <c r="F413" s="253">
        <v>0</v>
      </c>
      <c r="G413" s="546">
        <f t="shared" si="35"/>
        <v>1696736.1199999999</v>
      </c>
      <c r="H413" s="254">
        <f>SUMIF('Trans Line Reconciliation'!$B$5:$B$84,$B413,'Trans Line Reconciliation'!$N$5:$N$84)</f>
        <v>1696736.1200000003</v>
      </c>
      <c r="I413" s="268">
        <f>SUMIF('Trans Line Reconciliation'!$B$5:$B$84,$B413,'Trans Line Reconciliation'!$O$5:$O$84)</f>
        <v>0</v>
      </c>
      <c r="J413" s="268">
        <f>SUMIF('Trans Line Reconciliation'!$B$5:$B$84,$B413,'Trans Line Reconciliation'!$P$5:$P$84)</f>
        <v>0</v>
      </c>
      <c r="K413" s="254">
        <f>SUMIF('Trans Line Reconciliation'!$B$5:$B$84,$B413,'Trans Line Reconciliation'!$Q$5:$Q$84)</f>
        <v>0</v>
      </c>
      <c r="L413" s="268">
        <f>SUMIF('Trans Line Reconciliation'!$B$5:$B$84,$B413,'Trans Line Reconciliation'!$R$5:$R$84)</f>
        <v>0</v>
      </c>
      <c r="M413" s="268">
        <f>SUMIF('Trans Line Reconciliation'!$B$5:$B$84,$B413,'Trans Line Reconciliation'!$S$5:$S$84)</f>
        <v>0</v>
      </c>
      <c r="N413" s="255">
        <f t="shared" si="36"/>
        <v>0</v>
      </c>
      <c r="O413" s="252" t="s">
        <v>2267</v>
      </c>
      <c r="P413" s="252"/>
      <c r="Q413" s="258">
        <f>SUMIF('Antelope Bailey Split BA'!$B$7:$B$29,B413,'Antelope Bailey Split BA'!$C$7:$C$29)</f>
        <v>0</v>
      </c>
      <c r="R413" s="258" t="str">
        <f>IF(AND(Q413=1,'Plant Total by Account'!$J$1=2),"EKWRA","")</f>
        <v/>
      </c>
    </row>
    <row r="414" spans="1:18" ht="12.75" customHeight="1" x14ac:dyDescent="0.2">
      <c r="A414" s="249" t="s">
        <v>519</v>
      </c>
      <c r="B414" s="252" t="s">
        <v>2229</v>
      </c>
      <c r="C414" s="252"/>
      <c r="D414" s="253">
        <v>232</v>
      </c>
      <c r="E414" s="253">
        <v>0</v>
      </c>
      <c r="F414" s="253">
        <v>0</v>
      </c>
      <c r="G414" s="546">
        <f t="shared" si="35"/>
        <v>232</v>
      </c>
      <c r="H414" s="254">
        <f>SUMIF('Trans Line Reconciliation'!$B$5:$B$84,$B414,'Trans Line Reconciliation'!$N$5:$N$84)</f>
        <v>0</v>
      </c>
      <c r="I414" s="268">
        <f>SUMIF('Trans Line Reconciliation'!$B$5:$B$84,$B414,'Trans Line Reconciliation'!$O$5:$O$84)</f>
        <v>0</v>
      </c>
      <c r="J414" s="268">
        <f>SUMIF('Trans Line Reconciliation'!$B$5:$B$84,$B414,'Trans Line Reconciliation'!$P$5:$P$84)</f>
        <v>0</v>
      </c>
      <c r="K414" s="254">
        <f>SUMIF('Trans Line Reconciliation'!$B$5:$B$84,$B414,'Trans Line Reconciliation'!$Q$5:$Q$84)</f>
        <v>232</v>
      </c>
      <c r="L414" s="268">
        <f>SUMIF('Trans Line Reconciliation'!$B$5:$B$84,$B414,'Trans Line Reconciliation'!$R$5:$R$84)</f>
        <v>0</v>
      </c>
      <c r="M414" s="268">
        <f>SUMIF('Trans Line Reconciliation'!$B$5:$B$84,$B414,'Trans Line Reconciliation'!$S$5:$S$84)</f>
        <v>0</v>
      </c>
      <c r="N414" s="255">
        <f t="shared" si="36"/>
        <v>0</v>
      </c>
      <c r="O414" s="252" t="s">
        <v>2267</v>
      </c>
      <c r="P414" s="252"/>
      <c r="Q414" s="258">
        <f>SUMIF('Antelope Bailey Split BA'!$B$7:$B$29,B414,'Antelope Bailey Split BA'!$C$7:$C$29)</f>
        <v>0</v>
      </c>
      <c r="R414" s="258" t="str">
        <f>IF(AND(Q414=1,'Plant Total by Account'!$J$1=2),"EKWRA","")</f>
        <v/>
      </c>
    </row>
    <row r="415" spans="1:18" ht="12.75" customHeight="1" x14ac:dyDescent="0.2">
      <c r="A415" s="249" t="s">
        <v>520</v>
      </c>
      <c r="B415" s="252" t="s">
        <v>2230</v>
      </c>
      <c r="C415" s="252" t="s">
        <v>3350</v>
      </c>
      <c r="D415" s="253">
        <v>309032.19</v>
      </c>
      <c r="E415" s="253">
        <v>0</v>
      </c>
      <c r="F415" s="253">
        <v>0</v>
      </c>
      <c r="G415" s="546">
        <f t="shared" si="35"/>
        <v>309032.19</v>
      </c>
      <c r="H415" s="254">
        <f>SUMIF('Trans Line Reconciliation'!$B$5:$B$84,$B415,'Trans Line Reconciliation'!$N$5:$N$84)</f>
        <v>0</v>
      </c>
      <c r="I415" s="268">
        <f>SUMIF('Trans Line Reconciliation'!$B$5:$B$84,$B415,'Trans Line Reconciliation'!$O$5:$O$84)</f>
        <v>0</v>
      </c>
      <c r="J415" s="268">
        <f>SUMIF('Trans Line Reconciliation'!$B$5:$B$84,$B415,'Trans Line Reconciliation'!$P$5:$P$84)</f>
        <v>0</v>
      </c>
      <c r="K415" s="254">
        <f>SUMIF('Trans Line Reconciliation'!$B$5:$B$84,$B415,'Trans Line Reconciliation'!$Q$5:$Q$84)</f>
        <v>309032.19</v>
      </c>
      <c r="L415" s="268">
        <f>SUMIF('Trans Line Reconciliation'!$B$5:$B$84,$B415,'Trans Line Reconciliation'!$R$5:$R$84)</f>
        <v>0</v>
      </c>
      <c r="M415" s="268">
        <f>SUMIF('Trans Line Reconciliation'!$B$5:$B$84,$B415,'Trans Line Reconciliation'!$S$5:$S$84)</f>
        <v>0</v>
      </c>
      <c r="N415" s="255">
        <f t="shared" si="36"/>
        <v>0</v>
      </c>
      <c r="O415" s="252" t="s">
        <v>2267</v>
      </c>
      <c r="P415" s="252"/>
      <c r="Q415" s="258">
        <f>SUMIF('Antelope Bailey Split BA'!$B$7:$B$29,B415,'Antelope Bailey Split BA'!$C$7:$C$29)</f>
        <v>0</v>
      </c>
      <c r="R415" s="258" t="str">
        <f>IF(AND(Q415=1,'Plant Total by Account'!$J$1=2),"EKWRA","")</f>
        <v/>
      </c>
    </row>
    <row r="416" spans="1:18" ht="12.75" customHeight="1" x14ac:dyDescent="0.2">
      <c r="A416" s="249" t="s">
        <v>1330</v>
      </c>
      <c r="B416" s="252" t="s">
        <v>2231</v>
      </c>
      <c r="C416" s="252" t="s">
        <v>3349</v>
      </c>
      <c r="D416" s="253">
        <v>751548.67</v>
      </c>
      <c r="E416" s="253">
        <v>0</v>
      </c>
      <c r="F416" s="253">
        <v>0</v>
      </c>
      <c r="G416" s="546">
        <f t="shared" si="35"/>
        <v>751548.67</v>
      </c>
      <c r="H416" s="254">
        <f>SUMIF('Trans Line Reconciliation'!$B$5:$B$84,$B416,'Trans Line Reconciliation'!$N$5:$N$84)</f>
        <v>751548.67</v>
      </c>
      <c r="I416" s="268">
        <f>SUMIF('Trans Line Reconciliation'!$B$5:$B$84,$B416,'Trans Line Reconciliation'!$O$5:$O$84)</f>
        <v>0</v>
      </c>
      <c r="J416" s="268">
        <f>SUMIF('Trans Line Reconciliation'!$B$5:$B$84,$B416,'Trans Line Reconciliation'!$P$5:$P$84)</f>
        <v>0</v>
      </c>
      <c r="K416" s="254">
        <f>SUMIF('Trans Line Reconciliation'!$B$5:$B$84,$B416,'Trans Line Reconciliation'!$Q$5:$Q$84)</f>
        <v>0</v>
      </c>
      <c r="L416" s="268">
        <f>SUMIF('Trans Line Reconciliation'!$B$5:$B$84,$B416,'Trans Line Reconciliation'!$R$5:$R$84)</f>
        <v>0</v>
      </c>
      <c r="M416" s="268">
        <f>SUMIF('Trans Line Reconciliation'!$B$5:$B$84,$B416,'Trans Line Reconciliation'!$S$5:$S$84)</f>
        <v>0</v>
      </c>
      <c r="N416" s="255">
        <f t="shared" si="36"/>
        <v>0</v>
      </c>
      <c r="O416" s="252" t="s">
        <v>2267</v>
      </c>
      <c r="P416" s="252"/>
      <c r="Q416" s="258">
        <f>SUMIF('Antelope Bailey Split BA'!$B$7:$B$29,B416,'Antelope Bailey Split BA'!$C$7:$C$29)</f>
        <v>0</v>
      </c>
      <c r="R416" s="258" t="str">
        <f>IF(AND(Q416=1,'Plant Total by Account'!$J$1=2),"EKWRA","")</f>
        <v/>
      </c>
    </row>
    <row r="417" spans="1:18" ht="12.75" customHeight="1" x14ac:dyDescent="0.2">
      <c r="A417" s="249" t="s">
        <v>1331</v>
      </c>
      <c r="B417" s="252" t="s">
        <v>2232</v>
      </c>
      <c r="C417" s="252" t="s">
        <v>3349</v>
      </c>
      <c r="D417" s="253">
        <v>2956983.22</v>
      </c>
      <c r="E417" s="253">
        <v>0</v>
      </c>
      <c r="F417" s="253">
        <v>0</v>
      </c>
      <c r="G417" s="546">
        <f t="shared" si="35"/>
        <v>2956983.22</v>
      </c>
      <c r="H417" s="254">
        <f>SUMIF('Trans Line Reconciliation'!$B$5:$B$84,$B417,'Trans Line Reconciliation'!$N$5:$N$84)</f>
        <v>2956983.2199999997</v>
      </c>
      <c r="I417" s="268">
        <f>SUMIF('Trans Line Reconciliation'!$B$5:$B$84,$B417,'Trans Line Reconciliation'!$O$5:$O$84)</f>
        <v>0</v>
      </c>
      <c r="J417" s="268">
        <f>SUMIF('Trans Line Reconciliation'!$B$5:$B$84,$B417,'Trans Line Reconciliation'!$P$5:$P$84)</f>
        <v>0</v>
      </c>
      <c r="K417" s="254">
        <f>SUMIF('Trans Line Reconciliation'!$B$5:$B$84,$B417,'Trans Line Reconciliation'!$Q$5:$Q$84)</f>
        <v>0</v>
      </c>
      <c r="L417" s="268">
        <f>SUMIF('Trans Line Reconciliation'!$B$5:$B$84,$B417,'Trans Line Reconciliation'!$R$5:$R$84)</f>
        <v>0</v>
      </c>
      <c r="M417" s="268">
        <f>SUMIF('Trans Line Reconciliation'!$B$5:$B$84,$B417,'Trans Line Reconciliation'!$S$5:$S$84)</f>
        <v>0</v>
      </c>
      <c r="N417" s="255">
        <f t="shared" si="36"/>
        <v>0</v>
      </c>
      <c r="O417" s="252" t="s">
        <v>2267</v>
      </c>
      <c r="P417" s="252"/>
      <c r="Q417" s="258">
        <f>SUMIF('Antelope Bailey Split BA'!$B$7:$B$29,B417,'Antelope Bailey Split BA'!$C$7:$C$29)</f>
        <v>0</v>
      </c>
      <c r="R417" s="258" t="str">
        <f>IF(AND(Q417=1,'Plant Total by Account'!$J$1=2),"EKWRA","")</f>
        <v/>
      </c>
    </row>
    <row r="418" spans="1:18" ht="12.75" customHeight="1" x14ac:dyDescent="0.2">
      <c r="A418" s="249" t="s">
        <v>1332</v>
      </c>
      <c r="B418" s="252" t="s">
        <v>2233</v>
      </c>
      <c r="C418" s="252" t="s">
        <v>3350</v>
      </c>
      <c r="D418" s="253">
        <v>12019807.719999999</v>
      </c>
      <c r="E418" s="253">
        <v>0</v>
      </c>
      <c r="F418" s="253">
        <v>0</v>
      </c>
      <c r="G418" s="546">
        <f t="shared" si="35"/>
        <v>12019807.719999999</v>
      </c>
      <c r="H418" s="254">
        <f>SUMIF('Trans Line Reconciliation'!$B$5:$B$84,$B418,'Trans Line Reconciliation'!$N$5:$N$84)</f>
        <v>12025290.050000001</v>
      </c>
      <c r="I418" s="268">
        <f>SUMIF('Trans Line Reconciliation'!$B$5:$B$84,$B418,'Trans Line Reconciliation'!$O$5:$O$84)</f>
        <v>0</v>
      </c>
      <c r="J418" s="268">
        <f>SUMIF('Trans Line Reconciliation'!$B$5:$B$84,$B418,'Trans Line Reconciliation'!$P$5:$P$84)</f>
        <v>0</v>
      </c>
      <c r="K418" s="254">
        <f>SUMIF('Trans Line Reconciliation'!$B$5:$B$84,$B418,'Trans Line Reconciliation'!$Q$5:$Q$84)</f>
        <v>-5482.3300000019372</v>
      </c>
      <c r="L418" s="268">
        <f>SUMIF('Trans Line Reconciliation'!$B$5:$B$84,$B418,'Trans Line Reconciliation'!$R$5:$R$84)</f>
        <v>0</v>
      </c>
      <c r="M418" s="268">
        <f>SUMIF('Trans Line Reconciliation'!$B$5:$B$84,$B418,'Trans Line Reconciliation'!$S$5:$S$84)</f>
        <v>0</v>
      </c>
      <c r="N418" s="255">
        <f t="shared" si="36"/>
        <v>0</v>
      </c>
      <c r="O418" s="252" t="s">
        <v>2267</v>
      </c>
      <c r="P418" s="252"/>
      <c r="Q418" s="258">
        <f>SUMIF('Antelope Bailey Split BA'!$B$7:$B$29,B418,'Antelope Bailey Split BA'!$C$7:$C$29)</f>
        <v>0</v>
      </c>
      <c r="R418" s="258" t="str">
        <f>IF(AND(Q418=1,'Plant Total by Account'!$J$1=2),"EKWRA","")</f>
        <v/>
      </c>
    </row>
    <row r="419" spans="1:18" ht="12.75" customHeight="1" x14ac:dyDescent="0.2">
      <c r="A419" s="249" t="s">
        <v>1319</v>
      </c>
      <c r="B419" s="252" t="s">
        <v>1100</v>
      </c>
      <c r="C419" s="252" t="s">
        <v>3350</v>
      </c>
      <c r="D419" s="253">
        <v>105605.40000000001</v>
      </c>
      <c r="E419" s="253">
        <v>18610.489999999998</v>
      </c>
      <c r="F419" s="253">
        <v>0</v>
      </c>
      <c r="G419" s="546">
        <f t="shared" si="35"/>
        <v>124215.89000000001</v>
      </c>
      <c r="H419" s="254">
        <f>SUMIF('Trans Line Reconciliation'!$B$5:$B$84,$B419,'Trans Line Reconciliation'!$N$5:$N$84)</f>
        <v>105605.40000000001</v>
      </c>
      <c r="I419" s="268">
        <f>SUMIF('Trans Line Reconciliation'!$B$5:$B$84,$B419,'Trans Line Reconciliation'!$O$5:$O$84)</f>
        <v>18610.490000000002</v>
      </c>
      <c r="J419" s="268">
        <f>SUMIF('Trans Line Reconciliation'!$B$5:$B$84,$B419,'Trans Line Reconciliation'!$P$5:$P$84)</f>
        <v>0</v>
      </c>
      <c r="K419" s="254">
        <f>SUMIF('Trans Line Reconciliation'!$B$5:$B$84,$B419,'Trans Line Reconciliation'!$Q$5:$Q$84)</f>
        <v>0</v>
      </c>
      <c r="L419" s="268">
        <f>SUMIF('Trans Line Reconciliation'!$B$5:$B$84,$B419,'Trans Line Reconciliation'!$R$5:$R$84)</f>
        <v>0</v>
      </c>
      <c r="M419" s="268">
        <f>SUMIF('Trans Line Reconciliation'!$B$5:$B$84,$B419,'Trans Line Reconciliation'!$S$5:$S$84)</f>
        <v>0</v>
      </c>
      <c r="N419" s="255">
        <f t="shared" si="36"/>
        <v>0</v>
      </c>
      <c r="O419" s="252" t="s">
        <v>2267</v>
      </c>
      <c r="P419" s="252"/>
      <c r="Q419" s="258">
        <f>SUMIF('Antelope Bailey Split BA'!$B$7:$B$29,B419,'Antelope Bailey Split BA'!$C$7:$C$29)</f>
        <v>0</v>
      </c>
      <c r="R419" s="258" t="str">
        <f>IF(AND(Q419=1,'Plant Total by Account'!$J$1=2),"EKWRA","")</f>
        <v/>
      </c>
    </row>
    <row r="420" spans="1:18" ht="12.75" customHeight="1" x14ac:dyDescent="0.2">
      <c r="A420" s="249" t="s">
        <v>521</v>
      </c>
      <c r="B420" s="252" t="s">
        <v>2234</v>
      </c>
      <c r="C420" s="252"/>
      <c r="D420" s="253">
        <v>498252.05000000005</v>
      </c>
      <c r="E420" s="253">
        <v>0</v>
      </c>
      <c r="F420" s="253">
        <v>0</v>
      </c>
      <c r="G420" s="546">
        <f t="shared" si="35"/>
        <v>498252.05000000005</v>
      </c>
      <c r="H420" s="254">
        <f>SUMIF('Trans Line Reconciliation'!$B$5:$B$84,$B420,'Trans Line Reconciliation'!$N$5:$N$84)</f>
        <v>0</v>
      </c>
      <c r="I420" s="268">
        <f>SUMIF('Trans Line Reconciliation'!$B$5:$B$84,$B420,'Trans Line Reconciliation'!$O$5:$O$84)</f>
        <v>0</v>
      </c>
      <c r="J420" s="268">
        <f>SUMIF('Trans Line Reconciliation'!$B$5:$B$84,$B420,'Trans Line Reconciliation'!$P$5:$P$84)</f>
        <v>0</v>
      </c>
      <c r="K420" s="254">
        <f>SUMIF('Trans Line Reconciliation'!$B$5:$B$84,$B420,'Trans Line Reconciliation'!$Q$5:$Q$84)</f>
        <v>498252.05000000005</v>
      </c>
      <c r="L420" s="268">
        <f>SUMIF('Trans Line Reconciliation'!$B$5:$B$84,$B420,'Trans Line Reconciliation'!$R$5:$R$84)</f>
        <v>0</v>
      </c>
      <c r="M420" s="268">
        <f>SUMIF('Trans Line Reconciliation'!$B$5:$B$84,$B420,'Trans Line Reconciliation'!$S$5:$S$84)</f>
        <v>0</v>
      </c>
      <c r="N420" s="255">
        <f t="shared" si="36"/>
        <v>0</v>
      </c>
      <c r="O420" s="252" t="s">
        <v>2267</v>
      </c>
      <c r="P420" s="252"/>
      <c r="Q420" s="258">
        <f>SUMIF('Antelope Bailey Split BA'!$B$7:$B$29,B420,'Antelope Bailey Split BA'!$C$7:$C$29)</f>
        <v>0</v>
      </c>
      <c r="R420" s="258" t="str">
        <f>IF(AND(Q420=1,'Plant Total by Account'!$J$1=2),"EKWRA","")</f>
        <v/>
      </c>
    </row>
    <row r="421" spans="1:18" ht="12.75" customHeight="1" x14ac:dyDescent="0.2">
      <c r="A421" s="249" t="s">
        <v>1333</v>
      </c>
      <c r="B421" s="252" t="s">
        <v>2235</v>
      </c>
      <c r="C421" s="252" t="s">
        <v>3350</v>
      </c>
      <c r="D421" s="253">
        <v>9034.39</v>
      </c>
      <c r="E421" s="253">
        <v>0</v>
      </c>
      <c r="F421" s="253">
        <v>0</v>
      </c>
      <c r="G421" s="546">
        <f t="shared" si="35"/>
        <v>9034.39</v>
      </c>
      <c r="H421" s="254">
        <f>SUMIF('Trans Line Reconciliation'!$B$5:$B$84,$B421,'Trans Line Reconciliation'!$N$5:$N$84)</f>
        <v>9034.39</v>
      </c>
      <c r="I421" s="268">
        <f>SUMIF('Trans Line Reconciliation'!$B$5:$B$84,$B421,'Trans Line Reconciliation'!$O$5:$O$84)</f>
        <v>0</v>
      </c>
      <c r="J421" s="268">
        <f>SUMIF('Trans Line Reconciliation'!$B$5:$B$84,$B421,'Trans Line Reconciliation'!$P$5:$P$84)</f>
        <v>0</v>
      </c>
      <c r="K421" s="254">
        <f>SUMIF('Trans Line Reconciliation'!$B$5:$B$84,$B421,'Trans Line Reconciliation'!$Q$5:$Q$84)</f>
        <v>0</v>
      </c>
      <c r="L421" s="268">
        <f>SUMIF('Trans Line Reconciliation'!$B$5:$B$84,$B421,'Trans Line Reconciliation'!$R$5:$R$84)</f>
        <v>0</v>
      </c>
      <c r="M421" s="268">
        <f>SUMIF('Trans Line Reconciliation'!$B$5:$B$84,$B421,'Trans Line Reconciliation'!$S$5:$S$84)</f>
        <v>0</v>
      </c>
      <c r="N421" s="255">
        <f t="shared" si="36"/>
        <v>0</v>
      </c>
      <c r="O421" s="252" t="s">
        <v>2267</v>
      </c>
      <c r="P421" s="252"/>
      <c r="Q421" s="258">
        <f>SUMIF('Antelope Bailey Split BA'!$B$7:$B$29,B421,'Antelope Bailey Split BA'!$C$7:$C$29)</f>
        <v>0</v>
      </c>
      <c r="R421" s="258" t="str">
        <f>IF(AND(Q421=1,'Plant Total by Account'!$J$1=2),"EKWRA","")</f>
        <v/>
      </c>
    </row>
    <row r="422" spans="1:18" ht="12.75" customHeight="1" x14ac:dyDescent="0.2">
      <c r="A422" s="249" t="s">
        <v>522</v>
      </c>
      <c r="B422" s="252" t="s">
        <v>2236</v>
      </c>
      <c r="C422" s="252" t="s">
        <v>3350</v>
      </c>
      <c r="D422" s="253">
        <v>4331.1900000000005</v>
      </c>
      <c r="E422" s="253">
        <v>0</v>
      </c>
      <c r="F422" s="253">
        <v>0</v>
      </c>
      <c r="G422" s="546">
        <f t="shared" si="35"/>
        <v>4331.1900000000005</v>
      </c>
      <c r="H422" s="254">
        <f>SUMIF('Trans Line Reconciliation'!$B$5:$B$84,$B422,'Trans Line Reconciliation'!$N$5:$N$84)</f>
        <v>0</v>
      </c>
      <c r="I422" s="268">
        <f>SUMIF('Trans Line Reconciliation'!$B$5:$B$84,$B422,'Trans Line Reconciliation'!$O$5:$O$84)</f>
        <v>0</v>
      </c>
      <c r="J422" s="268">
        <f>SUMIF('Trans Line Reconciliation'!$B$5:$B$84,$B422,'Trans Line Reconciliation'!$P$5:$P$84)</f>
        <v>0</v>
      </c>
      <c r="K422" s="254">
        <f>SUMIF('Trans Line Reconciliation'!$B$5:$B$84,$B422,'Trans Line Reconciliation'!$Q$5:$Q$84)</f>
        <v>4331.1900000000005</v>
      </c>
      <c r="L422" s="268">
        <f>SUMIF('Trans Line Reconciliation'!$B$5:$B$84,$B422,'Trans Line Reconciliation'!$R$5:$R$84)</f>
        <v>0</v>
      </c>
      <c r="M422" s="268">
        <f>SUMIF('Trans Line Reconciliation'!$B$5:$B$84,$B422,'Trans Line Reconciliation'!$S$5:$S$84)</f>
        <v>0</v>
      </c>
      <c r="N422" s="255">
        <f t="shared" si="36"/>
        <v>0</v>
      </c>
      <c r="O422" s="252" t="s">
        <v>2267</v>
      </c>
      <c r="P422" s="252"/>
      <c r="Q422" s="258">
        <f>SUMIF('Antelope Bailey Split BA'!$B$7:$B$29,B422,'Antelope Bailey Split BA'!$C$7:$C$29)</f>
        <v>0</v>
      </c>
      <c r="R422" s="258" t="str">
        <f>IF(AND(Q422=1,'Plant Total by Account'!$J$1=2),"EKWRA","")</f>
        <v/>
      </c>
    </row>
    <row r="423" spans="1:18" ht="12.75" customHeight="1" x14ac:dyDescent="0.2">
      <c r="A423" s="249" t="s">
        <v>2340</v>
      </c>
      <c r="B423" s="252" t="s">
        <v>1101</v>
      </c>
      <c r="C423" s="252" t="s">
        <v>3350</v>
      </c>
      <c r="D423" s="253">
        <v>3565382.1700000009</v>
      </c>
      <c r="E423" s="253">
        <v>0</v>
      </c>
      <c r="F423" s="253">
        <v>2701.36</v>
      </c>
      <c r="G423" s="546">
        <f t="shared" si="35"/>
        <v>3568083.5300000007</v>
      </c>
      <c r="H423" s="254">
        <f>SUMIF('Trans Line Reconciliation'!$B$5:$B$84,$B423,'Trans Line Reconciliation'!$N$5:$N$84)</f>
        <v>3452749.4022800648</v>
      </c>
      <c r="I423" s="268">
        <f>SUMIF('Trans Line Reconciliation'!$B$5:$B$84,$B423,'Trans Line Reconciliation'!$O$5:$O$84)</f>
        <v>0</v>
      </c>
      <c r="J423" s="268">
        <f>SUMIF('Trans Line Reconciliation'!$B$5:$B$84,$B423,'Trans Line Reconciliation'!$P$5:$P$84)</f>
        <v>2616.0222609020552</v>
      </c>
      <c r="K423" s="254">
        <f>SUMIF('Trans Line Reconciliation'!$B$5:$B$84,$B423,'Trans Line Reconciliation'!$Q$5:$Q$84)</f>
        <v>112632.76771993609</v>
      </c>
      <c r="L423" s="268">
        <f>SUMIF('Trans Line Reconciliation'!$B$5:$B$84,$B423,'Trans Line Reconciliation'!$R$5:$R$84)</f>
        <v>0</v>
      </c>
      <c r="M423" s="268">
        <f>SUMIF('Trans Line Reconciliation'!$B$5:$B$84,$B423,'Trans Line Reconciliation'!$S$5:$S$84)</f>
        <v>85.337739097944905</v>
      </c>
      <c r="N423" s="255">
        <f t="shared" si="36"/>
        <v>0</v>
      </c>
      <c r="O423" s="252" t="s">
        <v>2267</v>
      </c>
      <c r="P423" s="252"/>
      <c r="Q423" s="258">
        <f>SUMIF('Antelope Bailey Split BA'!$B$7:$B$29,B423,'Antelope Bailey Split BA'!$C$7:$C$29)</f>
        <v>0</v>
      </c>
      <c r="R423" s="258" t="str">
        <f>IF(AND(Q423=1,'Plant Total by Account'!$J$1=2),"EKWRA","")</f>
        <v/>
      </c>
    </row>
    <row r="424" spans="1:18" ht="12.75" customHeight="1" x14ac:dyDescent="0.2">
      <c r="A424" s="249" t="s">
        <v>1334</v>
      </c>
      <c r="B424" s="252" t="s">
        <v>2237</v>
      </c>
      <c r="C424" s="252" t="s">
        <v>3349</v>
      </c>
      <c r="D424" s="253">
        <v>12533939</v>
      </c>
      <c r="E424" s="253">
        <v>0</v>
      </c>
      <c r="F424" s="253">
        <v>0</v>
      </c>
      <c r="G424" s="546">
        <f t="shared" si="35"/>
        <v>12533939</v>
      </c>
      <c r="H424" s="254">
        <f>SUMIF('Trans Line Reconciliation'!$B$5:$B$84,$B424,'Trans Line Reconciliation'!$N$5:$N$84)</f>
        <v>12546475.5</v>
      </c>
      <c r="I424" s="268">
        <f>SUMIF('Trans Line Reconciliation'!$B$5:$B$84,$B424,'Trans Line Reconciliation'!$O$5:$O$84)</f>
        <v>0</v>
      </c>
      <c r="J424" s="268">
        <f>SUMIF('Trans Line Reconciliation'!$B$5:$B$84,$B424,'Trans Line Reconciliation'!$P$5:$P$84)</f>
        <v>0</v>
      </c>
      <c r="K424" s="254">
        <f>SUMIF('Trans Line Reconciliation'!$B$5:$B$84,$B424,'Trans Line Reconciliation'!$Q$5:$Q$84)</f>
        <v>-12536.5</v>
      </c>
      <c r="L424" s="268">
        <f>SUMIF('Trans Line Reconciliation'!$B$5:$B$84,$B424,'Trans Line Reconciliation'!$R$5:$R$84)</f>
        <v>0</v>
      </c>
      <c r="M424" s="268">
        <f>SUMIF('Trans Line Reconciliation'!$B$5:$B$84,$B424,'Trans Line Reconciliation'!$S$5:$S$84)</f>
        <v>0</v>
      </c>
      <c r="N424" s="255">
        <f t="shared" si="36"/>
        <v>0</v>
      </c>
      <c r="O424" s="252" t="s">
        <v>2267</v>
      </c>
      <c r="P424" s="252"/>
      <c r="Q424" s="258">
        <f>SUMIF('Antelope Bailey Split BA'!$B$7:$B$29,B424,'Antelope Bailey Split BA'!$C$7:$C$29)</f>
        <v>0</v>
      </c>
      <c r="R424" s="258" t="str">
        <f>IF(AND(Q424=1,'Plant Total by Account'!$J$1=2),"EKWRA","")</f>
        <v/>
      </c>
    </row>
    <row r="425" spans="1:18" ht="12.75" customHeight="1" x14ac:dyDescent="0.2">
      <c r="A425" s="249" t="s">
        <v>1334</v>
      </c>
      <c r="B425" s="252" t="s">
        <v>2238</v>
      </c>
      <c r="C425" s="252" t="s">
        <v>3349</v>
      </c>
      <c r="D425" s="253">
        <v>1193710.3500000001</v>
      </c>
      <c r="E425" s="253">
        <v>0</v>
      </c>
      <c r="F425" s="253">
        <v>0</v>
      </c>
      <c r="G425" s="546">
        <f t="shared" si="35"/>
        <v>1193710.3500000001</v>
      </c>
      <c r="H425" s="254">
        <f>SUMIF('Trans Line Reconciliation'!$B$5:$B$84,$B425,'Trans Line Reconciliation'!$N$5:$N$84)</f>
        <v>1194334.76</v>
      </c>
      <c r="I425" s="268">
        <f>SUMIF('Trans Line Reconciliation'!$B$5:$B$84,$B425,'Trans Line Reconciliation'!$O$5:$O$84)</f>
        <v>0</v>
      </c>
      <c r="J425" s="268">
        <f>SUMIF('Trans Line Reconciliation'!$B$5:$B$84,$B425,'Trans Line Reconciliation'!$P$5:$P$84)</f>
        <v>0</v>
      </c>
      <c r="K425" s="254">
        <f>SUMIF('Trans Line Reconciliation'!$B$5:$B$84,$B425,'Trans Line Reconciliation'!$Q$5:$Q$84)</f>
        <v>-624.40999999991618</v>
      </c>
      <c r="L425" s="268">
        <f>SUMIF('Trans Line Reconciliation'!$B$5:$B$84,$B425,'Trans Line Reconciliation'!$R$5:$R$84)</f>
        <v>0</v>
      </c>
      <c r="M425" s="268">
        <f>SUMIF('Trans Line Reconciliation'!$B$5:$B$84,$B425,'Trans Line Reconciliation'!$S$5:$S$84)</f>
        <v>0</v>
      </c>
      <c r="N425" s="255">
        <f t="shared" si="36"/>
        <v>0</v>
      </c>
      <c r="O425" s="252" t="s">
        <v>2267</v>
      </c>
      <c r="P425" s="252"/>
      <c r="Q425" s="258">
        <f>SUMIF('Antelope Bailey Split BA'!$B$7:$B$29,B425,'Antelope Bailey Split BA'!$C$7:$C$29)</f>
        <v>0</v>
      </c>
      <c r="R425" s="258" t="str">
        <f>IF(AND(Q425=1,'Plant Total by Account'!$J$1=2),"EKWRA","")</f>
        <v/>
      </c>
    </row>
    <row r="426" spans="1:18" ht="12.75" customHeight="1" x14ac:dyDescent="0.2">
      <c r="A426" s="249" t="s">
        <v>1335</v>
      </c>
      <c r="B426" s="252" t="s">
        <v>2239</v>
      </c>
      <c r="C426" s="252" t="s">
        <v>3349</v>
      </c>
      <c r="D426" s="253">
        <v>10444073.319999998</v>
      </c>
      <c r="E426" s="253">
        <v>0</v>
      </c>
      <c r="F426" s="253">
        <v>0</v>
      </c>
      <c r="G426" s="546">
        <f t="shared" si="35"/>
        <v>10444073.319999998</v>
      </c>
      <c r="H426" s="254">
        <f>SUMIF('Trans Line Reconciliation'!$B$5:$B$84,$B426,'Trans Line Reconciliation'!$N$5:$N$84)</f>
        <v>10444073.32</v>
      </c>
      <c r="I426" s="268">
        <f>SUMIF('Trans Line Reconciliation'!$B$5:$B$84,$B426,'Trans Line Reconciliation'!$O$5:$O$84)</f>
        <v>0</v>
      </c>
      <c r="J426" s="268">
        <f>SUMIF('Trans Line Reconciliation'!$B$5:$B$84,$B426,'Trans Line Reconciliation'!$P$5:$P$84)</f>
        <v>0</v>
      </c>
      <c r="K426" s="254">
        <f>SUMIF('Trans Line Reconciliation'!$B$5:$B$84,$B426,'Trans Line Reconciliation'!$Q$5:$Q$84)</f>
        <v>0</v>
      </c>
      <c r="L426" s="268">
        <f>SUMIF('Trans Line Reconciliation'!$B$5:$B$84,$B426,'Trans Line Reconciliation'!$R$5:$R$84)</f>
        <v>0</v>
      </c>
      <c r="M426" s="268">
        <f>SUMIF('Trans Line Reconciliation'!$B$5:$B$84,$B426,'Trans Line Reconciliation'!$S$5:$S$84)</f>
        <v>0</v>
      </c>
      <c r="N426" s="255">
        <f t="shared" si="36"/>
        <v>0</v>
      </c>
      <c r="O426" s="252" t="s">
        <v>2267</v>
      </c>
      <c r="P426" s="252"/>
      <c r="Q426" s="258">
        <f>SUMIF('Antelope Bailey Split BA'!$B$7:$B$29,B426,'Antelope Bailey Split BA'!$C$7:$C$29)</f>
        <v>0</v>
      </c>
      <c r="R426" s="258" t="str">
        <f>IF(AND(Q426=1,'Plant Total by Account'!$J$1=2),"EKWRA","")</f>
        <v/>
      </c>
    </row>
    <row r="427" spans="1:18" ht="12.75" customHeight="1" x14ac:dyDescent="0.2">
      <c r="A427" s="249" t="s">
        <v>2341</v>
      </c>
      <c r="B427" s="252" t="s">
        <v>1102</v>
      </c>
      <c r="C427" s="252" t="s">
        <v>3349</v>
      </c>
      <c r="D427" s="253">
        <v>2855826.2300000004</v>
      </c>
      <c r="E427" s="253">
        <v>8043.41</v>
      </c>
      <c r="F427" s="253">
        <v>0</v>
      </c>
      <c r="G427" s="546">
        <f t="shared" si="35"/>
        <v>2863869.6400000006</v>
      </c>
      <c r="H427" s="254">
        <f>SUMIF('Trans Line Reconciliation'!$B$5:$B$84,$B427,'Trans Line Reconciliation'!$N$5:$N$84)</f>
        <v>2858639.23</v>
      </c>
      <c r="I427" s="268">
        <f>SUMIF('Trans Line Reconciliation'!$B$5:$B$84,$B427,'Trans Line Reconciliation'!$O$5:$O$84)</f>
        <v>8043.4099999999989</v>
      </c>
      <c r="J427" s="268">
        <f>SUMIF('Trans Line Reconciliation'!$B$5:$B$84,$B427,'Trans Line Reconciliation'!$P$5:$P$84)</f>
        <v>0</v>
      </c>
      <c r="K427" s="254">
        <f>SUMIF('Trans Line Reconciliation'!$B$5:$B$84,$B427,'Trans Line Reconciliation'!$Q$5:$Q$84)</f>
        <v>-2812.9999999995343</v>
      </c>
      <c r="L427" s="268">
        <f>SUMIF('Trans Line Reconciliation'!$B$5:$B$84,$B427,'Trans Line Reconciliation'!$R$5:$R$84)</f>
        <v>9.0949470177292824E-13</v>
      </c>
      <c r="M427" s="268">
        <f>SUMIF('Trans Line Reconciliation'!$B$5:$B$84,$B427,'Trans Line Reconciliation'!$S$5:$S$84)</f>
        <v>0</v>
      </c>
      <c r="N427" s="255">
        <f t="shared" si="36"/>
        <v>0</v>
      </c>
      <c r="O427" s="252" t="s">
        <v>2267</v>
      </c>
      <c r="P427" s="252"/>
      <c r="Q427" s="258">
        <f>SUMIF('Antelope Bailey Split BA'!$B$7:$B$29,B427,'Antelope Bailey Split BA'!$C$7:$C$29)</f>
        <v>0</v>
      </c>
      <c r="R427" s="258" t="str">
        <f>IF(AND(Q427=1,'Plant Total by Account'!$J$1=2),"EKWRA","")</f>
        <v/>
      </c>
    </row>
    <row r="428" spans="1:18" ht="12.75" customHeight="1" x14ac:dyDescent="0.2">
      <c r="A428" s="249" t="s">
        <v>1336</v>
      </c>
      <c r="B428" s="252" t="s">
        <v>2240</v>
      </c>
      <c r="C428" s="252" t="s">
        <v>3350</v>
      </c>
      <c r="D428" s="253">
        <v>78247.819999999992</v>
      </c>
      <c r="E428" s="253">
        <v>0</v>
      </c>
      <c r="F428" s="253">
        <v>0</v>
      </c>
      <c r="G428" s="546">
        <f t="shared" si="35"/>
        <v>78247.819999999992</v>
      </c>
      <c r="H428" s="254">
        <f>SUMIF('Trans Line Reconciliation'!$B$5:$B$84,$B428,'Trans Line Reconciliation'!$N$5:$N$84)</f>
        <v>78247.820000000007</v>
      </c>
      <c r="I428" s="268">
        <f>SUMIF('Trans Line Reconciliation'!$B$5:$B$84,$B428,'Trans Line Reconciliation'!$O$5:$O$84)</f>
        <v>0</v>
      </c>
      <c r="J428" s="268">
        <f>SUMIF('Trans Line Reconciliation'!$B$5:$B$84,$B428,'Trans Line Reconciliation'!$P$5:$P$84)</f>
        <v>0</v>
      </c>
      <c r="K428" s="254">
        <f>SUMIF('Trans Line Reconciliation'!$B$5:$B$84,$B428,'Trans Line Reconciliation'!$Q$5:$Q$84)</f>
        <v>0</v>
      </c>
      <c r="L428" s="268">
        <f>SUMIF('Trans Line Reconciliation'!$B$5:$B$84,$B428,'Trans Line Reconciliation'!$R$5:$R$84)</f>
        <v>0</v>
      </c>
      <c r="M428" s="268">
        <f>SUMIF('Trans Line Reconciliation'!$B$5:$B$84,$B428,'Trans Line Reconciliation'!$S$5:$S$84)</f>
        <v>0</v>
      </c>
      <c r="N428" s="255">
        <f t="shared" si="36"/>
        <v>0</v>
      </c>
      <c r="O428" s="252" t="s">
        <v>2267</v>
      </c>
      <c r="P428" s="252"/>
      <c r="Q428" s="258">
        <f>SUMIF('Antelope Bailey Split BA'!$B$7:$B$29,B428,'Antelope Bailey Split BA'!$C$7:$C$29)</f>
        <v>0</v>
      </c>
      <c r="R428" s="258" t="str">
        <f>IF(AND(Q428=1,'Plant Total by Account'!$J$1=2),"EKWRA","")</f>
        <v/>
      </c>
    </row>
    <row r="429" spans="1:18" ht="12.75" customHeight="1" x14ac:dyDescent="0.2">
      <c r="A429" s="249" t="s">
        <v>1451</v>
      </c>
      <c r="B429" s="252" t="s">
        <v>1103</v>
      </c>
      <c r="C429" s="252" t="s">
        <v>3353</v>
      </c>
      <c r="D429" s="253">
        <v>0</v>
      </c>
      <c r="E429" s="253">
        <v>465309.77000000008</v>
      </c>
      <c r="F429" s="253">
        <v>0</v>
      </c>
      <c r="G429" s="546">
        <f t="shared" si="35"/>
        <v>465309.77000000008</v>
      </c>
      <c r="H429" s="254">
        <f>SUMIF('Trans Line Reconciliation'!$B$5:$B$84,$B429,'Trans Line Reconciliation'!$N$5:$N$84)</f>
        <v>0</v>
      </c>
      <c r="I429" s="268">
        <f>SUMIF('Trans Line Reconciliation'!$B$5:$B$84,$B429,'Trans Line Reconciliation'!$O$5:$O$84)</f>
        <v>0</v>
      </c>
      <c r="J429" s="268">
        <f>SUMIF('Trans Line Reconciliation'!$B$5:$B$84,$B429,'Trans Line Reconciliation'!$P$5:$P$84)</f>
        <v>0</v>
      </c>
      <c r="K429" s="254">
        <f>SUMIF('Trans Line Reconciliation'!$B$5:$B$84,$B429,'Trans Line Reconciliation'!$Q$5:$Q$84)</f>
        <v>0</v>
      </c>
      <c r="L429" s="268">
        <f>SUMIF('Trans Line Reconciliation'!$B$5:$B$84,$B429,'Trans Line Reconciliation'!$R$5:$R$84)</f>
        <v>465309.77000000008</v>
      </c>
      <c r="M429" s="268">
        <f>SUMIF('Trans Line Reconciliation'!$B$5:$B$84,$B429,'Trans Line Reconciliation'!$S$5:$S$84)</f>
        <v>0</v>
      </c>
      <c r="N429" s="255">
        <f t="shared" si="36"/>
        <v>0</v>
      </c>
      <c r="O429" s="252" t="s">
        <v>2267</v>
      </c>
      <c r="P429" s="252"/>
      <c r="Q429" s="258">
        <f>SUMIF('Antelope Bailey Split BA'!$B$7:$B$29,B429,'Antelope Bailey Split BA'!$C$7:$C$29)</f>
        <v>0</v>
      </c>
      <c r="R429" s="258" t="str">
        <f>IF(AND(Q429=1,'Plant Total by Account'!$J$1=2),"EKWRA","")</f>
        <v/>
      </c>
    </row>
    <row r="430" spans="1:18" ht="12.75" customHeight="1" x14ac:dyDescent="0.2">
      <c r="A430" s="249" t="s">
        <v>1452</v>
      </c>
      <c r="B430" s="252" t="s">
        <v>2241</v>
      </c>
      <c r="C430" s="252" t="s">
        <v>3350</v>
      </c>
      <c r="D430" s="253">
        <v>0</v>
      </c>
      <c r="E430" s="253">
        <v>25798.080000000002</v>
      </c>
      <c r="F430" s="253">
        <v>0</v>
      </c>
      <c r="G430" s="546">
        <f t="shared" si="35"/>
        <v>25798.080000000002</v>
      </c>
      <c r="H430" s="254">
        <f>SUMIF('Trans Line Reconciliation'!$B$5:$B$84,$B430,'Trans Line Reconciliation'!$N$5:$N$84)</f>
        <v>0</v>
      </c>
      <c r="I430" s="268">
        <f>SUMIF('Trans Line Reconciliation'!$B$5:$B$84,$B430,'Trans Line Reconciliation'!$O$5:$O$84)</f>
        <v>0</v>
      </c>
      <c r="J430" s="268">
        <f>SUMIF('Trans Line Reconciliation'!$B$5:$B$84,$B430,'Trans Line Reconciliation'!$P$5:$P$84)</f>
        <v>0</v>
      </c>
      <c r="K430" s="254">
        <f>SUMIF('Trans Line Reconciliation'!$B$5:$B$84,$B430,'Trans Line Reconciliation'!$Q$5:$Q$84)</f>
        <v>0</v>
      </c>
      <c r="L430" s="268">
        <f>SUMIF('Trans Line Reconciliation'!$B$5:$B$84,$B430,'Trans Line Reconciliation'!$R$5:$R$84)</f>
        <v>25798.080000000002</v>
      </c>
      <c r="M430" s="268">
        <f>SUMIF('Trans Line Reconciliation'!$B$5:$B$84,$B430,'Trans Line Reconciliation'!$S$5:$S$84)</f>
        <v>0</v>
      </c>
      <c r="N430" s="255">
        <f t="shared" si="36"/>
        <v>0</v>
      </c>
      <c r="O430" s="252" t="s">
        <v>2267</v>
      </c>
      <c r="P430" s="252"/>
      <c r="Q430" s="258">
        <f>SUMIF('Antelope Bailey Split BA'!$B$7:$B$29,B430,'Antelope Bailey Split BA'!$C$7:$C$29)</f>
        <v>0</v>
      </c>
      <c r="R430" s="258" t="str">
        <f>IF(AND(Q430=1,'Plant Total by Account'!$J$1=2),"EKWRA","")</f>
        <v/>
      </c>
    </row>
    <row r="431" spans="1:18" ht="12.75" customHeight="1" x14ac:dyDescent="0.2">
      <c r="A431" s="249" t="s">
        <v>1777</v>
      </c>
      <c r="B431" s="252" t="s">
        <v>1105</v>
      </c>
      <c r="C431" s="252" t="s">
        <v>3350</v>
      </c>
      <c r="D431" s="253">
        <v>0</v>
      </c>
      <c r="E431" s="253">
        <v>23141.5</v>
      </c>
      <c r="F431" s="253">
        <v>0</v>
      </c>
      <c r="G431" s="546">
        <f t="shared" si="35"/>
        <v>23141.5</v>
      </c>
      <c r="H431" s="254">
        <f>SUMIF('Trans Line Reconciliation'!$B$5:$B$84,$B431,'Trans Line Reconciliation'!$N$5:$N$84)</f>
        <v>0</v>
      </c>
      <c r="I431" s="268">
        <f>SUMIF('Trans Line Reconciliation'!$B$5:$B$84,$B431,'Trans Line Reconciliation'!$O$5:$O$84)</f>
        <v>0</v>
      </c>
      <c r="J431" s="268">
        <f>SUMIF('Trans Line Reconciliation'!$B$5:$B$84,$B431,'Trans Line Reconciliation'!$P$5:$P$84)</f>
        <v>0</v>
      </c>
      <c r="K431" s="254">
        <f>SUMIF('Trans Line Reconciliation'!$B$5:$B$84,$B431,'Trans Line Reconciliation'!$Q$5:$Q$84)</f>
        <v>0</v>
      </c>
      <c r="L431" s="268">
        <f>SUMIF('Trans Line Reconciliation'!$B$5:$B$84,$B431,'Trans Line Reconciliation'!$R$5:$R$84)</f>
        <v>23141.5</v>
      </c>
      <c r="M431" s="268">
        <f>SUMIF('Trans Line Reconciliation'!$B$5:$B$84,$B431,'Trans Line Reconciliation'!$S$5:$S$84)</f>
        <v>0</v>
      </c>
      <c r="N431" s="255">
        <f t="shared" si="36"/>
        <v>0</v>
      </c>
      <c r="O431" s="252" t="s">
        <v>2267</v>
      </c>
      <c r="P431" s="252"/>
      <c r="Q431" s="258">
        <f>SUMIF('Antelope Bailey Split BA'!$B$7:$B$29,B431,'Antelope Bailey Split BA'!$C$7:$C$29)</f>
        <v>0</v>
      </c>
      <c r="R431" s="258" t="str">
        <f>IF(AND(Q431=1,'Plant Total by Account'!$J$1=2),"EKWRA","")</f>
        <v/>
      </c>
    </row>
    <row r="432" spans="1:18" ht="12.75" customHeight="1" x14ac:dyDescent="0.2">
      <c r="A432" s="249" t="s">
        <v>1453</v>
      </c>
      <c r="B432" s="252" t="s">
        <v>2242</v>
      </c>
      <c r="C432" s="252" t="s">
        <v>3350</v>
      </c>
      <c r="D432" s="253">
        <v>0</v>
      </c>
      <c r="E432" s="253">
        <v>5448.7300000000005</v>
      </c>
      <c r="F432" s="253">
        <v>0</v>
      </c>
      <c r="G432" s="546">
        <f t="shared" si="35"/>
        <v>5448.7300000000005</v>
      </c>
      <c r="H432" s="254">
        <f>SUMIF('Trans Line Reconciliation'!$B$5:$B$84,$B432,'Trans Line Reconciliation'!$N$5:$N$84)</f>
        <v>0</v>
      </c>
      <c r="I432" s="268">
        <f>SUMIF('Trans Line Reconciliation'!$B$5:$B$84,$B432,'Trans Line Reconciliation'!$O$5:$O$84)</f>
        <v>0</v>
      </c>
      <c r="J432" s="268">
        <f>SUMIF('Trans Line Reconciliation'!$B$5:$B$84,$B432,'Trans Line Reconciliation'!$P$5:$P$84)</f>
        <v>0</v>
      </c>
      <c r="K432" s="254">
        <f>SUMIF('Trans Line Reconciliation'!$B$5:$B$84,$B432,'Trans Line Reconciliation'!$Q$5:$Q$84)</f>
        <v>0</v>
      </c>
      <c r="L432" s="268">
        <f>SUMIF('Trans Line Reconciliation'!$B$5:$B$84,$B432,'Trans Line Reconciliation'!$R$5:$R$84)</f>
        <v>5448.7300000000005</v>
      </c>
      <c r="M432" s="268">
        <f>SUMIF('Trans Line Reconciliation'!$B$5:$B$84,$B432,'Trans Line Reconciliation'!$S$5:$S$84)</f>
        <v>0</v>
      </c>
      <c r="N432" s="255">
        <f t="shared" si="36"/>
        <v>0</v>
      </c>
      <c r="O432" s="252" t="s">
        <v>2267</v>
      </c>
      <c r="P432" s="252"/>
      <c r="Q432" s="258">
        <f>SUMIF('Antelope Bailey Split BA'!$B$7:$B$29,B432,'Antelope Bailey Split BA'!$C$7:$C$29)</f>
        <v>0</v>
      </c>
      <c r="R432" s="258" t="str">
        <f>IF(AND(Q432=1,'Plant Total by Account'!$J$1=2),"EKWRA","")</f>
        <v/>
      </c>
    </row>
    <row r="433" spans="1:18" ht="12.75" customHeight="1" x14ac:dyDescent="0.2">
      <c r="A433" s="249" t="s">
        <v>523</v>
      </c>
      <c r="B433" s="252" t="s">
        <v>2243</v>
      </c>
      <c r="C433" s="252" t="s">
        <v>3350</v>
      </c>
      <c r="D433" s="253">
        <v>0</v>
      </c>
      <c r="E433" s="253">
        <v>0</v>
      </c>
      <c r="F433" s="253">
        <v>0</v>
      </c>
      <c r="G433" s="546">
        <f t="shared" si="35"/>
        <v>0</v>
      </c>
      <c r="H433" s="254">
        <f>SUMIF('Trans Line Reconciliation'!$B$5:$B$84,$B433,'Trans Line Reconciliation'!$N$5:$N$84)</f>
        <v>0</v>
      </c>
      <c r="I433" s="268">
        <f>SUMIF('Trans Line Reconciliation'!$B$5:$B$84,$B433,'Trans Line Reconciliation'!$O$5:$O$84)</f>
        <v>0</v>
      </c>
      <c r="J433" s="268">
        <f>SUMIF('Trans Line Reconciliation'!$B$5:$B$84,$B433,'Trans Line Reconciliation'!$P$5:$P$84)</f>
        <v>0</v>
      </c>
      <c r="K433" s="254">
        <f>SUMIF('Trans Line Reconciliation'!$B$5:$B$84,$B433,'Trans Line Reconciliation'!$Q$5:$Q$84)</f>
        <v>0</v>
      </c>
      <c r="L433" s="268">
        <f>SUMIF('Trans Line Reconciliation'!$B$5:$B$84,$B433,'Trans Line Reconciliation'!$R$5:$R$84)</f>
        <v>0</v>
      </c>
      <c r="M433" s="268">
        <f>SUMIF('Trans Line Reconciliation'!$B$5:$B$84,$B433,'Trans Line Reconciliation'!$S$5:$S$84)</f>
        <v>0</v>
      </c>
      <c r="N433" s="255">
        <f t="shared" si="36"/>
        <v>0</v>
      </c>
      <c r="O433" s="252" t="s">
        <v>2267</v>
      </c>
      <c r="P433" s="252"/>
      <c r="Q433" s="258">
        <f>SUMIF('Antelope Bailey Split BA'!$B$7:$B$29,B433,'Antelope Bailey Split BA'!$C$7:$C$29)</f>
        <v>0</v>
      </c>
      <c r="R433" s="258" t="str">
        <f>IF(AND(Q433=1,'Plant Total by Account'!$J$1=2),"EKWRA","")</f>
        <v/>
      </c>
    </row>
    <row r="434" spans="1:18" ht="12.75" customHeight="1" x14ac:dyDescent="0.2">
      <c r="A434" s="249" t="s">
        <v>2342</v>
      </c>
      <c r="B434" s="252" t="s">
        <v>2244</v>
      </c>
      <c r="C434" s="252" t="s">
        <v>3350</v>
      </c>
      <c r="D434" s="253">
        <v>0</v>
      </c>
      <c r="E434" s="253">
        <v>0</v>
      </c>
      <c r="F434" s="253">
        <v>0</v>
      </c>
      <c r="G434" s="546">
        <f t="shared" si="35"/>
        <v>0</v>
      </c>
      <c r="H434" s="254">
        <f>SUMIF('Trans Line Reconciliation'!$B$5:$B$84,$B434,'Trans Line Reconciliation'!$N$5:$N$84)</f>
        <v>0</v>
      </c>
      <c r="I434" s="268">
        <f>SUMIF('Trans Line Reconciliation'!$B$5:$B$84,$B434,'Trans Line Reconciliation'!$O$5:$O$84)</f>
        <v>0</v>
      </c>
      <c r="J434" s="268">
        <f>SUMIF('Trans Line Reconciliation'!$B$5:$B$84,$B434,'Trans Line Reconciliation'!$P$5:$P$84)</f>
        <v>0</v>
      </c>
      <c r="K434" s="254">
        <f>SUMIF('Trans Line Reconciliation'!$B$5:$B$84,$B434,'Trans Line Reconciliation'!$Q$5:$Q$84)</f>
        <v>0</v>
      </c>
      <c r="L434" s="268">
        <f>SUMIF('Trans Line Reconciliation'!$B$5:$B$84,$B434,'Trans Line Reconciliation'!$R$5:$R$84)</f>
        <v>0</v>
      </c>
      <c r="M434" s="268">
        <f>SUMIF('Trans Line Reconciliation'!$B$5:$B$84,$B434,'Trans Line Reconciliation'!$S$5:$S$84)</f>
        <v>0</v>
      </c>
      <c r="N434" s="255">
        <f t="shared" si="36"/>
        <v>0</v>
      </c>
      <c r="O434" s="252" t="s">
        <v>2267</v>
      </c>
      <c r="P434" s="252"/>
      <c r="Q434" s="258">
        <f>SUMIF('Antelope Bailey Split BA'!$B$7:$B$29,B434,'Antelope Bailey Split BA'!$C$7:$C$29)</f>
        <v>0</v>
      </c>
      <c r="R434" s="258" t="str">
        <f>IF(AND(Q434=1,'Plant Total by Account'!$J$1=2),"EKWRA","")</f>
        <v/>
      </c>
    </row>
    <row r="435" spans="1:18" ht="12.75" customHeight="1" x14ac:dyDescent="0.2">
      <c r="A435" s="249" t="s">
        <v>1454</v>
      </c>
      <c r="B435" s="252" t="s">
        <v>2245</v>
      </c>
      <c r="C435" s="252" t="s">
        <v>3350</v>
      </c>
      <c r="D435" s="253">
        <v>0</v>
      </c>
      <c r="E435" s="253">
        <v>0</v>
      </c>
      <c r="F435" s="253">
        <v>0</v>
      </c>
      <c r="G435" s="546">
        <f t="shared" si="35"/>
        <v>0</v>
      </c>
      <c r="H435" s="254">
        <f>SUMIF('Trans Line Reconciliation'!$B$5:$B$84,$B435,'Trans Line Reconciliation'!$N$5:$N$84)</f>
        <v>0</v>
      </c>
      <c r="I435" s="268">
        <f>SUMIF('Trans Line Reconciliation'!$B$5:$B$84,$B435,'Trans Line Reconciliation'!$O$5:$O$84)</f>
        <v>0</v>
      </c>
      <c r="J435" s="268">
        <f>SUMIF('Trans Line Reconciliation'!$B$5:$B$84,$B435,'Trans Line Reconciliation'!$P$5:$P$84)</f>
        <v>0</v>
      </c>
      <c r="K435" s="254">
        <f>SUMIF('Trans Line Reconciliation'!$B$5:$B$84,$B435,'Trans Line Reconciliation'!$Q$5:$Q$84)</f>
        <v>0</v>
      </c>
      <c r="L435" s="268">
        <f>SUMIF('Trans Line Reconciliation'!$B$5:$B$84,$B435,'Trans Line Reconciliation'!$R$5:$R$84)</f>
        <v>0</v>
      </c>
      <c r="M435" s="268">
        <f>SUMIF('Trans Line Reconciliation'!$B$5:$B$84,$B435,'Trans Line Reconciliation'!$S$5:$S$84)</f>
        <v>0</v>
      </c>
      <c r="N435" s="255">
        <f t="shared" si="36"/>
        <v>0</v>
      </c>
      <c r="O435" s="252" t="s">
        <v>2267</v>
      </c>
      <c r="P435" s="252"/>
      <c r="Q435" s="258">
        <f>SUMIF('Antelope Bailey Split BA'!$B$7:$B$29,B435,'Antelope Bailey Split BA'!$C$7:$C$29)</f>
        <v>0</v>
      </c>
      <c r="R435" s="258" t="str">
        <f>IF(AND(Q435=1,'Plant Total by Account'!$J$1=2),"EKWRA","")</f>
        <v/>
      </c>
    </row>
    <row r="436" spans="1:18" ht="12.75" customHeight="1" x14ac:dyDescent="0.2">
      <c r="A436" s="249" t="s">
        <v>524</v>
      </c>
      <c r="B436" s="252" t="s">
        <v>2246</v>
      </c>
      <c r="C436" s="252" t="s">
        <v>3350</v>
      </c>
      <c r="D436" s="253">
        <v>0</v>
      </c>
      <c r="E436" s="253">
        <v>0</v>
      </c>
      <c r="F436" s="253">
        <v>0</v>
      </c>
      <c r="G436" s="546">
        <f t="shared" si="35"/>
        <v>0</v>
      </c>
      <c r="H436" s="254">
        <f>SUMIF('Trans Line Reconciliation'!$B$5:$B$84,$B436,'Trans Line Reconciliation'!$N$5:$N$84)</f>
        <v>0</v>
      </c>
      <c r="I436" s="268">
        <f>SUMIF('Trans Line Reconciliation'!$B$5:$B$84,$B436,'Trans Line Reconciliation'!$O$5:$O$84)</f>
        <v>0</v>
      </c>
      <c r="J436" s="268">
        <f>SUMIF('Trans Line Reconciliation'!$B$5:$B$84,$B436,'Trans Line Reconciliation'!$P$5:$P$84)</f>
        <v>0</v>
      </c>
      <c r="K436" s="254">
        <f>SUMIF('Trans Line Reconciliation'!$B$5:$B$84,$B436,'Trans Line Reconciliation'!$Q$5:$Q$84)</f>
        <v>0</v>
      </c>
      <c r="L436" s="268">
        <f>SUMIF('Trans Line Reconciliation'!$B$5:$B$84,$B436,'Trans Line Reconciliation'!$R$5:$R$84)</f>
        <v>0</v>
      </c>
      <c r="M436" s="268">
        <f>SUMIF('Trans Line Reconciliation'!$B$5:$B$84,$B436,'Trans Line Reconciliation'!$S$5:$S$84)</f>
        <v>0</v>
      </c>
      <c r="N436" s="255">
        <f t="shared" si="36"/>
        <v>0</v>
      </c>
      <c r="O436" s="252" t="s">
        <v>2267</v>
      </c>
      <c r="P436" s="252"/>
      <c r="Q436" s="258">
        <f>SUMIF('Antelope Bailey Split BA'!$B$7:$B$29,B436,'Antelope Bailey Split BA'!$C$7:$C$29)</f>
        <v>0</v>
      </c>
      <c r="R436" s="258" t="str">
        <f>IF(AND(Q436=1,'Plant Total by Account'!$J$1=2),"EKWRA","")</f>
        <v/>
      </c>
    </row>
    <row r="437" spans="1:18" ht="12.75" customHeight="1" x14ac:dyDescent="0.2">
      <c r="A437" s="249" t="s">
        <v>1455</v>
      </c>
      <c r="B437" s="252" t="s">
        <v>2247</v>
      </c>
      <c r="C437" s="252" t="s">
        <v>3348</v>
      </c>
      <c r="D437" s="253">
        <v>0</v>
      </c>
      <c r="E437" s="253">
        <v>0</v>
      </c>
      <c r="F437" s="253">
        <v>256666.35</v>
      </c>
      <c r="G437" s="546">
        <f t="shared" si="35"/>
        <v>256666.35</v>
      </c>
      <c r="H437" s="254">
        <f>SUMIF('Trans Line Reconciliation'!$B$5:$B$84,$B437,'Trans Line Reconciliation'!$N$5:$N$84)</f>
        <v>0</v>
      </c>
      <c r="I437" s="268">
        <f>SUMIF('Trans Line Reconciliation'!$B$5:$B$84,$B437,'Trans Line Reconciliation'!$O$5:$O$84)</f>
        <v>0</v>
      </c>
      <c r="J437" s="268">
        <f>SUMIF('Trans Line Reconciliation'!$B$5:$B$84,$B437,'Trans Line Reconciliation'!$P$5:$P$84)</f>
        <v>0</v>
      </c>
      <c r="K437" s="254">
        <f>SUMIF('Trans Line Reconciliation'!$B$5:$B$84,$B437,'Trans Line Reconciliation'!$Q$5:$Q$84)</f>
        <v>0</v>
      </c>
      <c r="L437" s="268">
        <f>SUMIF('Trans Line Reconciliation'!$B$5:$B$84,$B437,'Trans Line Reconciliation'!$R$5:$R$84)</f>
        <v>0</v>
      </c>
      <c r="M437" s="268">
        <f>SUMIF('Trans Line Reconciliation'!$B$5:$B$84,$B437,'Trans Line Reconciliation'!$S$5:$S$84)</f>
        <v>256666.35</v>
      </c>
      <c r="N437" s="255">
        <f t="shared" si="36"/>
        <v>0</v>
      </c>
      <c r="O437" s="252" t="s">
        <v>2267</v>
      </c>
      <c r="P437" s="252"/>
      <c r="Q437" s="258">
        <f>SUMIF('Antelope Bailey Split BA'!$B$7:$B$29,B437,'Antelope Bailey Split BA'!$C$7:$C$29)</f>
        <v>0</v>
      </c>
      <c r="R437" s="258" t="str">
        <f>IF(AND(Q437=1,'Plant Total by Account'!$J$1=2),"EKWRA","")</f>
        <v/>
      </c>
    </row>
    <row r="438" spans="1:18" ht="12.75" customHeight="1" x14ac:dyDescent="0.2">
      <c r="A438" s="249" t="s">
        <v>525</v>
      </c>
      <c r="B438" s="252" t="s">
        <v>2248</v>
      </c>
      <c r="C438" s="252"/>
      <c r="D438" s="253">
        <v>0</v>
      </c>
      <c r="E438" s="253">
        <v>235737.67</v>
      </c>
      <c r="F438" s="253">
        <v>0</v>
      </c>
      <c r="G438" s="546">
        <f t="shared" si="35"/>
        <v>235737.67</v>
      </c>
      <c r="H438" s="254">
        <f>SUMIF('Trans Line Reconciliation'!$B$5:$B$84,$B438,'Trans Line Reconciliation'!$N$5:$N$84)</f>
        <v>0</v>
      </c>
      <c r="I438" s="268">
        <f>SUMIF('Trans Line Reconciliation'!$B$5:$B$84,$B438,'Trans Line Reconciliation'!$O$5:$O$84)</f>
        <v>0</v>
      </c>
      <c r="J438" s="268">
        <f>SUMIF('Trans Line Reconciliation'!$B$5:$B$84,$B438,'Trans Line Reconciliation'!$P$5:$P$84)</f>
        <v>0</v>
      </c>
      <c r="K438" s="254">
        <f>SUMIF('Trans Line Reconciliation'!$B$5:$B$84,$B438,'Trans Line Reconciliation'!$Q$5:$Q$84)</f>
        <v>0</v>
      </c>
      <c r="L438" s="268">
        <f>SUMIF('Trans Line Reconciliation'!$B$5:$B$84,$B438,'Trans Line Reconciliation'!$R$5:$R$84)</f>
        <v>235737.67</v>
      </c>
      <c r="M438" s="268">
        <f>SUMIF('Trans Line Reconciliation'!$B$5:$B$84,$B438,'Trans Line Reconciliation'!$S$5:$S$84)</f>
        <v>0</v>
      </c>
      <c r="N438" s="255">
        <f t="shared" si="36"/>
        <v>0</v>
      </c>
      <c r="O438" s="252" t="s">
        <v>2267</v>
      </c>
      <c r="P438" s="252"/>
      <c r="Q438" s="258">
        <f>SUMIF('Antelope Bailey Split BA'!$B$7:$B$29,B438,'Antelope Bailey Split BA'!$C$7:$C$29)</f>
        <v>0</v>
      </c>
      <c r="R438" s="258" t="str">
        <f>IF(AND(Q438=1,'Plant Total by Account'!$J$1=2),"EKWRA","")</f>
        <v/>
      </c>
    </row>
    <row r="439" spans="1:18" ht="12.75" customHeight="1" x14ac:dyDescent="0.2">
      <c r="A439" s="249" t="s">
        <v>1456</v>
      </c>
      <c r="B439" s="252" t="s">
        <v>2249</v>
      </c>
      <c r="C439" s="252" t="s">
        <v>3348</v>
      </c>
      <c r="D439" s="253">
        <v>0</v>
      </c>
      <c r="E439" s="253">
        <v>7825.3600000000006</v>
      </c>
      <c r="F439" s="253">
        <v>0</v>
      </c>
      <c r="G439" s="546">
        <f t="shared" si="35"/>
        <v>7825.3600000000006</v>
      </c>
      <c r="H439" s="254">
        <f>SUMIF('Trans Line Reconciliation'!$B$5:$B$84,$B439,'Trans Line Reconciliation'!$N$5:$N$84)</f>
        <v>0</v>
      </c>
      <c r="I439" s="268">
        <f>SUMIF('Trans Line Reconciliation'!$B$5:$B$84,$B439,'Trans Line Reconciliation'!$O$5:$O$84)</f>
        <v>0</v>
      </c>
      <c r="J439" s="268">
        <f>SUMIF('Trans Line Reconciliation'!$B$5:$B$84,$B439,'Trans Line Reconciliation'!$P$5:$P$84)</f>
        <v>0</v>
      </c>
      <c r="K439" s="254">
        <f>SUMIF('Trans Line Reconciliation'!$B$5:$B$84,$B439,'Trans Line Reconciliation'!$Q$5:$Q$84)</f>
        <v>0</v>
      </c>
      <c r="L439" s="268">
        <f>SUMIF('Trans Line Reconciliation'!$B$5:$B$84,$B439,'Trans Line Reconciliation'!$R$5:$R$84)</f>
        <v>7825.3600000000006</v>
      </c>
      <c r="M439" s="268">
        <f>SUMIF('Trans Line Reconciliation'!$B$5:$B$84,$B439,'Trans Line Reconciliation'!$S$5:$S$84)</f>
        <v>0</v>
      </c>
      <c r="N439" s="255">
        <f t="shared" si="36"/>
        <v>0</v>
      </c>
      <c r="O439" s="252" t="s">
        <v>2267</v>
      </c>
      <c r="P439" s="252"/>
      <c r="Q439" s="258">
        <f>SUMIF('Antelope Bailey Split BA'!$B$7:$B$29,B439,'Antelope Bailey Split BA'!$C$7:$C$29)</f>
        <v>0</v>
      </c>
      <c r="R439" s="258" t="str">
        <f>IF(AND(Q439=1,'Plant Total by Account'!$J$1=2),"EKWRA","")</f>
        <v/>
      </c>
    </row>
    <row r="440" spans="1:18" ht="12.75" customHeight="1" x14ac:dyDescent="0.2">
      <c r="A440" s="262" t="s">
        <v>2343</v>
      </c>
      <c r="B440" s="252" t="s">
        <v>1108</v>
      </c>
      <c r="C440" s="252" t="s">
        <v>2344</v>
      </c>
      <c r="D440" s="253">
        <v>33304.81</v>
      </c>
      <c r="E440" s="253">
        <v>0</v>
      </c>
      <c r="F440" s="253">
        <v>1232.8699999999999</v>
      </c>
      <c r="G440" s="546">
        <f t="shared" si="35"/>
        <v>34537.68</v>
      </c>
      <c r="H440" s="254">
        <f>SUMIF('Trans Line Reconciliation'!$B$5:$B$84,$B440,'Trans Line Reconciliation'!$N$5:$N$84)</f>
        <v>0</v>
      </c>
      <c r="I440" s="268">
        <f>SUMIF('Trans Line Reconciliation'!$B$5:$B$84,$B440,'Trans Line Reconciliation'!$O$5:$O$84)</f>
        <v>0</v>
      </c>
      <c r="J440" s="268">
        <f>SUMIF('Trans Line Reconciliation'!$B$5:$B$84,$B440,'Trans Line Reconciliation'!$P$5:$P$84)</f>
        <v>0</v>
      </c>
      <c r="K440" s="254">
        <f>SUMIF('Trans Line Reconciliation'!$B$5:$B$84,$B440,'Trans Line Reconciliation'!$Q$5:$Q$84)</f>
        <v>33304.81</v>
      </c>
      <c r="L440" s="268">
        <f>SUMIF('Trans Line Reconciliation'!$B$5:$B$84,$B440,'Trans Line Reconciliation'!$R$5:$R$84)</f>
        <v>0</v>
      </c>
      <c r="M440" s="268">
        <f>SUMIF('Trans Line Reconciliation'!$B$5:$B$84,$B440,'Trans Line Reconciliation'!$S$5:$S$84)</f>
        <v>1232.8699999999999</v>
      </c>
      <c r="N440" s="255">
        <f t="shared" si="36"/>
        <v>0</v>
      </c>
      <c r="O440" s="252" t="s">
        <v>2267</v>
      </c>
      <c r="P440" s="252"/>
      <c r="Q440" s="258">
        <f>SUMIF('Antelope Bailey Split BA'!$B$7:$B$29,B440,'Antelope Bailey Split BA'!$C$7:$C$29)</f>
        <v>0</v>
      </c>
      <c r="R440" s="258" t="str">
        <f>IF(AND(Q440=1,'Plant Total by Account'!$J$1=2),"EKWRA","")</f>
        <v/>
      </c>
    </row>
    <row r="441" spans="1:18" ht="12.75" customHeight="1" x14ac:dyDescent="0.2">
      <c r="A441" s="249" t="s">
        <v>2345</v>
      </c>
      <c r="B441" s="252" t="s">
        <v>1109</v>
      </c>
      <c r="C441" s="252" t="s">
        <v>3353</v>
      </c>
      <c r="D441" s="253">
        <v>243214.84000000003</v>
      </c>
      <c r="E441" s="253">
        <v>3295.58</v>
      </c>
      <c r="F441" s="253">
        <v>0</v>
      </c>
      <c r="G441" s="546">
        <f t="shared" si="35"/>
        <v>246510.42</v>
      </c>
      <c r="H441" s="254">
        <f>SUMIF('Trans Line Reconciliation'!$B$5:$B$84,$B441,'Trans Line Reconciliation'!$N$5:$N$84)</f>
        <v>94330.825096154091</v>
      </c>
      <c r="I441" s="268">
        <f>SUMIF('Trans Line Reconciliation'!$B$5:$B$84,$B441,'Trans Line Reconciliation'!$O$5:$O$84)</f>
        <v>1278.1900173952522</v>
      </c>
      <c r="J441" s="268">
        <f>SUMIF('Trans Line Reconciliation'!$B$5:$B$84,$B441,'Trans Line Reconciliation'!$P$5:$P$84)</f>
        <v>0</v>
      </c>
      <c r="K441" s="254">
        <f>SUMIF('Trans Line Reconciliation'!$B$5:$B$84,$B441,'Trans Line Reconciliation'!$Q$5:$Q$84)</f>
        <v>148884.01490384593</v>
      </c>
      <c r="L441" s="268">
        <f>SUMIF('Trans Line Reconciliation'!$B$5:$B$84,$B441,'Trans Line Reconciliation'!$R$5:$R$84)</f>
        <v>2017.3899826047477</v>
      </c>
      <c r="M441" s="268">
        <f>SUMIF('Trans Line Reconciliation'!$B$5:$B$84,$B441,'Trans Line Reconciliation'!$S$5:$S$84)</f>
        <v>0</v>
      </c>
      <c r="N441" s="255">
        <f t="shared" si="36"/>
        <v>0</v>
      </c>
      <c r="O441" s="252" t="s">
        <v>2267</v>
      </c>
      <c r="P441" s="252"/>
      <c r="Q441" s="258">
        <f>SUMIF('Antelope Bailey Split BA'!$B$7:$B$29,B441,'Antelope Bailey Split BA'!$C$7:$C$29)</f>
        <v>0</v>
      </c>
      <c r="R441" s="258" t="str">
        <f>IF(AND(Q441=1,'Plant Total by Account'!$J$1=2),"EKWRA","")</f>
        <v/>
      </c>
    </row>
    <row r="442" spans="1:18" ht="12.75" customHeight="1" x14ac:dyDescent="0.2">
      <c r="A442" s="249" t="s">
        <v>526</v>
      </c>
      <c r="B442" s="252" t="s">
        <v>2250</v>
      </c>
      <c r="C442" s="252" t="s">
        <v>3354</v>
      </c>
      <c r="D442" s="253">
        <v>10584.86</v>
      </c>
      <c r="E442" s="253">
        <v>0</v>
      </c>
      <c r="F442" s="253">
        <v>0</v>
      </c>
      <c r="G442" s="546">
        <f t="shared" si="35"/>
        <v>10584.86</v>
      </c>
      <c r="H442" s="254">
        <f>SUMIF('Trans Line Reconciliation'!$B$5:$B$84,$B442,'Trans Line Reconciliation'!$N$5:$N$84)</f>
        <v>0</v>
      </c>
      <c r="I442" s="268">
        <f>SUMIF('Trans Line Reconciliation'!$B$5:$B$84,$B442,'Trans Line Reconciliation'!$O$5:$O$84)</f>
        <v>0</v>
      </c>
      <c r="J442" s="268">
        <f>SUMIF('Trans Line Reconciliation'!$B$5:$B$84,$B442,'Trans Line Reconciliation'!$P$5:$P$84)</f>
        <v>0</v>
      </c>
      <c r="K442" s="254">
        <f>SUMIF('Trans Line Reconciliation'!$B$5:$B$84,$B442,'Trans Line Reconciliation'!$Q$5:$Q$84)</f>
        <v>10584.86</v>
      </c>
      <c r="L442" s="268">
        <f>SUMIF('Trans Line Reconciliation'!$B$5:$B$84,$B442,'Trans Line Reconciliation'!$R$5:$R$84)</f>
        <v>0</v>
      </c>
      <c r="M442" s="268">
        <f>SUMIF('Trans Line Reconciliation'!$B$5:$B$84,$B442,'Trans Line Reconciliation'!$S$5:$S$84)</f>
        <v>0</v>
      </c>
      <c r="N442" s="255">
        <f t="shared" ref="N442:N449" si="37">G442-SUM(H442:M442)</f>
        <v>0</v>
      </c>
      <c r="O442" s="252" t="s">
        <v>2267</v>
      </c>
      <c r="P442" s="252"/>
      <c r="Q442" s="258">
        <f>SUMIF('Antelope Bailey Split BA'!$B$7:$B$29,B442,'Antelope Bailey Split BA'!$C$7:$C$29)</f>
        <v>0</v>
      </c>
      <c r="R442" s="258" t="str">
        <f>IF(AND(Q442=1,'Plant Total by Account'!$J$1=2),"EKWRA","")</f>
        <v/>
      </c>
    </row>
    <row r="443" spans="1:18" ht="12.75" customHeight="1" x14ac:dyDescent="0.2">
      <c r="A443" s="249" t="s">
        <v>527</v>
      </c>
      <c r="B443" s="252" t="s">
        <v>2251</v>
      </c>
      <c r="C443" s="252"/>
      <c r="D443" s="253">
        <v>137.69999999999999</v>
      </c>
      <c r="E443" s="253">
        <v>0</v>
      </c>
      <c r="F443" s="253">
        <v>0</v>
      </c>
      <c r="G443" s="546">
        <f t="shared" si="35"/>
        <v>137.69999999999999</v>
      </c>
      <c r="H443" s="254">
        <f>SUMIF('Trans Line Reconciliation'!$B$5:$B$84,$B443,'Trans Line Reconciliation'!$N$5:$N$84)</f>
        <v>0</v>
      </c>
      <c r="I443" s="268">
        <f>SUMIF('Trans Line Reconciliation'!$B$5:$B$84,$B443,'Trans Line Reconciliation'!$O$5:$O$84)</f>
        <v>0</v>
      </c>
      <c r="J443" s="268">
        <f>SUMIF('Trans Line Reconciliation'!$B$5:$B$84,$B443,'Trans Line Reconciliation'!$P$5:$P$84)</f>
        <v>0</v>
      </c>
      <c r="K443" s="254">
        <f>SUMIF('Trans Line Reconciliation'!$B$5:$B$84,$B443,'Trans Line Reconciliation'!$Q$5:$Q$84)</f>
        <v>137.69999999999999</v>
      </c>
      <c r="L443" s="268">
        <f>SUMIF('Trans Line Reconciliation'!$B$5:$B$84,$B443,'Trans Line Reconciliation'!$R$5:$R$84)</f>
        <v>0</v>
      </c>
      <c r="M443" s="268">
        <f>SUMIF('Trans Line Reconciliation'!$B$5:$B$84,$B443,'Trans Line Reconciliation'!$S$5:$S$84)</f>
        <v>0</v>
      </c>
      <c r="N443" s="255">
        <f t="shared" si="37"/>
        <v>0</v>
      </c>
      <c r="O443" s="252" t="s">
        <v>2267</v>
      </c>
      <c r="P443" s="252"/>
      <c r="Q443" s="258">
        <f>SUMIF('Antelope Bailey Split BA'!$B$7:$B$29,B443,'Antelope Bailey Split BA'!$C$7:$C$29)</f>
        <v>0</v>
      </c>
      <c r="R443" s="258" t="str">
        <f>IF(AND(Q443=1,'Plant Total by Account'!$J$1=2),"EKWRA","")</f>
        <v/>
      </c>
    </row>
    <row r="444" spans="1:18" ht="12.75" customHeight="1" x14ac:dyDescent="0.2">
      <c r="A444" s="249" t="s">
        <v>2346</v>
      </c>
      <c r="B444" s="252" t="s">
        <v>1110</v>
      </c>
      <c r="C444" s="252" t="s">
        <v>3348</v>
      </c>
      <c r="D444" s="253">
        <v>14315889.140000004</v>
      </c>
      <c r="E444" s="253">
        <v>2901.91</v>
      </c>
      <c r="F444" s="253">
        <v>173059.35</v>
      </c>
      <c r="G444" s="546">
        <f t="shared" si="35"/>
        <v>14491850.400000004</v>
      </c>
      <c r="H444" s="254">
        <f>SUMIF('Trans Line Reconciliation'!$B$5:$B$84,$B444,'Trans Line Reconciliation'!$N$5:$N$84)</f>
        <v>3933969.0247368701</v>
      </c>
      <c r="I444" s="268">
        <f>SUMIF('Trans Line Reconciliation'!$B$5:$B$84,$B444,'Trans Line Reconciliation'!$O$5:$O$84)</f>
        <v>796.905918808563</v>
      </c>
      <c r="J444" s="268">
        <f>SUMIF('Trans Line Reconciliation'!$B$5:$B$84,$B444,'Trans Line Reconciliation'!$P$5:$P$84)</f>
        <v>118008.8127454514</v>
      </c>
      <c r="K444" s="254">
        <f>SUMIF('Trans Line Reconciliation'!$B$5:$B$84,$B444,'Trans Line Reconciliation'!$Q$5:$Q$84)</f>
        <v>10381920.115263134</v>
      </c>
      <c r="L444" s="268">
        <f>SUMIF('Trans Line Reconciliation'!$B$5:$B$84,$B444,'Trans Line Reconciliation'!$R$5:$R$84)</f>
        <v>2105.0040811914369</v>
      </c>
      <c r="M444" s="268">
        <f>SUMIF('Trans Line Reconciliation'!$B$5:$B$84,$B444,'Trans Line Reconciliation'!$S$5:$S$84)</f>
        <v>55050.537254548603</v>
      </c>
      <c r="N444" s="255">
        <f t="shared" si="37"/>
        <v>0</v>
      </c>
      <c r="O444" s="252" t="s">
        <v>2267</v>
      </c>
      <c r="P444" s="252"/>
      <c r="Q444" s="258">
        <f>SUMIF('Antelope Bailey Split BA'!$B$7:$B$29,B444,'Antelope Bailey Split BA'!$C$7:$C$29)</f>
        <v>0</v>
      </c>
      <c r="R444" s="258" t="str">
        <f>IF(AND(Q444=1,'Plant Total by Account'!$J$1=2),"EKWRA","")</f>
        <v/>
      </c>
    </row>
    <row r="445" spans="1:18" ht="12.75" customHeight="1" x14ac:dyDescent="0.2">
      <c r="A445" s="249" t="s">
        <v>1337</v>
      </c>
      <c r="B445" s="252" t="s">
        <v>2252</v>
      </c>
      <c r="C445" s="252" t="s">
        <v>3350</v>
      </c>
      <c r="D445" s="253">
        <v>1079576.73</v>
      </c>
      <c r="E445" s="253">
        <v>0</v>
      </c>
      <c r="F445" s="253">
        <v>0</v>
      </c>
      <c r="G445" s="546">
        <f t="shared" si="35"/>
        <v>1079576.73</v>
      </c>
      <c r="H445" s="254">
        <f>SUMIF('Trans Line Reconciliation'!$B$5:$B$84,$B445,'Trans Line Reconciliation'!$N$5:$N$84)</f>
        <v>1079559.0700921258</v>
      </c>
      <c r="I445" s="268">
        <f>SUMIF('Trans Line Reconciliation'!$B$5:$B$84,$B445,'Trans Line Reconciliation'!$O$5:$O$84)</f>
        <v>0</v>
      </c>
      <c r="J445" s="268">
        <f>SUMIF('Trans Line Reconciliation'!$B$5:$B$84,$B445,'Trans Line Reconciliation'!$P$5:$P$84)</f>
        <v>0</v>
      </c>
      <c r="K445" s="254">
        <f>SUMIF('Trans Line Reconciliation'!$B$5:$B$84,$B445,'Trans Line Reconciliation'!$Q$5:$Q$84)</f>
        <v>17.659907874185592</v>
      </c>
      <c r="L445" s="268">
        <f>SUMIF('Trans Line Reconciliation'!$B$5:$B$84,$B445,'Trans Line Reconciliation'!$R$5:$R$84)</f>
        <v>0</v>
      </c>
      <c r="M445" s="268">
        <f>SUMIF('Trans Line Reconciliation'!$B$5:$B$84,$B445,'Trans Line Reconciliation'!$S$5:$S$84)</f>
        <v>0</v>
      </c>
      <c r="N445" s="255">
        <f t="shared" si="37"/>
        <v>0</v>
      </c>
      <c r="O445" s="252" t="s">
        <v>2267</v>
      </c>
      <c r="P445" s="252"/>
      <c r="Q445" s="258">
        <f>SUMIF('Antelope Bailey Split BA'!$B$7:$B$29,B445,'Antelope Bailey Split BA'!$C$7:$C$29)</f>
        <v>0</v>
      </c>
      <c r="R445" s="258" t="str">
        <f>IF(AND(Q445=1,'Plant Total by Account'!$J$1=2),"EKWRA","")</f>
        <v/>
      </c>
    </row>
    <row r="446" spans="1:18" ht="12.75" customHeight="1" x14ac:dyDescent="0.2">
      <c r="A446" s="249" t="s">
        <v>1338</v>
      </c>
      <c r="B446" s="252" t="s">
        <v>2253</v>
      </c>
      <c r="C446" s="252" t="s">
        <v>3355</v>
      </c>
      <c r="D446" s="253">
        <v>33310</v>
      </c>
      <c r="E446" s="253">
        <v>0</v>
      </c>
      <c r="F446" s="253">
        <v>0</v>
      </c>
      <c r="G446" s="546">
        <f t="shared" si="35"/>
        <v>33310</v>
      </c>
      <c r="H446" s="254">
        <f>SUMIF('Trans Line Reconciliation'!$B$5:$B$84,$B446,'Trans Line Reconciliation'!$N$5:$N$84)</f>
        <v>33310</v>
      </c>
      <c r="I446" s="268">
        <f>SUMIF('Trans Line Reconciliation'!$B$5:$B$84,$B446,'Trans Line Reconciliation'!$O$5:$O$84)</f>
        <v>0</v>
      </c>
      <c r="J446" s="268">
        <f>SUMIF('Trans Line Reconciliation'!$B$5:$B$84,$B446,'Trans Line Reconciliation'!$P$5:$P$84)</f>
        <v>0</v>
      </c>
      <c r="K446" s="254">
        <f>SUMIF('Trans Line Reconciliation'!$B$5:$B$84,$B446,'Trans Line Reconciliation'!$Q$5:$Q$84)</f>
        <v>0</v>
      </c>
      <c r="L446" s="268">
        <f>SUMIF('Trans Line Reconciliation'!$B$5:$B$84,$B446,'Trans Line Reconciliation'!$R$5:$R$84)</f>
        <v>0</v>
      </c>
      <c r="M446" s="268">
        <f>SUMIF('Trans Line Reconciliation'!$B$5:$B$84,$B446,'Trans Line Reconciliation'!$S$5:$S$84)</f>
        <v>0</v>
      </c>
      <c r="N446" s="255">
        <f t="shared" si="37"/>
        <v>0</v>
      </c>
      <c r="O446" s="252" t="s">
        <v>2267</v>
      </c>
      <c r="P446" s="252"/>
      <c r="Q446" s="258">
        <f>SUMIF('Antelope Bailey Split BA'!$B$7:$B$29,B446,'Antelope Bailey Split BA'!$C$7:$C$29)</f>
        <v>0</v>
      </c>
      <c r="R446" s="258" t="str">
        <f>IF(AND(Q446=1,'Plant Total by Account'!$J$1=2),"EKWRA","")</f>
        <v/>
      </c>
    </row>
    <row r="447" spans="1:18" ht="12.75" customHeight="1" x14ac:dyDescent="0.2">
      <c r="A447" s="249" t="s">
        <v>1339</v>
      </c>
      <c r="B447" s="252" t="s">
        <v>2254</v>
      </c>
      <c r="C447" s="252" t="s">
        <v>3348</v>
      </c>
      <c r="D447" s="253">
        <v>1277.33</v>
      </c>
      <c r="E447" s="253">
        <v>0</v>
      </c>
      <c r="F447" s="253">
        <v>0</v>
      </c>
      <c r="G447" s="546">
        <f t="shared" si="35"/>
        <v>1277.33</v>
      </c>
      <c r="H447" s="254">
        <f>SUMIF('Trans Line Reconciliation'!$B$5:$B$84,$B447,'Trans Line Reconciliation'!$N$5:$N$84)</f>
        <v>1277.33</v>
      </c>
      <c r="I447" s="268">
        <f>SUMIF('Trans Line Reconciliation'!$B$5:$B$84,$B447,'Trans Line Reconciliation'!$O$5:$O$84)</f>
        <v>0</v>
      </c>
      <c r="J447" s="268">
        <f>SUMIF('Trans Line Reconciliation'!$B$5:$B$84,$B447,'Trans Line Reconciliation'!$P$5:$P$84)</f>
        <v>0</v>
      </c>
      <c r="K447" s="254">
        <f>SUMIF('Trans Line Reconciliation'!$B$5:$B$84,$B447,'Trans Line Reconciliation'!$Q$5:$Q$84)</f>
        <v>0</v>
      </c>
      <c r="L447" s="268">
        <f>SUMIF('Trans Line Reconciliation'!$B$5:$B$84,$B447,'Trans Line Reconciliation'!$R$5:$R$84)</f>
        <v>0</v>
      </c>
      <c r="M447" s="268">
        <f>SUMIF('Trans Line Reconciliation'!$B$5:$B$84,$B447,'Trans Line Reconciliation'!$S$5:$S$84)</f>
        <v>0</v>
      </c>
      <c r="N447" s="255">
        <f t="shared" si="37"/>
        <v>0</v>
      </c>
      <c r="O447" s="252" t="s">
        <v>2267</v>
      </c>
      <c r="P447" s="252"/>
      <c r="Q447" s="258">
        <f>SUMIF('Antelope Bailey Split BA'!$B$7:$B$29,B447,'Antelope Bailey Split BA'!$C$7:$C$29)</f>
        <v>0</v>
      </c>
      <c r="R447" s="258" t="str">
        <f>IF(AND(Q447=1,'Plant Total by Account'!$J$1=2),"EKWRA","")</f>
        <v/>
      </c>
    </row>
    <row r="448" spans="1:18" ht="12.75" customHeight="1" thickBot="1" x14ac:dyDescent="0.25">
      <c r="A448" s="249" t="s">
        <v>1340</v>
      </c>
      <c r="B448" s="252" t="s">
        <v>2255</v>
      </c>
      <c r="C448" s="252" t="s">
        <v>3348</v>
      </c>
      <c r="D448" s="253">
        <v>165196.31000000003</v>
      </c>
      <c r="E448" s="253">
        <v>0</v>
      </c>
      <c r="F448" s="253">
        <v>0</v>
      </c>
      <c r="G448" s="546">
        <f t="shared" si="35"/>
        <v>165196.31000000003</v>
      </c>
      <c r="H448" s="254">
        <f>SUMIF('Trans Line Reconciliation'!$B$5:$B$84,$B448,'Trans Line Reconciliation'!$N$5:$N$84)</f>
        <v>165196.31</v>
      </c>
      <c r="I448" s="268">
        <f>SUMIF('Trans Line Reconciliation'!$B$5:$B$84,$B448,'Trans Line Reconciliation'!$O$5:$O$84)</f>
        <v>0</v>
      </c>
      <c r="J448" s="268">
        <f>SUMIF('Trans Line Reconciliation'!$B$5:$B$84,$B448,'Trans Line Reconciliation'!$P$5:$P$84)</f>
        <v>0</v>
      </c>
      <c r="K448" s="254">
        <f>SUMIF('Trans Line Reconciliation'!$B$5:$B$84,$B448,'Trans Line Reconciliation'!$Q$5:$Q$84)</f>
        <v>0</v>
      </c>
      <c r="L448" s="268">
        <f>SUMIF('Trans Line Reconciliation'!$B$5:$B$84,$B448,'Trans Line Reconciliation'!$R$5:$R$84)</f>
        <v>0</v>
      </c>
      <c r="M448" s="268">
        <f>SUMIF('Trans Line Reconciliation'!$B$5:$B$84,$B448,'Trans Line Reconciliation'!$S$5:$S$84)</f>
        <v>0</v>
      </c>
      <c r="N448" s="255">
        <f t="shared" si="37"/>
        <v>0</v>
      </c>
      <c r="O448" s="252" t="s">
        <v>2267</v>
      </c>
      <c r="P448" s="252"/>
      <c r="Q448" s="258">
        <f>SUMIF('Antelope Bailey Split BA'!$B$7:$B$29,B448,'Antelope Bailey Split BA'!$C$7:$C$29)</f>
        <v>0</v>
      </c>
      <c r="R448" s="258" t="str">
        <f>IF(AND(Q448=1,'Plant Total by Account'!$J$1=2),"EKWRA","")</f>
        <v/>
      </c>
    </row>
    <row r="449" spans="1:18" s="269" customFormat="1" ht="21" customHeight="1" thickTop="1" thickBot="1" x14ac:dyDescent="0.25">
      <c r="A449" s="276" t="s">
        <v>1034</v>
      </c>
      <c r="B449" s="277"/>
      <c r="C449" s="277"/>
      <c r="D449" s="497">
        <f t="shared" ref="D449:M449" si="38">SUM(D10:D448)</f>
        <v>238550302.20000002</v>
      </c>
      <c r="E449" s="497">
        <f t="shared" si="38"/>
        <v>327516031.86999995</v>
      </c>
      <c r="F449" s="497">
        <f t="shared" si="38"/>
        <v>3349936159.8799968</v>
      </c>
      <c r="G449" s="498">
        <f t="shared" si="38"/>
        <v>3916002493.9499955</v>
      </c>
      <c r="H449" s="499">
        <f t="shared" si="38"/>
        <v>156584769.28418481</v>
      </c>
      <c r="I449" s="499">
        <f t="shared" si="38"/>
        <v>167375768.55999818</v>
      </c>
      <c r="J449" s="499">
        <f t="shared" si="38"/>
        <v>1719646506.3068593</v>
      </c>
      <c r="K449" s="499">
        <f t="shared" si="38"/>
        <v>81965532.91581516</v>
      </c>
      <c r="L449" s="499">
        <f t="shared" si="38"/>
        <v>160140263.31000191</v>
      </c>
      <c r="M449" s="499">
        <f t="shared" si="38"/>
        <v>1630289653.5731399</v>
      </c>
      <c r="N449" s="255">
        <f t="shared" si="37"/>
        <v>0</v>
      </c>
      <c r="O449" s="258"/>
      <c r="Q449" s="270"/>
      <c r="R449" s="270"/>
    </row>
    <row r="450" spans="1:18" ht="12.75" customHeight="1" thickTop="1" x14ac:dyDescent="0.2">
      <c r="D450" s="87"/>
      <c r="E450" s="87"/>
      <c r="F450" s="87"/>
      <c r="G450" s="274"/>
      <c r="H450" s="87"/>
      <c r="I450" s="87"/>
      <c r="J450" s="87"/>
      <c r="K450" s="87"/>
      <c r="L450" s="261"/>
      <c r="M450" s="261"/>
    </row>
    <row r="451" spans="1:18" ht="12.75" customHeight="1" x14ac:dyDescent="0.2">
      <c r="A451" s="250" t="s">
        <v>449</v>
      </c>
      <c r="D451" s="87"/>
      <c r="E451" s="87"/>
      <c r="F451" s="87"/>
      <c r="G451" s="274"/>
      <c r="H451" s="87"/>
      <c r="I451" s="87"/>
      <c r="J451" s="87"/>
      <c r="K451" s="87"/>
      <c r="L451" s="261"/>
      <c r="M451" s="261"/>
    </row>
    <row r="452" spans="1:18" ht="12.75" customHeight="1" thickBot="1" x14ac:dyDescent="0.25">
      <c r="A452" s="250" t="s">
        <v>450</v>
      </c>
      <c r="D452" s="87"/>
      <c r="E452" s="87"/>
      <c r="F452" s="87"/>
      <c r="G452" s="274"/>
      <c r="H452" s="500">
        <f>H449/D449</f>
        <v>0.65640147105286206</v>
      </c>
      <c r="I452" s="500">
        <f>I449/E449</f>
        <v>0.51104603217235545</v>
      </c>
      <c r="J452" s="500">
        <f>J449/F449</f>
        <v>0.51333709785336967</v>
      </c>
      <c r="K452" s="500">
        <f>K449/D449</f>
        <v>0.34359852894713772</v>
      </c>
      <c r="L452" s="501">
        <f>L449/E449</f>
        <v>0.488953967827645</v>
      </c>
      <c r="M452" s="501">
        <f>M449/F449</f>
        <v>0.48666290214663105</v>
      </c>
    </row>
    <row r="453" spans="1:18" ht="12.75" customHeight="1" x14ac:dyDescent="0.2">
      <c r="A453" s="249" t="s">
        <v>1828</v>
      </c>
      <c r="B453" s="252" t="s">
        <v>2263</v>
      </c>
      <c r="C453" s="252"/>
      <c r="D453" s="265">
        <v>0</v>
      </c>
      <c r="E453" s="87">
        <v>0</v>
      </c>
      <c r="F453" s="266">
        <v>23588991.670000002</v>
      </c>
      <c r="G453" s="547">
        <f t="shared" ref="G453:G474" si="39">SUM(D453:F453)</f>
        <v>23588991.670000002</v>
      </c>
      <c r="H453" s="260">
        <f t="shared" ref="H453:H473" si="40">H$452*D453</f>
        <v>0</v>
      </c>
      <c r="I453" s="260">
        <f t="shared" ref="I453:I473" si="41">I$452*E453</f>
        <v>0</v>
      </c>
      <c r="J453" s="260">
        <f t="shared" ref="J453:J473" si="42">J$452*F453</f>
        <v>12109104.525165113</v>
      </c>
      <c r="K453" s="260">
        <f t="shared" ref="K453:K473" si="43">K$452*D453</f>
        <v>0</v>
      </c>
      <c r="L453" s="260">
        <f t="shared" ref="L453:L473" si="44">L$452*E453</f>
        <v>0</v>
      </c>
      <c r="M453" s="260">
        <f t="shared" ref="M453:M473" si="45">M$452*F453</f>
        <v>11479887.144834906</v>
      </c>
      <c r="N453" s="255">
        <f t="shared" ref="N453:N473" si="46">G453-SUM(H453:M453)</f>
        <v>0</v>
      </c>
      <c r="P453" s="257" t="s">
        <v>1478</v>
      </c>
      <c r="Q453" s="258">
        <f>SUMIF('Antelope Bailey Split BA'!$B$7:$B$29,B459,'Antelope Bailey Split BA'!$C$7:$C$29)</f>
        <v>0</v>
      </c>
    </row>
    <row r="454" spans="1:18" ht="12.75" customHeight="1" x14ac:dyDescent="0.2">
      <c r="A454" s="249" t="s">
        <v>2633</v>
      </c>
      <c r="B454" s="252" t="s">
        <v>1053</v>
      </c>
      <c r="C454" s="252" t="s">
        <v>3349</v>
      </c>
      <c r="D454" s="265">
        <v>0</v>
      </c>
      <c r="E454" s="87">
        <v>2465520.09</v>
      </c>
      <c r="F454" s="266">
        <v>7901074.3400000008</v>
      </c>
      <c r="G454" s="546">
        <f t="shared" si="39"/>
        <v>10366594.43</v>
      </c>
      <c r="H454" s="260">
        <f t="shared" si="40"/>
        <v>0</v>
      </c>
      <c r="I454" s="260">
        <f t="shared" si="41"/>
        <v>1259994.2592357285</v>
      </c>
      <c r="J454" s="260">
        <f t="shared" si="42"/>
        <v>4055914.5716193286</v>
      </c>
      <c r="K454" s="260">
        <f t="shared" si="43"/>
        <v>0</v>
      </c>
      <c r="L454" s="260">
        <f t="shared" si="44"/>
        <v>1205525.8307642723</v>
      </c>
      <c r="M454" s="260">
        <f t="shared" si="45"/>
        <v>3845159.7683806778</v>
      </c>
      <c r="N454" s="255">
        <f t="shared" si="46"/>
        <v>0</v>
      </c>
      <c r="P454" s="272" t="s">
        <v>1477</v>
      </c>
      <c r="Q454" s="258">
        <f>SUMIF('Antelope Bailey Split BA'!$B$7:$B$29,B460,'Antelope Bailey Split BA'!$C$7:$C$29)</f>
        <v>0</v>
      </c>
    </row>
    <row r="455" spans="1:18" ht="12.75" customHeight="1" x14ac:dyDescent="0.2">
      <c r="A455" s="249" t="s">
        <v>2634</v>
      </c>
      <c r="B455" s="252" t="s">
        <v>142</v>
      </c>
      <c r="C455" s="252" t="s">
        <v>3353</v>
      </c>
      <c r="D455" s="253">
        <v>-266.83999999999997</v>
      </c>
      <c r="E455" s="253">
        <v>0</v>
      </c>
      <c r="F455" s="253">
        <v>0</v>
      </c>
      <c r="G455" s="546">
        <f>SUM(D455:F455)</f>
        <v>-266.83999999999997</v>
      </c>
      <c r="H455" s="260">
        <f t="shared" si="40"/>
        <v>-175.1541685357457</v>
      </c>
      <c r="I455" s="260">
        <f t="shared" si="41"/>
        <v>0</v>
      </c>
      <c r="J455" s="260">
        <f t="shared" si="42"/>
        <v>0</v>
      </c>
      <c r="K455" s="260">
        <f t="shared" si="43"/>
        <v>-91.685831464254221</v>
      </c>
      <c r="L455" s="260">
        <f t="shared" si="44"/>
        <v>0</v>
      </c>
      <c r="M455" s="260">
        <f t="shared" si="45"/>
        <v>0</v>
      </c>
      <c r="N455" s="255">
        <f t="shared" si="46"/>
        <v>0</v>
      </c>
      <c r="P455" s="252" t="s">
        <v>1478</v>
      </c>
      <c r="Q455" s="258">
        <f>SUMIF('Antelope Bailey Split BA'!$B$7:$B$29,B455,'Antelope Bailey Split BA'!$C$7:$C$29)</f>
        <v>0</v>
      </c>
      <c r="R455" s="258" t="str">
        <f>IF(AND(Q455=1,'Plant Total by Account'!$J$1=2),"EKWRA","")</f>
        <v/>
      </c>
    </row>
    <row r="456" spans="1:18" ht="12.75" customHeight="1" x14ac:dyDescent="0.2">
      <c r="A456" s="249" t="s">
        <v>2635</v>
      </c>
      <c r="B456" s="252" t="s">
        <v>1104</v>
      </c>
      <c r="C456" s="252" t="s">
        <v>2344</v>
      </c>
      <c r="D456" s="273">
        <v>0</v>
      </c>
      <c r="E456" s="87">
        <v>131348.09</v>
      </c>
      <c r="F456" s="266">
        <v>14695.550000000001</v>
      </c>
      <c r="G456" s="546">
        <f t="shared" si="39"/>
        <v>146043.63999999998</v>
      </c>
      <c r="H456" s="260">
        <f t="shared" si="40"/>
        <v>0</v>
      </c>
      <c r="I456" s="260">
        <f t="shared" si="41"/>
        <v>67124.920227917435</v>
      </c>
      <c r="J456" s="260">
        <f t="shared" si="42"/>
        <v>7543.7709883590869</v>
      </c>
      <c r="K456" s="260">
        <f t="shared" si="43"/>
        <v>0</v>
      </c>
      <c r="L456" s="260">
        <f t="shared" si="44"/>
        <v>64223.16977208262</v>
      </c>
      <c r="M456" s="260">
        <f t="shared" si="45"/>
        <v>7151.7790116409242</v>
      </c>
      <c r="N456" s="255">
        <f t="shared" si="46"/>
        <v>0</v>
      </c>
      <c r="P456" s="257" t="s">
        <v>1478</v>
      </c>
      <c r="Q456" s="258">
        <f>SUMIF('Antelope Bailey Split BA'!$B$7:$B$29,B454,'Antelope Bailey Split BA'!$C$7:$C$29)</f>
        <v>0</v>
      </c>
    </row>
    <row r="457" spans="1:18" ht="12.75" customHeight="1" x14ac:dyDescent="0.2">
      <c r="A457" s="249" t="s">
        <v>2636</v>
      </c>
      <c r="B457" s="252" t="s">
        <v>1106</v>
      </c>
      <c r="C457" s="252" t="s">
        <v>2344</v>
      </c>
      <c r="D457" s="273">
        <v>3127.1</v>
      </c>
      <c r="E457" s="87">
        <v>0</v>
      </c>
      <c r="F457" s="266">
        <v>12363.33</v>
      </c>
      <c r="G457" s="546">
        <f t="shared" si="39"/>
        <v>15490.43</v>
      </c>
      <c r="H457" s="260">
        <f t="shared" si="40"/>
        <v>2052.6330401294049</v>
      </c>
      <c r="I457" s="260">
        <f t="shared" si="41"/>
        <v>0</v>
      </c>
      <c r="J457" s="260">
        <f t="shared" si="42"/>
        <v>6346.5559420035006</v>
      </c>
      <c r="K457" s="260">
        <f t="shared" si="43"/>
        <v>1074.4669598705943</v>
      </c>
      <c r="L457" s="260">
        <f t="shared" si="44"/>
        <v>0</v>
      </c>
      <c r="M457" s="260">
        <f t="shared" si="45"/>
        <v>6016.7740579965084</v>
      </c>
      <c r="N457" s="255">
        <f t="shared" si="46"/>
        <v>0</v>
      </c>
      <c r="P457" s="257" t="s">
        <v>1478</v>
      </c>
      <c r="Q457" s="258">
        <f>SUMIF('Antelope Bailey Split BA'!$B$7:$B$29,#REF!,'Antelope Bailey Split BA'!$C$7:$C$29)</f>
        <v>0</v>
      </c>
    </row>
    <row r="458" spans="1:18" ht="12.75" customHeight="1" x14ac:dyDescent="0.2">
      <c r="A458" s="249" t="s">
        <v>2637</v>
      </c>
      <c r="B458" s="252" t="s">
        <v>129</v>
      </c>
      <c r="C458" s="252" t="s">
        <v>2344</v>
      </c>
      <c r="D458" s="265">
        <v>0</v>
      </c>
      <c r="E458" s="87">
        <v>41481.279999999999</v>
      </c>
      <c r="F458" s="266">
        <v>21656.5</v>
      </c>
      <c r="G458" s="546">
        <f t="shared" si="39"/>
        <v>63137.78</v>
      </c>
      <c r="H458" s="260">
        <f t="shared" si="40"/>
        <v>0</v>
      </c>
      <c r="I458" s="260">
        <f t="shared" si="41"/>
        <v>21198.843553430484</v>
      </c>
      <c r="J458" s="260">
        <f t="shared" si="42"/>
        <v>11117.0848596615</v>
      </c>
      <c r="K458" s="260">
        <f t="shared" si="43"/>
        <v>0</v>
      </c>
      <c r="L458" s="260">
        <f t="shared" si="44"/>
        <v>20282.436446569533</v>
      </c>
      <c r="M458" s="260">
        <f t="shared" si="45"/>
        <v>10539.415140338515</v>
      </c>
      <c r="N458" s="255">
        <f t="shared" si="46"/>
        <v>0</v>
      </c>
      <c r="P458" s="257" t="s">
        <v>1478</v>
      </c>
      <c r="Q458" s="258">
        <f>SUMIF('Antelope Bailey Split BA'!$B$7:$B$29,B68,'Antelope Bailey Split BA'!$C$7:$C$29)</f>
        <v>0</v>
      </c>
    </row>
    <row r="459" spans="1:18" ht="12.75" customHeight="1" x14ac:dyDescent="0.2">
      <c r="A459" s="249" t="s">
        <v>2638</v>
      </c>
      <c r="B459" s="252" t="s">
        <v>1107</v>
      </c>
      <c r="C459" s="252" t="s">
        <v>2344</v>
      </c>
      <c r="D459" s="265">
        <v>0</v>
      </c>
      <c r="E459" s="87">
        <v>106617.96</v>
      </c>
      <c r="F459" s="266">
        <v>21514.78</v>
      </c>
      <c r="G459" s="546">
        <f t="shared" si="39"/>
        <v>128132.74</v>
      </c>
      <c r="H459" s="260">
        <f t="shared" si="40"/>
        <v>0</v>
      </c>
      <c r="I459" s="260">
        <f t="shared" si="41"/>
        <v>54486.685416310909</v>
      </c>
      <c r="J459" s="260">
        <f t="shared" si="42"/>
        <v>11044.33472615372</v>
      </c>
      <c r="K459" s="260">
        <f t="shared" si="43"/>
        <v>0</v>
      </c>
      <c r="L459" s="260">
        <f t="shared" si="44"/>
        <v>52131.274583689141</v>
      </c>
      <c r="M459" s="260">
        <f t="shared" si="45"/>
        <v>10470.445273846295</v>
      </c>
      <c r="N459" s="255">
        <f t="shared" si="46"/>
        <v>0</v>
      </c>
      <c r="P459" s="257" t="s">
        <v>1478</v>
      </c>
      <c r="Q459" s="258">
        <f>SUMIF('Antelope Bailey Split BA'!$B$7:$B$29,B456,'Antelope Bailey Split BA'!$C$7:$C$29)</f>
        <v>0</v>
      </c>
    </row>
    <row r="460" spans="1:18" ht="12.75" customHeight="1" x14ac:dyDescent="0.2">
      <c r="A460" s="249" t="s">
        <v>837</v>
      </c>
      <c r="B460" s="252" t="s">
        <v>1111</v>
      </c>
      <c r="C460" s="252" t="s">
        <v>2344</v>
      </c>
      <c r="D460" s="265">
        <v>2930.68</v>
      </c>
      <c r="E460" s="87">
        <v>32032.13</v>
      </c>
      <c r="F460" s="266">
        <v>3629.7200000000003</v>
      </c>
      <c r="G460" s="546">
        <f t="shared" si="39"/>
        <v>38592.53</v>
      </c>
      <c r="H460" s="260">
        <f t="shared" si="40"/>
        <v>1923.7026631852016</v>
      </c>
      <c r="I460" s="260">
        <f t="shared" si="41"/>
        <v>16369.892938529072</v>
      </c>
      <c r="J460" s="260">
        <f t="shared" si="42"/>
        <v>1863.269930820333</v>
      </c>
      <c r="K460" s="260">
        <f t="shared" si="43"/>
        <v>1006.9773368147975</v>
      </c>
      <c r="L460" s="260">
        <f t="shared" si="44"/>
        <v>15662.237061470943</v>
      </c>
      <c r="M460" s="260">
        <f t="shared" si="45"/>
        <v>1766.4500691796698</v>
      </c>
      <c r="N460" s="255">
        <f t="shared" si="46"/>
        <v>0</v>
      </c>
      <c r="P460" s="257" t="s">
        <v>1478</v>
      </c>
      <c r="Q460" s="258">
        <f>SUMIF('Antelope Bailey Split BA'!$B$7:$B$29,B457,'Antelope Bailey Split BA'!$C$7:$C$29)</f>
        <v>0</v>
      </c>
    </row>
    <row r="461" spans="1:18" ht="12.75" customHeight="1" x14ac:dyDescent="0.2">
      <c r="A461" s="249" t="s">
        <v>2639</v>
      </c>
      <c r="B461" s="252" t="s">
        <v>2264</v>
      </c>
      <c r="C461" s="252" t="s">
        <v>3353</v>
      </c>
      <c r="D461" s="253">
        <v>0</v>
      </c>
      <c r="E461" s="253">
        <v>118500.11</v>
      </c>
      <c r="F461" s="253">
        <v>0</v>
      </c>
      <c r="G461" s="546">
        <f>SUM(D461:F461)</f>
        <v>118500.11</v>
      </c>
      <c r="H461" s="260">
        <f t="shared" si="40"/>
        <v>0</v>
      </c>
      <c r="I461" s="260">
        <f t="shared" si="41"/>
        <v>60559.011027487657</v>
      </c>
      <c r="J461" s="260">
        <f t="shared" si="42"/>
        <v>0</v>
      </c>
      <c r="K461" s="260">
        <f t="shared" si="43"/>
        <v>0</v>
      </c>
      <c r="L461" s="260">
        <f t="shared" si="44"/>
        <v>57941.098972512395</v>
      </c>
      <c r="M461" s="260">
        <f t="shared" si="45"/>
        <v>0</v>
      </c>
      <c r="N461" s="255">
        <f t="shared" si="46"/>
        <v>0</v>
      </c>
      <c r="P461" s="252" t="s">
        <v>1478</v>
      </c>
      <c r="Q461" s="258">
        <f>SUMIF('Antelope Bailey Split BA'!$B$7:$B$29,B461,'Antelope Bailey Split BA'!$C$7:$C$29)</f>
        <v>0</v>
      </c>
      <c r="R461" s="258" t="str">
        <f>IF(AND(Q461=1,'Plant Total by Account'!$J$1=2),"EKWRA","")</f>
        <v/>
      </c>
    </row>
    <row r="462" spans="1:18" ht="12.75" customHeight="1" x14ac:dyDescent="0.2">
      <c r="A462" s="249" t="s">
        <v>2640</v>
      </c>
      <c r="B462" s="252" t="s">
        <v>1112</v>
      </c>
      <c r="C462" s="252" t="s">
        <v>2270</v>
      </c>
      <c r="D462" s="256">
        <v>0</v>
      </c>
      <c r="E462" s="256">
        <v>0</v>
      </c>
      <c r="F462" s="266">
        <v>3270204.8</v>
      </c>
      <c r="G462" s="546">
        <f t="shared" si="39"/>
        <v>3270204.8</v>
      </c>
      <c r="H462" s="260">
        <f t="shared" si="40"/>
        <v>0</v>
      </c>
      <c r="I462" s="260">
        <f t="shared" si="41"/>
        <v>0</v>
      </c>
      <c r="J462" s="260">
        <f t="shared" si="42"/>
        <v>1678717.4414181591</v>
      </c>
      <c r="K462" s="260">
        <f t="shared" si="43"/>
        <v>0</v>
      </c>
      <c r="L462" s="260">
        <f t="shared" si="44"/>
        <v>0</v>
      </c>
      <c r="M462" s="260">
        <f t="shared" si="45"/>
        <v>1591487.3585818431</v>
      </c>
      <c r="N462" s="255">
        <f t="shared" si="46"/>
        <v>0</v>
      </c>
      <c r="P462" s="257" t="s">
        <v>1478</v>
      </c>
      <c r="Q462" s="258">
        <f>SUMIF('Antelope Bailey Split BA'!$B$7:$B$29,B458,'Antelope Bailey Split BA'!$C$7:$C$29)</f>
        <v>0</v>
      </c>
    </row>
    <row r="463" spans="1:18" ht="12.75" customHeight="1" x14ac:dyDescent="0.2">
      <c r="A463" s="249" t="s">
        <v>2641</v>
      </c>
      <c r="B463" s="252" t="s">
        <v>1131</v>
      </c>
      <c r="C463" s="252" t="s">
        <v>2270</v>
      </c>
      <c r="D463" s="256">
        <v>123341.95</v>
      </c>
      <c r="E463" s="256">
        <v>3713423.8500000006</v>
      </c>
      <c r="F463" s="266">
        <v>0</v>
      </c>
      <c r="G463" s="546">
        <f t="shared" si="39"/>
        <v>3836765.8000000007</v>
      </c>
      <c r="H463" s="260">
        <f t="shared" si="40"/>
        <v>80961.837422528552</v>
      </c>
      <c r="I463" s="260">
        <f t="shared" si="41"/>
        <v>1897730.5243166923</v>
      </c>
      <c r="J463" s="260">
        <f t="shared" si="42"/>
        <v>0</v>
      </c>
      <c r="K463" s="260">
        <f t="shared" si="43"/>
        <v>42380.112577471409</v>
      </c>
      <c r="L463" s="260">
        <f t="shared" si="44"/>
        <v>1815693.3256833099</v>
      </c>
      <c r="M463" s="260">
        <f t="shared" si="45"/>
        <v>0</v>
      </c>
      <c r="N463" s="255">
        <f t="shared" si="46"/>
        <v>0</v>
      </c>
      <c r="P463" s="257" t="s">
        <v>1478</v>
      </c>
      <c r="Q463" s="258">
        <f>SUMIF('Antelope Bailey Split BA'!$B$7:$B$29,B459,'Antelope Bailey Split BA'!$C$7:$C$29)</f>
        <v>0</v>
      </c>
    </row>
    <row r="464" spans="1:18" ht="12.75" customHeight="1" x14ac:dyDescent="0.2">
      <c r="A464" s="249" t="s">
        <v>2642</v>
      </c>
      <c r="B464" s="252" t="s">
        <v>180</v>
      </c>
      <c r="C464" s="252"/>
      <c r="D464" s="256">
        <v>0</v>
      </c>
      <c r="E464" s="256">
        <v>0</v>
      </c>
      <c r="F464" s="266">
        <v>621996.6100000001</v>
      </c>
      <c r="G464" s="546">
        <f t="shared" si="39"/>
        <v>621996.6100000001</v>
      </c>
      <c r="H464" s="260">
        <f t="shared" si="40"/>
        <v>0</v>
      </c>
      <c r="I464" s="260">
        <f t="shared" si="41"/>
        <v>0</v>
      </c>
      <c r="J464" s="260">
        <f t="shared" si="42"/>
        <v>319293.93465203425</v>
      </c>
      <c r="K464" s="260">
        <f t="shared" si="43"/>
        <v>0</v>
      </c>
      <c r="L464" s="260">
        <f t="shared" si="44"/>
        <v>0</v>
      </c>
      <c r="M464" s="260">
        <f t="shared" si="45"/>
        <v>302702.67534796626</v>
      </c>
      <c r="N464" s="255">
        <f t="shared" si="46"/>
        <v>0</v>
      </c>
      <c r="P464" s="257" t="s">
        <v>1478</v>
      </c>
      <c r="Q464" s="258">
        <f>SUMIF('Antelope Bailey Split BA'!$B$7:$B$29,B460,'Antelope Bailey Split BA'!$C$7:$C$29)</f>
        <v>0</v>
      </c>
    </row>
    <row r="465" spans="1:18" ht="12.75" customHeight="1" x14ac:dyDescent="0.2">
      <c r="A465" s="249" t="s">
        <v>2456</v>
      </c>
      <c r="B465" s="252" t="s">
        <v>494</v>
      </c>
      <c r="C465" s="252" t="s">
        <v>3353</v>
      </c>
      <c r="D465" s="253">
        <v>0</v>
      </c>
      <c r="E465" s="253">
        <v>0</v>
      </c>
      <c r="F465" s="253">
        <v>22913.570000000003</v>
      </c>
      <c r="G465" s="546">
        <f>SUM(D465:F465)</f>
        <v>22913.570000000003</v>
      </c>
      <c r="H465" s="260">
        <f>H$452*D465</f>
        <v>0</v>
      </c>
      <c r="I465" s="260">
        <f>I$452*E465</f>
        <v>0</v>
      </c>
      <c r="J465" s="260">
        <f>J$452*F465</f>
        <v>11762.385525260037</v>
      </c>
      <c r="K465" s="260">
        <f>K$452*D465</f>
        <v>0</v>
      </c>
      <c r="L465" s="260">
        <f>L$452*E465</f>
        <v>0</v>
      </c>
      <c r="M465" s="260">
        <f>M$452*F465</f>
        <v>11151.184474739983</v>
      </c>
      <c r="N465" s="255">
        <f>G465-SUM(H465:M465)</f>
        <v>0</v>
      </c>
      <c r="P465" s="257" t="s">
        <v>1478</v>
      </c>
      <c r="Q465" s="258">
        <f>SUMIF('Antelope Bailey Split BA'!$B$7:$B$29,B461,'Antelope Bailey Split BA'!$C$7:$C$29)</f>
        <v>0</v>
      </c>
    </row>
    <row r="466" spans="1:18" ht="12.75" customHeight="1" x14ac:dyDescent="0.2">
      <c r="A466" s="249" t="s">
        <v>2643</v>
      </c>
      <c r="B466" s="252" t="s">
        <v>797</v>
      </c>
      <c r="C466" s="252" t="s">
        <v>1509</v>
      </c>
      <c r="D466" s="256">
        <v>44054.54</v>
      </c>
      <c r="E466" s="256">
        <v>0</v>
      </c>
      <c r="F466" s="266">
        <v>0</v>
      </c>
      <c r="G466" s="546">
        <f t="shared" si="39"/>
        <v>44054.54</v>
      </c>
      <c r="H466" s="260">
        <f t="shared" si="40"/>
        <v>28917.464862557154</v>
      </c>
      <c r="I466" s="260">
        <f t="shared" si="41"/>
        <v>0</v>
      </c>
      <c r="J466" s="260">
        <f t="shared" si="42"/>
        <v>0</v>
      </c>
      <c r="K466" s="260">
        <f t="shared" si="43"/>
        <v>15137.075137442836</v>
      </c>
      <c r="L466" s="260">
        <f t="shared" si="44"/>
        <v>0</v>
      </c>
      <c r="M466" s="260">
        <f t="shared" si="45"/>
        <v>0</v>
      </c>
      <c r="N466" s="255">
        <f t="shared" si="46"/>
        <v>0</v>
      </c>
      <c r="P466" s="257" t="s">
        <v>1478</v>
      </c>
      <c r="Q466" s="258">
        <f>SUMIF('Antelope Bailey Split BA'!$B$7:$B$29,B463,'Antelope Bailey Split BA'!$C$7:$C$29)</f>
        <v>0</v>
      </c>
    </row>
    <row r="467" spans="1:18" ht="12.75" customHeight="1" x14ac:dyDescent="0.2">
      <c r="A467" s="249" t="s">
        <v>2044</v>
      </c>
      <c r="B467" s="252" t="s">
        <v>798</v>
      </c>
      <c r="C467" s="252" t="s">
        <v>1509</v>
      </c>
      <c r="D467" s="253">
        <v>0</v>
      </c>
      <c r="E467" s="253">
        <v>7617.03</v>
      </c>
      <c r="F467" s="253">
        <v>0</v>
      </c>
      <c r="G467" s="546">
        <f>SUM(D467:F467)</f>
        <v>7617.03</v>
      </c>
      <c r="H467" s="260">
        <f t="shared" si="40"/>
        <v>0</v>
      </c>
      <c r="I467" s="260">
        <f t="shared" si="41"/>
        <v>3892.6529584377963</v>
      </c>
      <c r="J467" s="260">
        <f t="shared" si="42"/>
        <v>0</v>
      </c>
      <c r="K467" s="260">
        <f t="shared" si="43"/>
        <v>0</v>
      </c>
      <c r="L467" s="260">
        <f t="shared" si="44"/>
        <v>3724.3770415622066</v>
      </c>
      <c r="M467" s="260">
        <f t="shared" si="45"/>
        <v>0</v>
      </c>
      <c r="N467" s="255">
        <f t="shared" si="46"/>
        <v>0</v>
      </c>
      <c r="P467" s="252" t="s">
        <v>1478</v>
      </c>
      <c r="Q467" s="258">
        <f>SUMIF('Antelope Bailey Split BA'!$B$7:$B$29,B467,'Antelope Bailey Split BA'!$C$7:$C$29)</f>
        <v>0</v>
      </c>
      <c r="R467" s="258" t="str">
        <f>IF(AND(Q467=1,'Plant Total by Account'!$J$1=2),"EKWRA","")</f>
        <v/>
      </c>
    </row>
    <row r="468" spans="1:18" ht="12.75" customHeight="1" x14ac:dyDescent="0.2">
      <c r="A468" s="249" t="s">
        <v>2045</v>
      </c>
      <c r="B468" s="252" t="s">
        <v>2265</v>
      </c>
      <c r="C468" s="252"/>
      <c r="D468" s="253">
        <v>0</v>
      </c>
      <c r="E468" s="253">
        <v>0</v>
      </c>
      <c r="F468" s="253">
        <v>74797.930000000008</v>
      </c>
      <c r="G468" s="546">
        <f>SUM(D468:F468)</f>
        <v>74797.930000000008</v>
      </c>
      <c r="H468" s="260">
        <f t="shared" si="40"/>
        <v>0</v>
      </c>
      <c r="I468" s="260">
        <f t="shared" si="41"/>
        <v>0</v>
      </c>
      <c r="J468" s="260">
        <f t="shared" si="42"/>
        <v>38396.552311639498</v>
      </c>
      <c r="K468" s="260">
        <f t="shared" si="43"/>
        <v>0</v>
      </c>
      <c r="L468" s="260">
        <f t="shared" si="44"/>
        <v>0</v>
      </c>
      <c r="M468" s="260">
        <f t="shared" si="45"/>
        <v>36401.377688360561</v>
      </c>
      <c r="N468" s="255">
        <f t="shared" si="46"/>
        <v>0</v>
      </c>
      <c r="P468" s="252" t="s">
        <v>1478</v>
      </c>
      <c r="Q468" s="258">
        <f>SUMIF('Antelope Bailey Split BA'!$B$7:$B$29,B468,'Antelope Bailey Split BA'!$C$7:$C$29)</f>
        <v>0</v>
      </c>
      <c r="R468" s="258" t="str">
        <f>IF(AND(Q468=1,'Plant Total by Account'!$J$1=2),"EKWRA","")</f>
        <v/>
      </c>
    </row>
    <row r="469" spans="1:18" ht="12.75" customHeight="1" x14ac:dyDescent="0.2">
      <c r="A469" s="249" t="s">
        <v>2644</v>
      </c>
      <c r="B469" s="252" t="s">
        <v>1261</v>
      </c>
      <c r="C469" s="252" t="s">
        <v>2270</v>
      </c>
      <c r="D469" s="256">
        <v>0</v>
      </c>
      <c r="E469" s="256">
        <v>0</v>
      </c>
      <c r="F469" s="266">
        <v>23237.25</v>
      </c>
      <c r="G469" s="546">
        <f t="shared" si="39"/>
        <v>23237.25</v>
      </c>
      <c r="H469" s="260">
        <f t="shared" si="40"/>
        <v>0</v>
      </c>
      <c r="I469" s="260">
        <f t="shared" si="41"/>
        <v>0</v>
      </c>
      <c r="J469" s="260">
        <f t="shared" si="42"/>
        <v>11928.542477093215</v>
      </c>
      <c r="K469" s="260">
        <f t="shared" si="43"/>
        <v>0</v>
      </c>
      <c r="L469" s="260">
        <f t="shared" si="44"/>
        <v>0</v>
      </c>
      <c r="M469" s="260">
        <f t="shared" si="45"/>
        <v>11308.707522906803</v>
      </c>
      <c r="N469" s="255">
        <f t="shared" si="46"/>
        <v>0</v>
      </c>
      <c r="P469" s="257" t="s">
        <v>1478</v>
      </c>
      <c r="Q469" s="258">
        <f>SUMIF('Antelope Bailey Split BA'!$B$7:$B$29,B464,'Antelope Bailey Split BA'!$C$7:$C$29)</f>
        <v>0</v>
      </c>
    </row>
    <row r="470" spans="1:18" ht="12.75" customHeight="1" x14ac:dyDescent="0.2">
      <c r="A470" s="249" t="s">
        <v>2191</v>
      </c>
      <c r="B470" s="252" t="s">
        <v>2266</v>
      </c>
      <c r="C470" s="252"/>
      <c r="D470" s="256">
        <v>0</v>
      </c>
      <c r="E470" s="256">
        <v>373557.62</v>
      </c>
      <c r="F470" s="266">
        <v>0</v>
      </c>
      <c r="G470" s="546">
        <f t="shared" si="39"/>
        <v>373557.62</v>
      </c>
      <c r="H470" s="260">
        <f t="shared" si="40"/>
        <v>0</v>
      </c>
      <c r="I470" s="260">
        <f t="shared" si="41"/>
        <v>190905.13948874854</v>
      </c>
      <c r="J470" s="260">
        <f t="shared" si="42"/>
        <v>0</v>
      </c>
      <c r="K470" s="260">
        <f t="shared" si="43"/>
        <v>0</v>
      </c>
      <c r="L470" s="260">
        <f t="shared" si="44"/>
        <v>182652.48051125163</v>
      </c>
      <c r="M470" s="260">
        <f t="shared" si="45"/>
        <v>0</v>
      </c>
      <c r="N470" s="255">
        <f t="shared" si="46"/>
        <v>0</v>
      </c>
      <c r="P470" s="257" t="s">
        <v>1478</v>
      </c>
      <c r="Q470" s="258">
        <f>SUMIF('Antelope Bailey Split BA'!$B$7:$B$29,B265,'Antelope Bailey Split BA'!$C$7:$C$29)</f>
        <v>0</v>
      </c>
    </row>
    <row r="471" spans="1:18" ht="12.75" customHeight="1" x14ac:dyDescent="0.2">
      <c r="A471" s="249" t="s">
        <v>2645</v>
      </c>
      <c r="B471" s="252" t="s">
        <v>970</v>
      </c>
      <c r="C471" s="252" t="s">
        <v>2629</v>
      </c>
      <c r="D471" s="253">
        <v>0</v>
      </c>
      <c r="E471" s="253">
        <v>0</v>
      </c>
      <c r="F471" s="253">
        <v>32925650.549999993</v>
      </c>
      <c r="G471" s="546">
        <f>SUM(D471:F471)</f>
        <v>32925650.549999993</v>
      </c>
      <c r="H471" s="260">
        <f t="shared" si="40"/>
        <v>0</v>
      </c>
      <c r="I471" s="260">
        <f t="shared" si="41"/>
        <v>0</v>
      </c>
      <c r="J471" s="260">
        <f t="shared" si="42"/>
        <v>16901957.898271203</v>
      </c>
      <c r="K471" s="260">
        <f t="shared" si="43"/>
        <v>0</v>
      </c>
      <c r="L471" s="260">
        <f t="shared" si="44"/>
        <v>0</v>
      </c>
      <c r="M471" s="260">
        <f t="shared" si="45"/>
        <v>16023692.651728816</v>
      </c>
      <c r="N471" s="255">
        <f t="shared" si="46"/>
        <v>0</v>
      </c>
      <c r="P471" s="252" t="s">
        <v>1478</v>
      </c>
      <c r="Q471" s="258">
        <f>SUMIF('Antelope Bailey Split BA'!$B$7:$B$29,B471,'Antelope Bailey Split BA'!$C$7:$C$29)</f>
        <v>0</v>
      </c>
      <c r="R471" s="258" t="str">
        <f>IF(AND(Q471=1,'Plant Total by Account'!$J$1=2),"EKWRA","")</f>
        <v/>
      </c>
    </row>
    <row r="472" spans="1:18" ht="12.75" customHeight="1" x14ac:dyDescent="0.2">
      <c r="A472" s="249" t="s">
        <v>2646</v>
      </c>
      <c r="B472" s="258" t="s">
        <v>1262</v>
      </c>
      <c r="C472" s="252" t="s">
        <v>2270</v>
      </c>
      <c r="D472" s="253">
        <v>0</v>
      </c>
      <c r="E472" s="256">
        <v>0</v>
      </c>
      <c r="F472" s="266">
        <v>341890.03</v>
      </c>
      <c r="G472" s="546">
        <f t="shared" si="39"/>
        <v>341890.03</v>
      </c>
      <c r="H472" s="260">
        <f t="shared" si="40"/>
        <v>0</v>
      </c>
      <c r="I472" s="260">
        <f t="shared" si="41"/>
        <v>0</v>
      </c>
      <c r="J472" s="260">
        <f t="shared" si="42"/>
        <v>175504.83578520152</v>
      </c>
      <c r="K472" s="260">
        <f t="shared" si="43"/>
        <v>0</v>
      </c>
      <c r="L472" s="260">
        <f t="shared" si="44"/>
        <v>0</v>
      </c>
      <c r="M472" s="260">
        <f t="shared" si="45"/>
        <v>166385.19421479877</v>
      </c>
      <c r="N472" s="255">
        <f t="shared" si="46"/>
        <v>0</v>
      </c>
      <c r="P472" s="257" t="s">
        <v>1478</v>
      </c>
      <c r="Q472" s="258">
        <f>SUMIF('Antelope Bailey Split BA'!$B$7:$B$29,B466,'Antelope Bailey Split BA'!$C$7:$C$29)</f>
        <v>0</v>
      </c>
    </row>
    <row r="473" spans="1:18" ht="12.75" customHeight="1" x14ac:dyDescent="0.2">
      <c r="A473" s="249" t="s">
        <v>2647</v>
      </c>
      <c r="B473" s="258" t="s">
        <v>1264</v>
      </c>
      <c r="C473" s="252" t="s">
        <v>2629</v>
      </c>
      <c r="D473" s="273">
        <v>0</v>
      </c>
      <c r="E473" s="256">
        <v>0</v>
      </c>
      <c r="F473" s="266">
        <v>2970010.76</v>
      </c>
      <c r="G473" s="546">
        <f t="shared" si="39"/>
        <v>2970010.76</v>
      </c>
      <c r="H473" s="260">
        <f t="shared" si="40"/>
        <v>0</v>
      </c>
      <c r="I473" s="260">
        <f t="shared" si="41"/>
        <v>0</v>
      </c>
      <c r="J473" s="260">
        <f t="shared" si="42"/>
        <v>1524616.7041316808</v>
      </c>
      <c r="K473" s="260">
        <f t="shared" si="43"/>
        <v>0</v>
      </c>
      <c r="L473" s="260">
        <f t="shared" si="44"/>
        <v>0</v>
      </c>
      <c r="M473" s="260">
        <f t="shared" si="45"/>
        <v>1445394.0558683211</v>
      </c>
      <c r="N473" s="255">
        <f t="shared" si="46"/>
        <v>0</v>
      </c>
      <c r="P473" s="257" t="s">
        <v>1478</v>
      </c>
      <c r="Q473" s="258">
        <f>SUMIF('Antelope Bailey Split BA'!$B$7:$B$29,B469,'Antelope Bailey Split BA'!$C$7:$C$29)</f>
        <v>0</v>
      </c>
    </row>
    <row r="474" spans="1:18" ht="21.75" customHeight="1" thickBot="1" x14ac:dyDescent="0.25">
      <c r="A474" s="278" t="s">
        <v>451</v>
      </c>
      <c r="B474" s="548"/>
      <c r="C474" s="548"/>
      <c r="D474" s="502">
        <f>SUM(D453:D473)</f>
        <v>173187.43</v>
      </c>
      <c r="E474" s="502">
        <f>SUM(E453:E473)</f>
        <v>6990098.1600000001</v>
      </c>
      <c r="F474" s="502">
        <f>SUM(F453:F473)</f>
        <v>71814627.390000001</v>
      </c>
      <c r="G474" s="503">
        <f t="shared" si="39"/>
        <v>78977912.980000004</v>
      </c>
      <c r="H474" s="502">
        <f t="shared" ref="H474:M474" si="47">SUM(H453:H473)</f>
        <v>113680.48381986457</v>
      </c>
      <c r="I474" s="502">
        <f t="shared" si="47"/>
        <v>3572261.9291632832</v>
      </c>
      <c r="J474" s="502">
        <f t="shared" si="47"/>
        <v>36865112.407803707</v>
      </c>
      <c r="K474" s="502">
        <f t="shared" si="47"/>
        <v>59506.946180135383</v>
      </c>
      <c r="L474" s="502">
        <f t="shared" si="47"/>
        <v>3417836.2308367207</v>
      </c>
      <c r="M474" s="502">
        <f t="shared" si="47"/>
        <v>34949514.982196338</v>
      </c>
      <c r="N474" s="87"/>
      <c r="O474" s="257"/>
      <c r="P474" s="256"/>
    </row>
    <row r="475" spans="1:18" ht="23.25" customHeight="1" thickTop="1" thickBot="1" x14ac:dyDescent="0.3">
      <c r="A475" s="674" t="s">
        <v>452</v>
      </c>
      <c r="B475" s="674"/>
      <c r="C475" s="548"/>
      <c r="D475" s="502">
        <f t="shared" ref="D475:M475" si="48">D449+D474</f>
        <v>238723489.63000003</v>
      </c>
      <c r="E475" s="502">
        <f t="shared" si="48"/>
        <v>334506130.02999997</v>
      </c>
      <c r="F475" s="502">
        <f t="shared" si="48"/>
        <v>3421750787.2699966</v>
      </c>
      <c r="G475" s="549">
        <f t="shared" si="48"/>
        <v>3994980406.9299955</v>
      </c>
      <c r="H475" s="502">
        <f t="shared" si="48"/>
        <v>156698449.76800469</v>
      </c>
      <c r="I475" s="502">
        <f t="shared" si="48"/>
        <v>170948030.48916146</v>
      </c>
      <c r="J475" s="502">
        <f t="shared" si="48"/>
        <v>1756511618.714663</v>
      </c>
      <c r="K475" s="502">
        <f t="shared" si="48"/>
        <v>82025039.861995295</v>
      </c>
      <c r="L475" s="502">
        <f t="shared" si="48"/>
        <v>163558099.54083863</v>
      </c>
      <c r="M475" s="502">
        <f t="shared" si="48"/>
        <v>1665239168.5553362</v>
      </c>
      <c r="N475" s="87"/>
      <c r="O475" s="257"/>
      <c r="P475" s="256"/>
    </row>
    <row r="476" spans="1:18" ht="14.25" thickTop="1" thickBot="1" x14ac:dyDescent="0.25">
      <c r="C476" s="271"/>
      <c r="D476" s="87"/>
      <c r="E476" s="87"/>
      <c r="F476" s="87"/>
      <c r="G476" s="391"/>
      <c r="H476" s="87"/>
      <c r="I476" s="87"/>
      <c r="J476" s="87"/>
      <c r="K476" s="87"/>
      <c r="L476" s="87"/>
      <c r="M476" s="87"/>
      <c r="N476" s="87"/>
      <c r="O476" s="257"/>
      <c r="P476" s="256"/>
    </row>
    <row r="477" spans="1:18" x14ac:dyDescent="0.2">
      <c r="A477" s="678" t="s">
        <v>3334</v>
      </c>
      <c r="B477" s="679"/>
      <c r="C477" s="293" t="s">
        <v>3330</v>
      </c>
      <c r="D477" s="294">
        <f>SUMIF($O$10:$O$448,"ISO",D$10:D$448)</f>
        <v>27356352.800000001</v>
      </c>
      <c r="E477" s="294">
        <f>SUMIF($O$10:$O$448,"ISO",E$10:E$448)</f>
        <v>63510035.49000001</v>
      </c>
      <c r="F477" s="294">
        <f>SUMIF($O$10:$O$448,"ISO",F$10:F$448)</f>
        <v>727802827.61999989</v>
      </c>
      <c r="G477" s="308">
        <f>SUM(D477:F477)</f>
        <v>818669215.90999985</v>
      </c>
      <c r="H477" s="294">
        <f>SUMIF($O$10:$O$448,"ISO",H$10:H$448)</f>
        <v>27356352.800000001</v>
      </c>
      <c r="I477" s="294">
        <f>SUMIF($O$10:$O$448,"ISO",I$10:I$448)</f>
        <v>63510035.49000001</v>
      </c>
      <c r="J477" s="294">
        <f>SUMIF($O$10:$O$448,"ISO",J$10:J$448)</f>
        <v>727802827.61999989</v>
      </c>
      <c r="K477" s="294"/>
      <c r="L477" s="294"/>
      <c r="M477" s="296"/>
      <c r="N477" s="255">
        <f>G477-SUM(H477:M477)</f>
        <v>0</v>
      </c>
    </row>
    <row r="478" spans="1:18" x14ac:dyDescent="0.2">
      <c r="A478" s="680"/>
      <c r="B478" s="681"/>
      <c r="C478" s="280" t="s">
        <v>3331</v>
      </c>
      <c r="D478" s="307">
        <f>SUMIF($O$10:$O$448,"Non-ISO",D$10:D$448)</f>
        <v>16354694.959999999</v>
      </c>
      <c r="E478" s="307">
        <f>SUMIF($O$10:$O$448,"Non-ISO",E$10:E$448)</f>
        <v>34873768.039999984</v>
      </c>
      <c r="F478" s="307">
        <f>SUMIF($O$10:$O$448,"Non-ISO",F$10:F$448)</f>
        <v>555636275.9400003</v>
      </c>
      <c r="G478" s="306">
        <f>SUM(D478:F478)</f>
        <v>606864738.9400003</v>
      </c>
      <c r="H478" s="307"/>
      <c r="I478" s="307"/>
      <c r="J478" s="307"/>
      <c r="K478" s="307">
        <f>SUMIF($O$10:$O$448,"Non-ISO",K$10:K$448)</f>
        <v>16354694.959999999</v>
      </c>
      <c r="L478" s="307">
        <f>SUMIF($O$10:$O$448,"Non-ISO",L$10:L$448)</f>
        <v>34873768.039999984</v>
      </c>
      <c r="M478" s="305">
        <f>SUMIF($O$10:$O$448,"Non-ISO",M$10:M$448)</f>
        <v>555636275.9400003</v>
      </c>
      <c r="N478" s="255">
        <f>G478-SUM(H478:M478)</f>
        <v>0</v>
      </c>
    </row>
    <row r="479" spans="1:18" x14ac:dyDescent="0.2">
      <c r="A479" s="680"/>
      <c r="B479" s="681"/>
      <c r="C479" s="280" t="s">
        <v>3332</v>
      </c>
      <c r="D479" s="307">
        <f>SUMIF($O$10:$O$448,"Mix",D$10:D$448)</f>
        <v>25896461.770000011</v>
      </c>
      <c r="E479" s="307">
        <f>SUMIF($O$10:$O$448,"Mix",E$10:E$448)</f>
        <v>220801045.75999999</v>
      </c>
      <c r="F479" s="307">
        <f>SUMIF($O$10:$O$448,"Mix",F$10:F$448)</f>
        <v>2064161659.7799997</v>
      </c>
      <c r="G479" s="306">
        <f>SUM(D479:F479)</f>
        <v>2310859167.3099999</v>
      </c>
      <c r="H479" s="307">
        <f t="shared" ref="H479:M479" si="49">SUMIF($O$10:$O$448,"Mix",H$10:H$448)</f>
        <v>6811350.2014099304</v>
      </c>
      <c r="I479" s="307">
        <f t="shared" si="49"/>
        <v>97026301.134956405</v>
      </c>
      <c r="J479" s="307">
        <f t="shared" si="49"/>
        <v>990810862.59003139</v>
      </c>
      <c r="K479" s="307">
        <f t="shared" si="49"/>
        <v>19085111.568590075</v>
      </c>
      <c r="L479" s="307">
        <f t="shared" si="49"/>
        <v>123774744.62504366</v>
      </c>
      <c r="M479" s="305">
        <f t="shared" si="49"/>
        <v>1073350797.1899688</v>
      </c>
      <c r="N479" s="255">
        <f>G479-SUM(H479:M479)</f>
        <v>0</v>
      </c>
    </row>
    <row r="480" spans="1:18" x14ac:dyDescent="0.2">
      <c r="A480" s="680"/>
      <c r="B480" s="681"/>
      <c r="C480" s="280" t="s">
        <v>3333</v>
      </c>
      <c r="D480" s="307">
        <f>SUMIF($O$10:$O$448,"Trans Line",D$10:D$448)</f>
        <v>168942792.67000002</v>
      </c>
      <c r="E480" s="307">
        <f>SUMIF($O$10:$O$448,"Trans Line",E$10:E$448)</f>
        <v>8331182.5800000019</v>
      </c>
      <c r="F480" s="307">
        <f>SUMIF($O$10:$O$448,"Trans Line",F$10:F$448)</f>
        <v>2335396.54</v>
      </c>
      <c r="G480" s="306">
        <f>SUM(D480:F480)</f>
        <v>179609371.79000002</v>
      </c>
      <c r="H480" s="307">
        <f t="shared" ref="H480:M480" si="50">SUMIF($O$10:$O$448,"Trans Line",H$10:H$448)</f>
        <v>122417066.28277493</v>
      </c>
      <c r="I480" s="307">
        <f t="shared" si="50"/>
        <v>6839431.9350416968</v>
      </c>
      <c r="J480" s="307">
        <f t="shared" si="50"/>
        <v>1032816.0968283215</v>
      </c>
      <c r="K480" s="307">
        <f t="shared" si="50"/>
        <v>46525726.387225091</v>
      </c>
      <c r="L480" s="307">
        <f t="shared" si="50"/>
        <v>1491750.6449583033</v>
      </c>
      <c r="M480" s="305">
        <f t="shared" si="50"/>
        <v>1302580.443171679</v>
      </c>
      <c r="N480" s="255">
        <f>G480-SUM(H480:M480)</f>
        <v>0</v>
      </c>
    </row>
    <row r="481" spans="1:14" ht="13.5" thickBot="1" x14ac:dyDescent="0.25">
      <c r="A481" s="682"/>
      <c r="B481" s="683"/>
      <c r="C481" s="297" t="s">
        <v>3344</v>
      </c>
      <c r="D481" s="298">
        <f t="shared" ref="D481:M481" si="51">D474</f>
        <v>173187.43</v>
      </c>
      <c r="E481" s="298">
        <f t="shared" si="51"/>
        <v>6990098.1600000001</v>
      </c>
      <c r="F481" s="298">
        <f t="shared" si="51"/>
        <v>71814627.390000001</v>
      </c>
      <c r="G481" s="304">
        <f t="shared" si="51"/>
        <v>78977912.980000004</v>
      </c>
      <c r="H481" s="298">
        <f t="shared" si="51"/>
        <v>113680.48381986457</v>
      </c>
      <c r="I481" s="298">
        <f t="shared" si="51"/>
        <v>3572261.9291632832</v>
      </c>
      <c r="J481" s="298">
        <f t="shared" si="51"/>
        <v>36865112.407803707</v>
      </c>
      <c r="K481" s="298">
        <f t="shared" si="51"/>
        <v>59506.946180135383</v>
      </c>
      <c r="L481" s="298">
        <f t="shared" si="51"/>
        <v>3417836.2308367207</v>
      </c>
      <c r="M481" s="300">
        <f t="shared" si="51"/>
        <v>34949514.982196338</v>
      </c>
      <c r="N481" s="255"/>
    </row>
    <row r="482" spans="1:14" ht="13.5" thickBot="1" x14ac:dyDescent="0.25">
      <c r="D482" s="87"/>
      <c r="E482" s="87"/>
      <c r="F482" s="87"/>
      <c r="G482" s="274"/>
      <c r="H482" s="256"/>
      <c r="I482" s="256"/>
      <c r="J482" s="256"/>
      <c r="K482" s="256"/>
      <c r="L482" s="256"/>
      <c r="M482" s="256"/>
    </row>
    <row r="483" spans="1:14" x14ac:dyDescent="0.2">
      <c r="B483" s="550" t="s">
        <v>3336</v>
      </c>
      <c r="C483" s="551" t="s">
        <v>1507</v>
      </c>
      <c r="D483" s="552">
        <v>238723489.62999994</v>
      </c>
      <c r="E483" s="552">
        <v>334506130.01999998</v>
      </c>
      <c r="F483" s="553">
        <v>3421750787.289999</v>
      </c>
      <c r="G483" s="274"/>
      <c r="H483" s="256"/>
      <c r="I483" s="256"/>
      <c r="J483" s="256"/>
      <c r="K483" s="256"/>
      <c r="L483" s="256"/>
      <c r="M483" s="256"/>
    </row>
    <row r="484" spans="1:14" ht="13.5" thickBot="1" x14ac:dyDescent="0.25">
      <c r="C484" s="554"/>
      <c r="D484" s="555">
        <f>ROUND((D483-D475),0)</f>
        <v>0</v>
      </c>
      <c r="E484" s="555">
        <f>ROUND((E483-E475),0)</f>
        <v>0</v>
      </c>
      <c r="F484" s="556">
        <f>ROUND((F483-F475),0)</f>
        <v>0</v>
      </c>
      <c r="G484" s="274"/>
      <c r="H484" s="256"/>
      <c r="I484" s="256"/>
      <c r="J484" s="256"/>
      <c r="K484" s="256"/>
      <c r="L484" s="256"/>
      <c r="M484" s="256"/>
    </row>
  </sheetData>
  <autoFilter ref="A9:R449"/>
  <mergeCells count="7">
    <mergeCell ref="K6:M6"/>
    <mergeCell ref="C6:C8"/>
    <mergeCell ref="A475:B475"/>
    <mergeCell ref="B6:B8"/>
    <mergeCell ref="A477:B481"/>
    <mergeCell ref="H6:J6"/>
    <mergeCell ref="D6:F6"/>
  </mergeCells>
  <phoneticPr fontId="20" type="noConversion"/>
  <conditionalFormatting sqref="B164">
    <cfRule type="cellIs" dxfId="77" priority="11" stopIfTrue="1" operator="equal">
      <formula>$B160</formula>
    </cfRule>
  </conditionalFormatting>
  <conditionalFormatting sqref="B166">
    <cfRule type="cellIs" dxfId="76" priority="12" stopIfTrue="1" operator="equal">
      <formula>$B161</formula>
    </cfRule>
  </conditionalFormatting>
  <conditionalFormatting sqref="B169">
    <cfRule type="cellIs" dxfId="75" priority="13" stopIfTrue="1" operator="equal">
      <formula>$B162</formula>
    </cfRule>
  </conditionalFormatting>
  <conditionalFormatting sqref="B171:B172 B176:B183 B252:B258">
    <cfRule type="cellIs" dxfId="74" priority="14" stopIfTrue="1" operator="equal">
      <formula>$B163</formula>
    </cfRule>
  </conditionalFormatting>
  <conditionalFormatting sqref="B174:B175 B185:B251">
    <cfRule type="cellIs" dxfId="73" priority="15" stopIfTrue="1" operator="equal">
      <formula>$B165</formula>
    </cfRule>
  </conditionalFormatting>
  <conditionalFormatting sqref="B13">
    <cfRule type="cellIs" dxfId="72" priority="16" stopIfTrue="1" operator="equal">
      <formula>$B252</formula>
    </cfRule>
  </conditionalFormatting>
  <conditionalFormatting sqref="B17:B19">
    <cfRule type="cellIs" dxfId="71" priority="17" stopIfTrue="1" operator="equal">
      <formula>$B253</formula>
    </cfRule>
  </conditionalFormatting>
  <conditionalFormatting sqref="B21">
    <cfRule type="cellIs" dxfId="70" priority="18" stopIfTrue="1" operator="equal">
      <formula>$B257</formula>
    </cfRule>
  </conditionalFormatting>
  <conditionalFormatting sqref="B291 B31">
    <cfRule type="cellIs" dxfId="69" priority="20" stopIfTrue="1" operator="equal">
      <formula>$B17</formula>
    </cfRule>
  </conditionalFormatting>
  <conditionalFormatting sqref="B285:B290 B328:B330">
    <cfRule type="cellIs" dxfId="68" priority="23" stopIfTrue="1" operator="equal">
      <formula>$B266</formula>
    </cfRule>
  </conditionalFormatting>
  <conditionalFormatting sqref="B279:B284">
    <cfRule type="cellIs" dxfId="67" priority="25" stopIfTrue="1" operator="equal">
      <formula>$B259</formula>
    </cfRule>
  </conditionalFormatting>
  <conditionalFormatting sqref="B442:B448">
    <cfRule type="cellIs" dxfId="66" priority="27" stopIfTrue="1" operator="equal">
      <formula>$B421</formula>
    </cfRule>
  </conditionalFormatting>
  <conditionalFormatting sqref="B402 B437">
    <cfRule type="cellIs" dxfId="65" priority="29" stopIfTrue="1" operator="equal">
      <formula>$B400</formula>
    </cfRule>
  </conditionalFormatting>
  <conditionalFormatting sqref="B438">
    <cfRule type="cellIs" dxfId="64" priority="30" stopIfTrue="1" operator="equal">
      <formula>$B408</formula>
    </cfRule>
  </conditionalFormatting>
  <conditionalFormatting sqref="B331:B333">
    <cfRule type="cellIs" dxfId="63" priority="34" stopIfTrue="1" operator="equal">
      <formula>$B312</formula>
    </cfRule>
  </conditionalFormatting>
  <conditionalFormatting sqref="B398:B401">
    <cfRule type="cellIs" dxfId="62" priority="35" stopIfTrue="1" operator="equal">
      <formula>$B370</formula>
    </cfRule>
  </conditionalFormatting>
  <conditionalFormatting sqref="B403:B436 B439:B441">
    <cfRule type="cellIs" dxfId="61" priority="36" stopIfTrue="1" operator="equal">
      <formula>$B374</formula>
    </cfRule>
  </conditionalFormatting>
  <conditionalFormatting sqref="B359:B368">
    <cfRule type="cellIs" dxfId="60" priority="37" stopIfTrue="1" operator="equal">
      <formula>$B349</formula>
    </cfRule>
  </conditionalFormatting>
  <conditionalFormatting sqref="B338">
    <cfRule type="cellIs" dxfId="59" priority="41" stopIfTrue="1" operator="equal">
      <formula>$B467</formula>
    </cfRule>
  </conditionalFormatting>
  <conditionalFormatting sqref="B336:B337">
    <cfRule type="cellIs" dxfId="58" priority="43" stopIfTrue="1" operator="equal">
      <formula>$B315</formula>
    </cfRule>
  </conditionalFormatting>
  <conditionalFormatting sqref="B461">
    <cfRule type="cellIs" dxfId="57" priority="45" stopIfTrue="1" operator="equal">
      <formula>$B167</formula>
    </cfRule>
  </conditionalFormatting>
  <conditionalFormatting sqref="B184">
    <cfRule type="cellIs" dxfId="56" priority="46" stopIfTrue="1" operator="equal">
      <formula>$B461</formula>
    </cfRule>
  </conditionalFormatting>
  <conditionalFormatting sqref="B471">
    <cfRule type="cellIs" dxfId="55" priority="48" stopIfTrue="1" operator="equal">
      <formula>$B409</formula>
    </cfRule>
  </conditionalFormatting>
  <conditionalFormatting sqref="B10">
    <cfRule type="cellIs" dxfId="54" priority="50" stopIfTrue="1" operator="equal">
      <formula>$B251</formula>
    </cfRule>
  </conditionalFormatting>
  <conditionalFormatting sqref="B23">
    <cfRule type="cellIs" dxfId="53" priority="51" stopIfTrue="1" operator="equal">
      <formula>$B258</formula>
    </cfRule>
  </conditionalFormatting>
  <conditionalFormatting sqref="B382 B369:B370">
    <cfRule type="cellIs" dxfId="52" priority="53" stopIfTrue="1" operator="equal">
      <formula>$B292</formula>
    </cfRule>
  </conditionalFormatting>
  <conditionalFormatting sqref="B33:B34 B30">
    <cfRule type="cellIs" dxfId="51" priority="55" stopIfTrue="1" operator="equal">
      <formula>$B15</formula>
    </cfRule>
  </conditionalFormatting>
  <conditionalFormatting sqref="B24:B25">
    <cfRule type="cellIs" dxfId="50" priority="57" stopIfTrue="1" operator="equal">
      <formula>$B10</formula>
    </cfRule>
  </conditionalFormatting>
  <conditionalFormatting sqref="B259:B261">
    <cfRule type="cellIs" dxfId="49" priority="59" stopIfTrue="1" operator="equal">
      <formula>$B20</formula>
    </cfRule>
  </conditionalFormatting>
  <conditionalFormatting sqref="B263">
    <cfRule type="cellIs" dxfId="48" priority="60" stopIfTrue="1" operator="equal">
      <formula>$B23</formula>
    </cfRule>
  </conditionalFormatting>
  <conditionalFormatting sqref="B269:B276">
    <cfRule type="cellIs" dxfId="47" priority="61" stopIfTrue="1" operator="equal">
      <formula>$B27</formula>
    </cfRule>
  </conditionalFormatting>
  <conditionalFormatting sqref="B278">
    <cfRule type="cellIs" dxfId="46" priority="63" stopIfTrue="1" operator="equal">
      <formula>$B35</formula>
    </cfRule>
  </conditionalFormatting>
  <conditionalFormatting sqref="B392:B397">
    <cfRule type="cellIs" dxfId="45" priority="72" stopIfTrue="1" operator="equal">
      <formula>$B364</formula>
    </cfRule>
  </conditionalFormatting>
  <conditionalFormatting sqref="B384:B390">
    <cfRule type="cellIs" dxfId="44" priority="73" stopIfTrue="1" operator="equal">
      <formula>$B359</formula>
    </cfRule>
  </conditionalFormatting>
  <conditionalFormatting sqref="B339">
    <cfRule type="cellIs" dxfId="43" priority="81" stopIfTrue="1" operator="equal">
      <formula>$B468</formula>
    </cfRule>
  </conditionalFormatting>
  <conditionalFormatting sqref="B356:B358">
    <cfRule type="cellIs" dxfId="42" priority="82" stopIfTrue="1" operator="equal">
      <formula>$B331</formula>
    </cfRule>
  </conditionalFormatting>
  <conditionalFormatting sqref="B59">
    <cfRule type="cellIs" dxfId="41" priority="83" stopIfTrue="1" operator="equal">
      <formula>$B291</formula>
    </cfRule>
  </conditionalFormatting>
  <conditionalFormatting sqref="B293">
    <cfRule type="cellIs" dxfId="40" priority="85" stopIfTrue="1" operator="equal">
      <formula>$B334</formula>
    </cfRule>
  </conditionalFormatting>
  <conditionalFormatting sqref="B383 B371:B380">
    <cfRule type="cellIs" dxfId="39" priority="86" stopIfTrue="1" operator="equal">
      <formula>$B295</formula>
    </cfRule>
  </conditionalFormatting>
  <conditionalFormatting sqref="B317">
    <cfRule type="cellIs" dxfId="38" priority="92" stopIfTrue="1" operator="equal">
      <formula>$B281</formula>
    </cfRule>
  </conditionalFormatting>
  <conditionalFormatting sqref="B467:B468">
    <cfRule type="cellIs" dxfId="37" priority="94" stopIfTrue="1" operator="equal">
      <formula>$B279</formula>
    </cfRule>
  </conditionalFormatting>
  <conditionalFormatting sqref="B319:B322 B315 B309:B312 B325:B327">
    <cfRule type="cellIs" dxfId="36" priority="95" stopIfTrue="1" operator="equal">
      <formula>$B272</formula>
    </cfRule>
  </conditionalFormatting>
  <conditionalFormatting sqref="B314 B324">
    <cfRule type="cellIs" dxfId="35" priority="98" stopIfTrue="1" operator="equal">
      <formula>$B276</formula>
    </cfRule>
  </conditionalFormatting>
  <conditionalFormatting sqref="B266:B268">
    <cfRule type="cellIs" dxfId="34" priority="100" stopIfTrue="1" operator="equal">
      <formula>$B24</formula>
    </cfRule>
  </conditionalFormatting>
  <conditionalFormatting sqref="B307">
    <cfRule type="cellIs" dxfId="33" priority="116" stopIfTrue="1" operator="equal">
      <formula>$B348</formula>
    </cfRule>
  </conditionalFormatting>
  <conditionalFormatting sqref="B35">
    <cfRule type="cellIs" dxfId="32" priority="117" stopIfTrue="1" operator="equal">
      <formula>$B335</formula>
    </cfRule>
  </conditionalFormatting>
  <conditionalFormatting sqref="B381">
    <cfRule type="cellIs" dxfId="31" priority="119" stopIfTrue="1" operator="equal">
      <formula>#REF!</formula>
    </cfRule>
  </conditionalFormatting>
  <conditionalFormatting sqref="B295:B304">
    <cfRule type="cellIs" dxfId="30" priority="126" stopIfTrue="1" operator="equal">
      <formula>$B336</formula>
    </cfRule>
  </conditionalFormatting>
  <conditionalFormatting sqref="B348">
    <cfRule type="cellIs" dxfId="29" priority="128" stopIfTrue="1" operator="equal">
      <formula>$B14</formula>
    </cfRule>
  </conditionalFormatting>
  <conditionalFormatting sqref="B14">
    <cfRule type="cellIs" dxfId="28" priority="130" stopIfTrue="1" operator="equal">
      <formula>$B287</formula>
    </cfRule>
  </conditionalFormatting>
  <conditionalFormatting sqref="B28:B29">
    <cfRule type="cellIs" dxfId="27" priority="133" stopIfTrue="1" operator="equal">
      <formula>$B12</formula>
    </cfRule>
  </conditionalFormatting>
  <conditionalFormatting sqref="B355">
    <cfRule type="cellIs" dxfId="26" priority="135" stopIfTrue="1" operator="equal">
      <formula>$B16</formula>
    </cfRule>
  </conditionalFormatting>
  <conditionalFormatting sqref="B340:B347">
    <cfRule type="cellIs" dxfId="25" priority="136" stopIfTrue="1" operator="equal">
      <formula>$B317</formula>
    </cfRule>
  </conditionalFormatting>
  <conditionalFormatting sqref="B305">
    <cfRule type="cellIs" dxfId="24" priority="143" stopIfTrue="1" operator="equal">
      <formula>$B347</formula>
    </cfRule>
  </conditionalFormatting>
  <conditionalFormatting sqref="B335">
    <cfRule type="cellIs" dxfId="23" priority="144" stopIfTrue="1" operator="equal">
      <formula>$B256</formula>
    </cfRule>
  </conditionalFormatting>
  <conditionalFormatting sqref="B308">
    <cfRule type="cellIs" dxfId="22" priority="146" stopIfTrue="1" operator="equal">
      <formula>$B243</formula>
    </cfRule>
  </conditionalFormatting>
  <conditionalFormatting sqref="B12">
    <cfRule type="cellIs" dxfId="21" priority="148" stopIfTrue="1" operator="equal">
      <formula>$B308</formula>
    </cfRule>
  </conditionalFormatting>
  <conditionalFormatting sqref="B292">
    <cfRule type="cellIs" dxfId="20" priority="150" stopIfTrue="1" operator="equal">
      <formula>$B59</formula>
    </cfRule>
  </conditionalFormatting>
  <conditionalFormatting sqref="B349:B354">
    <cfRule type="cellIs" dxfId="19" priority="152" stopIfTrue="1" operator="equal">
      <formula>$B325</formula>
    </cfRule>
  </conditionalFormatting>
  <conditionalFormatting sqref="B465">
    <cfRule type="cellIs" dxfId="18" priority="1" stopIfTrue="1" operator="equal">
      <formula>$B452</formula>
    </cfRule>
  </conditionalFormatting>
  <printOptions horizontalCentered="1"/>
  <pageMargins left="0.25" right="0.25" top="0.75" bottom="0.75" header="0.3" footer="0.3"/>
  <pageSetup scale="52" fitToHeight="0" orientation="landscape" r:id="rId1"/>
  <headerFooter alignWithMargins="0">
    <oddHeader>&amp;CTransmission
Accounts 350 - 353&amp;RWP- Plant Study 2011
&amp;P of &amp;N</oddHeader>
    <oddFooter>&amp;C&amp;A</oddFooter>
  </headerFooter>
  <rowBreaks count="1" manualBreakCount="1">
    <brk id="449" max="12" man="1"/>
  </rowBreaks>
  <colBreaks count="1" manualBreakCount="1">
    <brk id="14" max="48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9" tint="-0.249977111117893"/>
    <pageSetUpPr fitToPage="1"/>
  </sheetPr>
  <dimension ref="A1:Q621"/>
  <sheetViews>
    <sheetView topLeftCell="B1" zoomScale="90" zoomScaleNormal="90" zoomScaleSheetLayoutView="80" zoomScalePageLayoutView="60" workbookViewId="0">
      <selection activeCell="B1" sqref="B1:Q1"/>
    </sheetView>
  </sheetViews>
  <sheetFormatPr defaultRowHeight="15" outlineLevelRow="1" x14ac:dyDescent="0.25"/>
  <cols>
    <col min="1" max="1" width="0.28515625" style="95" customWidth="1"/>
    <col min="2" max="2" width="9.140625" style="471"/>
    <col min="3" max="3" width="20.42578125" style="457" customWidth="1"/>
    <col min="4" max="4" width="9.28515625" style="457" bestFit="1" customWidth="1"/>
    <col min="5" max="5" width="4.140625" style="95" bestFit="1" customWidth="1"/>
    <col min="6" max="6" width="9.7109375" style="457" customWidth="1"/>
    <col min="7" max="7" width="12.7109375" style="457" customWidth="1"/>
    <col min="8" max="17" width="12.7109375" style="95" customWidth="1"/>
    <col min="18" max="16384" width="9.140625" style="95"/>
  </cols>
  <sheetData>
    <row r="1" spans="1:17" ht="15.75" x14ac:dyDescent="0.25">
      <c r="A1" s="143"/>
      <c r="B1" s="692" t="s">
        <v>1511</v>
      </c>
      <c r="C1" s="692"/>
      <c r="D1" s="692"/>
      <c r="E1" s="692"/>
      <c r="F1" s="692"/>
      <c r="G1" s="692"/>
      <c r="H1" s="692"/>
      <c r="I1" s="692"/>
      <c r="J1" s="692"/>
      <c r="K1" s="692"/>
      <c r="L1" s="692"/>
      <c r="M1" s="692"/>
      <c r="N1" s="692"/>
      <c r="O1" s="692"/>
      <c r="P1" s="692"/>
      <c r="Q1" s="692"/>
    </row>
    <row r="2" spans="1:17" ht="15.75" x14ac:dyDescent="0.25">
      <c r="A2" s="143"/>
      <c r="B2" s="692" t="s">
        <v>1512</v>
      </c>
      <c r="C2" s="692"/>
      <c r="D2" s="692"/>
      <c r="E2" s="692"/>
      <c r="F2" s="692"/>
      <c r="G2" s="692"/>
      <c r="H2" s="692"/>
      <c r="I2" s="692"/>
      <c r="J2" s="692"/>
      <c r="K2" s="692"/>
      <c r="L2" s="692"/>
      <c r="M2" s="692"/>
      <c r="N2" s="692"/>
      <c r="O2" s="692"/>
      <c r="P2" s="692"/>
      <c r="Q2" s="692"/>
    </row>
    <row r="3" spans="1:17" ht="15.75" x14ac:dyDescent="0.25">
      <c r="A3" s="143"/>
      <c r="B3" s="692" t="s">
        <v>1775</v>
      </c>
      <c r="C3" s="692"/>
      <c r="D3" s="692"/>
      <c r="E3" s="692"/>
      <c r="F3" s="692"/>
      <c r="G3" s="692"/>
      <c r="H3" s="692"/>
      <c r="I3" s="692"/>
      <c r="J3" s="692"/>
      <c r="K3" s="692"/>
      <c r="L3" s="692"/>
      <c r="M3" s="692"/>
      <c r="N3" s="692"/>
      <c r="O3" s="692"/>
      <c r="P3" s="692"/>
      <c r="Q3" s="692"/>
    </row>
    <row r="4" spans="1:17" ht="15" customHeight="1" x14ac:dyDescent="0.25">
      <c r="A4" s="143"/>
      <c r="B4" s="693" t="s">
        <v>1488</v>
      </c>
      <c r="C4" s="693"/>
      <c r="D4" s="693"/>
      <c r="E4" s="693"/>
      <c r="F4" s="693"/>
      <c r="G4" s="693"/>
      <c r="H4" s="693"/>
      <c r="I4" s="693"/>
      <c r="J4" s="693"/>
      <c r="K4" s="693"/>
      <c r="L4" s="693"/>
      <c r="M4" s="693"/>
      <c r="N4" s="693"/>
      <c r="O4" s="693"/>
      <c r="P4" s="693"/>
      <c r="Q4" s="693"/>
    </row>
    <row r="5" spans="1:17" ht="15" customHeight="1" x14ac:dyDescent="0.25">
      <c r="A5" s="143"/>
      <c r="B5" s="163"/>
      <c r="C5" s="132"/>
      <c r="D5" s="140"/>
      <c r="E5" s="132"/>
      <c r="F5" s="133"/>
      <c r="H5" s="333"/>
      <c r="I5" s="333"/>
      <c r="J5" s="333"/>
      <c r="K5" s="333"/>
      <c r="L5" s="333"/>
      <c r="M5" s="333"/>
      <c r="N5" s="333"/>
      <c r="O5" s="333"/>
      <c r="P5" s="334"/>
      <c r="Q5" s="333"/>
    </row>
    <row r="6" spans="1:17" ht="21" customHeight="1" x14ac:dyDescent="0.25">
      <c r="A6" s="143">
        <v>1</v>
      </c>
      <c r="B6" s="163" t="s">
        <v>1513</v>
      </c>
      <c r="C6" s="468"/>
      <c r="D6" s="140" t="s">
        <v>1514</v>
      </c>
      <c r="E6" s="132"/>
      <c r="F6" s="694" t="s">
        <v>3384</v>
      </c>
      <c r="G6" s="690" t="s">
        <v>3382</v>
      </c>
      <c r="H6" s="335" t="s">
        <v>1516</v>
      </c>
      <c r="I6" s="335"/>
      <c r="J6" s="335"/>
      <c r="K6" s="335"/>
      <c r="L6" s="335"/>
      <c r="M6" s="335"/>
      <c r="N6" s="335"/>
      <c r="O6" s="335"/>
      <c r="P6" s="335"/>
      <c r="Q6" s="333"/>
    </row>
    <row r="7" spans="1:17" x14ac:dyDescent="0.25">
      <c r="A7" s="143">
        <v>1</v>
      </c>
      <c r="B7" s="136" t="s">
        <v>1517</v>
      </c>
      <c r="C7" s="137"/>
      <c r="D7" s="192" t="s">
        <v>1518</v>
      </c>
      <c r="E7" s="186"/>
      <c r="F7" s="695"/>
      <c r="G7" s="691"/>
      <c r="H7" s="336" t="s">
        <v>1052</v>
      </c>
      <c r="I7" s="336" t="s">
        <v>1037</v>
      </c>
      <c r="J7" s="336" t="s">
        <v>1038</v>
      </c>
      <c r="K7" s="336" t="s">
        <v>1520</v>
      </c>
      <c r="L7" s="336" t="s">
        <v>1521</v>
      </c>
      <c r="M7" s="336" t="s">
        <v>1522</v>
      </c>
      <c r="N7" s="336" t="s">
        <v>1523</v>
      </c>
      <c r="O7" s="336" t="s">
        <v>1524</v>
      </c>
      <c r="P7" s="336" t="s">
        <v>1525</v>
      </c>
      <c r="Q7" s="336" t="s">
        <v>1463</v>
      </c>
    </row>
    <row r="8" spans="1:17" x14ac:dyDescent="0.25">
      <c r="A8" s="143">
        <v>1</v>
      </c>
      <c r="B8" s="437"/>
      <c r="C8" s="135"/>
      <c r="D8" s="140"/>
      <c r="E8" s="132"/>
      <c r="F8" s="133"/>
      <c r="G8" s="134"/>
      <c r="H8" s="333"/>
      <c r="I8" s="333"/>
      <c r="J8" s="333"/>
      <c r="K8" s="333"/>
      <c r="L8" s="333"/>
      <c r="M8" s="333"/>
      <c r="N8" s="333"/>
      <c r="O8" s="333"/>
      <c r="P8" s="333"/>
      <c r="Q8" s="333"/>
    </row>
    <row r="9" spans="1:17" x14ac:dyDescent="0.25">
      <c r="A9" s="143">
        <v>1</v>
      </c>
      <c r="B9" s="437" t="s">
        <v>1526</v>
      </c>
      <c r="C9" s="135"/>
      <c r="D9" s="140"/>
      <c r="E9" s="132"/>
      <c r="F9" s="133"/>
      <c r="G9" s="134"/>
      <c r="H9" s="155"/>
      <c r="I9" s="155"/>
      <c r="J9" s="155"/>
      <c r="K9" s="155"/>
      <c r="L9" s="155"/>
      <c r="M9" s="155"/>
      <c r="N9" s="155"/>
      <c r="O9" s="155"/>
      <c r="P9" s="155"/>
      <c r="Q9" s="155"/>
    </row>
    <row r="10" spans="1:17" x14ac:dyDescent="0.25">
      <c r="A10" s="143">
        <v>1</v>
      </c>
      <c r="B10" s="163" t="s">
        <v>1527</v>
      </c>
      <c r="C10" s="139"/>
      <c r="D10" s="140">
        <v>4031</v>
      </c>
      <c r="E10" s="132"/>
      <c r="F10" s="473">
        <v>336.17750000000001</v>
      </c>
      <c r="G10" s="458">
        <v>336.17750000000001</v>
      </c>
      <c r="H10" s="155">
        <v>0</v>
      </c>
      <c r="I10" s="155">
        <v>95840.85</v>
      </c>
      <c r="J10" s="155">
        <v>0</v>
      </c>
      <c r="K10" s="155">
        <v>27220052.609999999</v>
      </c>
      <c r="L10" s="155">
        <v>0</v>
      </c>
      <c r="M10" s="155">
        <v>14611107.800000001</v>
      </c>
      <c r="N10" s="155">
        <v>0</v>
      </c>
      <c r="O10" s="155">
        <v>0</v>
      </c>
      <c r="P10" s="155">
        <v>136840.9</v>
      </c>
      <c r="Q10" s="155">
        <v>42063842.160000004</v>
      </c>
    </row>
    <row r="11" spans="1:17" x14ac:dyDescent="0.25">
      <c r="A11" s="143">
        <v>1</v>
      </c>
      <c r="B11" s="163" t="s">
        <v>1528</v>
      </c>
      <c r="C11" s="139"/>
      <c r="D11" s="140">
        <v>4034</v>
      </c>
      <c r="E11" s="132"/>
      <c r="F11" s="473">
        <v>289.72500000000002</v>
      </c>
      <c r="G11" s="459">
        <v>289.72500000000002</v>
      </c>
      <c r="H11" s="337">
        <v>0</v>
      </c>
      <c r="I11" s="337">
        <v>540.83000000000004</v>
      </c>
      <c r="J11" s="337">
        <v>0</v>
      </c>
      <c r="K11" s="337">
        <v>7698607.4799999995</v>
      </c>
      <c r="L11" s="337">
        <v>0</v>
      </c>
      <c r="M11" s="337">
        <v>5631427.2300000004</v>
      </c>
      <c r="N11" s="337">
        <v>0</v>
      </c>
      <c r="O11" s="337">
        <v>0</v>
      </c>
      <c r="P11" s="337">
        <v>668870.63</v>
      </c>
      <c r="Q11" s="337">
        <v>13999446.17</v>
      </c>
    </row>
    <row r="12" spans="1:17" x14ac:dyDescent="0.25">
      <c r="A12" s="143">
        <v>1</v>
      </c>
      <c r="B12" s="437"/>
      <c r="C12" s="140" t="s">
        <v>1529</v>
      </c>
      <c r="D12" s="140"/>
      <c r="E12" s="132"/>
      <c r="F12" s="462">
        <v>625.90250000000003</v>
      </c>
      <c r="G12" s="142">
        <v>625.90250000000003</v>
      </c>
      <c r="H12" s="146">
        <v>0</v>
      </c>
      <c r="I12" s="146">
        <v>96381.680000000008</v>
      </c>
      <c r="J12" s="146">
        <v>0</v>
      </c>
      <c r="K12" s="146">
        <v>34918660.089999996</v>
      </c>
      <c r="L12" s="146">
        <v>0</v>
      </c>
      <c r="M12" s="146">
        <v>20242535.030000001</v>
      </c>
      <c r="N12" s="146">
        <v>0</v>
      </c>
      <c r="O12" s="146">
        <v>0</v>
      </c>
      <c r="P12" s="146">
        <v>805711.53</v>
      </c>
      <c r="Q12" s="146">
        <v>56063288.330000006</v>
      </c>
    </row>
    <row r="13" spans="1:17" x14ac:dyDescent="0.25">
      <c r="A13" s="143">
        <v>1</v>
      </c>
      <c r="B13" s="437"/>
      <c r="C13" s="135"/>
      <c r="D13" s="140"/>
      <c r="E13" s="132"/>
      <c r="F13" s="462"/>
      <c r="G13" s="458"/>
      <c r="H13" s="155"/>
      <c r="I13" s="155"/>
      <c r="J13" s="155"/>
      <c r="K13" s="155"/>
      <c r="L13" s="155"/>
      <c r="M13" s="155"/>
      <c r="N13" s="155"/>
      <c r="O13" s="155"/>
      <c r="P13" s="155"/>
      <c r="Q13" s="155"/>
    </row>
    <row r="14" spans="1:17" ht="15.75" thickBot="1" x14ac:dyDescent="0.3">
      <c r="A14" s="143">
        <v>1</v>
      </c>
      <c r="B14" s="437"/>
      <c r="C14" s="141" t="s">
        <v>1530</v>
      </c>
      <c r="D14" s="158"/>
      <c r="E14" s="219"/>
      <c r="F14" s="474">
        <v>625.90250000000003</v>
      </c>
      <c r="G14" s="339">
        <v>625.90250000000003</v>
      </c>
      <c r="H14" s="338">
        <v>0</v>
      </c>
      <c r="I14" s="338">
        <v>96381.680000000008</v>
      </c>
      <c r="J14" s="338">
        <v>0</v>
      </c>
      <c r="K14" s="339">
        <v>34918660.089999996</v>
      </c>
      <c r="L14" s="338">
        <v>0</v>
      </c>
      <c r="M14" s="338">
        <v>20242535.030000001</v>
      </c>
      <c r="N14" s="338">
        <v>0</v>
      </c>
      <c r="O14" s="338">
        <v>0</v>
      </c>
      <c r="P14" s="338">
        <v>805711.53</v>
      </c>
      <c r="Q14" s="338">
        <v>56063288.330000006</v>
      </c>
    </row>
    <row r="15" spans="1:17" ht="15.75" thickTop="1" x14ac:dyDescent="0.25">
      <c r="A15" s="143">
        <v>1</v>
      </c>
      <c r="B15" s="437"/>
      <c r="C15" s="139"/>
      <c r="D15" s="140"/>
      <c r="E15" s="132"/>
      <c r="F15" s="462"/>
      <c r="G15" s="458"/>
      <c r="H15" s="155"/>
      <c r="I15" s="155"/>
      <c r="J15" s="155"/>
      <c r="K15" s="155"/>
      <c r="L15" s="155"/>
      <c r="M15" s="155"/>
      <c r="N15" s="155"/>
      <c r="O15" s="155"/>
      <c r="P15" s="155"/>
      <c r="Q15" s="155"/>
    </row>
    <row r="16" spans="1:17" x14ac:dyDescent="0.25">
      <c r="A16" s="143">
        <v>1</v>
      </c>
      <c r="B16" s="437" t="s">
        <v>1531</v>
      </c>
      <c r="C16" s="135"/>
      <c r="D16" s="140"/>
      <c r="E16" s="132"/>
      <c r="F16" s="462"/>
      <c r="G16" s="458"/>
      <c r="H16" s="155"/>
      <c r="I16" s="155"/>
      <c r="J16" s="155"/>
      <c r="K16" s="155"/>
      <c r="L16" s="155"/>
      <c r="M16" s="155"/>
      <c r="N16" s="155"/>
      <c r="O16" s="155"/>
      <c r="P16" s="155"/>
      <c r="Q16" s="155"/>
    </row>
    <row r="17" spans="1:17" x14ac:dyDescent="0.25">
      <c r="A17" s="143">
        <v>1</v>
      </c>
      <c r="B17" s="163" t="s">
        <v>1532</v>
      </c>
      <c r="C17" s="139"/>
      <c r="D17" s="140">
        <v>4185</v>
      </c>
      <c r="E17" s="132"/>
      <c r="F17" s="473">
        <v>126.45459999999999</v>
      </c>
      <c r="G17" s="458">
        <v>126.45459999999999</v>
      </c>
      <c r="H17" s="155">
        <v>12546475.5</v>
      </c>
      <c r="I17" s="155">
        <v>0</v>
      </c>
      <c r="J17" s="155">
        <v>0</v>
      </c>
      <c r="K17" s="155">
        <v>28772328.350000001</v>
      </c>
      <c r="L17" s="155">
        <v>804.68000000000006</v>
      </c>
      <c r="M17" s="155">
        <v>21381648.710000001</v>
      </c>
      <c r="N17" s="155">
        <v>0</v>
      </c>
      <c r="O17" s="155">
        <v>1151660.45</v>
      </c>
      <c r="P17" s="155">
        <v>453081.41000000003</v>
      </c>
      <c r="Q17" s="155">
        <v>64305999.100000001</v>
      </c>
    </row>
    <row r="18" spans="1:17" x14ac:dyDescent="0.25">
      <c r="A18" s="143">
        <v>1</v>
      </c>
      <c r="B18" s="163" t="s">
        <v>1533</v>
      </c>
      <c r="C18" s="139"/>
      <c r="D18" s="140">
        <v>4186</v>
      </c>
      <c r="E18" s="132"/>
      <c r="F18" s="473">
        <v>112.0458</v>
      </c>
      <c r="G18" s="459">
        <v>112.0458</v>
      </c>
      <c r="H18" s="337">
        <v>1194334.76</v>
      </c>
      <c r="I18" s="337">
        <v>0</v>
      </c>
      <c r="J18" s="337">
        <v>0</v>
      </c>
      <c r="K18" s="337">
        <v>17297410.52</v>
      </c>
      <c r="L18" s="337">
        <v>0</v>
      </c>
      <c r="M18" s="337">
        <v>25189674.899999999</v>
      </c>
      <c r="N18" s="337">
        <v>0</v>
      </c>
      <c r="O18" s="337">
        <v>0</v>
      </c>
      <c r="P18" s="337">
        <v>147244.76</v>
      </c>
      <c r="Q18" s="337">
        <v>43828664.939999998</v>
      </c>
    </row>
    <row r="19" spans="1:17" x14ac:dyDescent="0.25">
      <c r="A19" s="143">
        <v>1</v>
      </c>
      <c r="B19" s="437"/>
      <c r="C19" s="139" t="s">
        <v>1534</v>
      </c>
      <c r="D19" s="140"/>
      <c r="E19" s="132"/>
      <c r="F19" s="462">
        <v>238.50039999999998</v>
      </c>
      <c r="G19" s="458">
        <v>238.50039999999998</v>
      </c>
      <c r="H19" s="155">
        <v>13740810.26</v>
      </c>
      <c r="I19" s="155">
        <v>0</v>
      </c>
      <c r="J19" s="155">
        <v>0</v>
      </c>
      <c r="K19" s="155">
        <v>46069738.870000005</v>
      </c>
      <c r="L19" s="155">
        <v>804.68000000000006</v>
      </c>
      <c r="M19" s="155">
        <v>46571323.609999999</v>
      </c>
      <c r="N19" s="155">
        <v>0</v>
      </c>
      <c r="O19" s="155">
        <v>1151660.45</v>
      </c>
      <c r="P19" s="155">
        <v>600326.17000000004</v>
      </c>
      <c r="Q19" s="155">
        <v>108134664.03999999</v>
      </c>
    </row>
    <row r="20" spans="1:17" x14ac:dyDescent="0.25">
      <c r="A20" s="143">
        <v>1</v>
      </c>
      <c r="B20" s="437"/>
      <c r="C20" s="139"/>
      <c r="D20" s="140"/>
      <c r="E20" s="132"/>
      <c r="F20" s="462"/>
      <c r="G20" s="134"/>
      <c r="H20" s="155"/>
      <c r="I20" s="155"/>
      <c r="J20" s="155"/>
      <c r="K20" s="155"/>
      <c r="L20" s="155"/>
      <c r="M20" s="155"/>
      <c r="N20" s="155"/>
      <c r="O20" s="155"/>
      <c r="P20" s="155"/>
      <c r="Q20" s="155"/>
    </row>
    <row r="21" spans="1:17" x14ac:dyDescent="0.25">
      <c r="A21" s="143">
        <v>1</v>
      </c>
      <c r="B21" s="163" t="s">
        <v>1535</v>
      </c>
      <c r="C21" s="139"/>
      <c r="D21" s="140">
        <v>4187</v>
      </c>
      <c r="E21" s="132"/>
      <c r="F21" s="473">
        <v>41.601199999999999</v>
      </c>
      <c r="G21" s="458">
        <v>41.601199999999999</v>
      </c>
      <c r="H21" s="155">
        <v>10444073.32</v>
      </c>
      <c r="I21" s="155">
        <v>0</v>
      </c>
      <c r="J21" s="155">
        <v>0</v>
      </c>
      <c r="K21" s="155">
        <v>21195906.16</v>
      </c>
      <c r="L21" s="155">
        <v>0</v>
      </c>
      <c r="M21" s="155">
        <v>11949086.67</v>
      </c>
      <c r="N21" s="155">
        <v>0</v>
      </c>
      <c r="O21" s="155">
        <v>0</v>
      </c>
      <c r="P21" s="155">
        <v>4790335.8499999996</v>
      </c>
      <c r="Q21" s="155">
        <v>48379402</v>
      </c>
    </row>
    <row r="22" spans="1:17" x14ac:dyDescent="0.25">
      <c r="A22" s="143">
        <v>1</v>
      </c>
      <c r="B22" s="437"/>
      <c r="C22" s="139"/>
      <c r="D22" s="140"/>
      <c r="E22" s="132"/>
      <c r="F22" s="462"/>
      <c r="G22" s="134"/>
      <c r="H22" s="155"/>
      <c r="I22" s="155"/>
      <c r="J22" s="155"/>
      <c r="K22" s="340"/>
      <c r="L22" s="155"/>
      <c r="M22" s="155"/>
      <c r="N22" s="155"/>
      <c r="O22" s="155"/>
      <c r="P22" s="155"/>
      <c r="Q22" s="155"/>
    </row>
    <row r="23" spans="1:17" x14ac:dyDescent="0.25">
      <c r="A23" s="143">
        <v>1</v>
      </c>
      <c r="B23" s="163" t="s">
        <v>1536</v>
      </c>
      <c r="C23" s="139"/>
      <c r="D23" s="140">
        <v>4136</v>
      </c>
      <c r="E23" s="132"/>
      <c r="F23" s="473">
        <v>150.6686</v>
      </c>
      <c r="G23" s="458">
        <v>150.6686</v>
      </c>
      <c r="H23" s="155">
        <v>1330373</v>
      </c>
      <c r="I23" s="155">
        <v>0</v>
      </c>
      <c r="J23" s="155">
        <v>0</v>
      </c>
      <c r="K23" s="155">
        <v>12189960.310000001</v>
      </c>
      <c r="L23" s="155">
        <v>0</v>
      </c>
      <c r="M23" s="155">
        <v>10420731.939999999</v>
      </c>
      <c r="N23" s="155">
        <v>0</v>
      </c>
      <c r="O23" s="155">
        <v>0</v>
      </c>
      <c r="P23" s="155">
        <v>117747.16999999998</v>
      </c>
      <c r="Q23" s="155">
        <v>24058812.420000002</v>
      </c>
    </row>
    <row r="24" spans="1:17" x14ac:dyDescent="0.25">
      <c r="A24" s="143">
        <v>1</v>
      </c>
      <c r="B24" s="163" t="s">
        <v>1537</v>
      </c>
      <c r="C24" s="139"/>
      <c r="D24" s="140">
        <v>4137</v>
      </c>
      <c r="E24" s="132"/>
      <c r="F24" s="473">
        <v>26.509</v>
      </c>
      <c r="G24" s="459">
        <v>26.509</v>
      </c>
      <c r="H24" s="337">
        <v>16589.080000000002</v>
      </c>
      <c r="I24" s="337">
        <v>0</v>
      </c>
      <c r="J24" s="337">
        <v>0</v>
      </c>
      <c r="K24" s="337">
        <v>2027936.36</v>
      </c>
      <c r="L24" s="337">
        <v>0</v>
      </c>
      <c r="M24" s="337">
        <v>1784137.46</v>
      </c>
      <c r="N24" s="337">
        <v>0</v>
      </c>
      <c r="O24" s="337">
        <v>0</v>
      </c>
      <c r="P24" s="337">
        <v>20088.12</v>
      </c>
      <c r="Q24" s="337">
        <v>3848751.0200000005</v>
      </c>
    </row>
    <row r="25" spans="1:17" x14ac:dyDescent="0.25">
      <c r="A25" s="143">
        <v>1</v>
      </c>
      <c r="B25" s="163"/>
      <c r="C25" s="139" t="s">
        <v>1538</v>
      </c>
      <c r="D25" s="140"/>
      <c r="E25" s="132"/>
      <c r="F25" s="462">
        <v>177.17759999999998</v>
      </c>
      <c r="G25" s="142">
        <v>177.17759999999998</v>
      </c>
      <c r="H25" s="155">
        <v>1346962.08</v>
      </c>
      <c r="I25" s="155">
        <v>0</v>
      </c>
      <c r="J25" s="155">
        <v>0</v>
      </c>
      <c r="K25" s="155">
        <v>14217896.67</v>
      </c>
      <c r="L25" s="155">
        <v>0</v>
      </c>
      <c r="M25" s="155">
        <v>12204869.399999999</v>
      </c>
      <c r="N25" s="155">
        <v>0</v>
      </c>
      <c r="O25" s="155">
        <v>0</v>
      </c>
      <c r="P25" s="155">
        <v>137835.28999999998</v>
      </c>
      <c r="Q25" s="155">
        <v>27907563.440000001</v>
      </c>
    </row>
    <row r="26" spans="1:17" x14ac:dyDescent="0.25">
      <c r="A26" s="143">
        <v>1</v>
      </c>
      <c r="B26" s="163"/>
      <c r="C26" s="139"/>
      <c r="D26" s="140"/>
      <c r="E26" s="132"/>
      <c r="F26" s="462"/>
      <c r="G26" s="134"/>
      <c r="H26" s="155"/>
      <c r="I26" s="155"/>
      <c r="J26" s="155"/>
      <c r="K26" s="155"/>
      <c r="L26" s="155"/>
      <c r="M26" s="155"/>
      <c r="N26" s="155"/>
      <c r="O26" s="155"/>
      <c r="P26" s="155"/>
      <c r="Q26" s="155"/>
    </row>
    <row r="27" spans="1:17" x14ac:dyDescent="0.25">
      <c r="A27" s="143">
        <v>1</v>
      </c>
      <c r="B27" s="163" t="s">
        <v>1539</v>
      </c>
      <c r="C27" s="139"/>
      <c r="D27" s="140" t="s">
        <v>1540</v>
      </c>
      <c r="E27" s="132"/>
      <c r="F27" s="462">
        <v>0.6</v>
      </c>
      <c r="G27" s="458"/>
      <c r="H27" s="155"/>
      <c r="I27" s="155"/>
      <c r="J27" s="155"/>
      <c r="K27" s="155"/>
      <c r="L27" s="155"/>
      <c r="M27" s="155"/>
      <c r="N27" s="155"/>
      <c r="O27" s="155"/>
      <c r="P27" s="155"/>
      <c r="Q27" s="341" t="s">
        <v>1540</v>
      </c>
    </row>
    <row r="28" spans="1:17" x14ac:dyDescent="0.25">
      <c r="A28" s="143">
        <v>1</v>
      </c>
      <c r="B28" s="163"/>
      <c r="C28" s="139"/>
      <c r="D28" s="140"/>
      <c r="E28" s="132"/>
      <c r="F28" s="462"/>
      <c r="G28" s="134"/>
      <c r="H28" s="155"/>
      <c r="I28" s="155"/>
      <c r="J28" s="155"/>
      <c r="K28" s="155"/>
      <c r="L28" s="155"/>
      <c r="M28" s="155"/>
      <c r="N28" s="155"/>
      <c r="O28" s="155"/>
      <c r="P28" s="155"/>
      <c r="Q28" s="155"/>
    </row>
    <row r="29" spans="1:17" x14ac:dyDescent="0.25">
      <c r="A29" s="143">
        <v>1</v>
      </c>
      <c r="B29" s="163" t="s">
        <v>1541</v>
      </c>
      <c r="C29" s="139"/>
      <c r="D29" s="140">
        <v>4143</v>
      </c>
      <c r="E29" s="132"/>
      <c r="F29" s="473">
        <v>29.645799999999998</v>
      </c>
      <c r="G29" s="458">
        <v>29.645799999999998</v>
      </c>
      <c r="H29" s="155">
        <v>6166.88</v>
      </c>
      <c r="I29" s="155">
        <v>0</v>
      </c>
      <c r="J29" s="155">
        <v>0</v>
      </c>
      <c r="K29" s="155">
        <v>2588095.0300000003</v>
      </c>
      <c r="L29" s="155">
        <v>0</v>
      </c>
      <c r="M29" s="155">
        <v>1880705.48</v>
      </c>
      <c r="N29" s="155">
        <v>0</v>
      </c>
      <c r="O29" s="155">
        <v>0</v>
      </c>
      <c r="P29" s="155">
        <v>145064.49</v>
      </c>
      <c r="Q29" s="155">
        <v>4620031.8800000008</v>
      </c>
    </row>
    <row r="30" spans="1:17" x14ac:dyDescent="0.25">
      <c r="A30" s="143">
        <v>1</v>
      </c>
      <c r="B30" s="163"/>
      <c r="C30" s="139"/>
      <c r="D30" s="140"/>
      <c r="E30" s="132"/>
      <c r="F30" s="462"/>
      <c r="G30" s="134"/>
      <c r="H30" s="155"/>
      <c r="I30" s="155"/>
      <c r="J30" s="155"/>
      <c r="K30" s="155"/>
      <c r="L30" s="155"/>
      <c r="M30" s="155"/>
      <c r="N30" s="155"/>
      <c r="O30" s="155"/>
      <c r="P30" s="155"/>
      <c r="Q30" s="155"/>
    </row>
    <row r="31" spans="1:17" x14ac:dyDescent="0.25">
      <c r="A31" s="143">
        <v>1</v>
      </c>
      <c r="B31" s="163" t="s">
        <v>1542</v>
      </c>
      <c r="C31" s="139"/>
      <c r="D31" s="140">
        <v>4141</v>
      </c>
      <c r="E31" s="132"/>
      <c r="F31" s="473">
        <v>59.3947</v>
      </c>
      <c r="G31" s="458">
        <v>59.3947</v>
      </c>
      <c r="H31" s="155">
        <v>76199.12</v>
      </c>
      <c r="I31" s="155">
        <v>0</v>
      </c>
      <c r="J31" s="155">
        <v>0</v>
      </c>
      <c r="K31" s="155">
        <v>1155537.9900000002</v>
      </c>
      <c r="L31" s="155">
        <v>0</v>
      </c>
      <c r="M31" s="155">
        <v>1251359.25</v>
      </c>
      <c r="N31" s="155">
        <v>0</v>
      </c>
      <c r="O31" s="155">
        <v>0</v>
      </c>
      <c r="P31" s="155">
        <v>55916.25</v>
      </c>
      <c r="Q31" s="155">
        <v>2539012.6100000003</v>
      </c>
    </row>
    <row r="32" spans="1:17" x14ac:dyDescent="0.25">
      <c r="A32" s="143">
        <v>1</v>
      </c>
      <c r="B32" s="163"/>
      <c r="C32" s="139"/>
      <c r="D32" s="140"/>
      <c r="E32" s="132"/>
      <c r="F32" s="462"/>
      <c r="G32" s="134"/>
      <c r="H32" s="155"/>
      <c r="I32" s="155"/>
      <c r="J32" s="155"/>
      <c r="K32" s="155"/>
      <c r="L32" s="155"/>
      <c r="M32" s="155"/>
      <c r="N32" s="155"/>
      <c r="O32" s="155"/>
      <c r="P32" s="155"/>
      <c r="Q32" s="155"/>
    </row>
    <row r="33" spans="1:17" x14ac:dyDescent="0.25">
      <c r="A33" s="143">
        <v>1</v>
      </c>
      <c r="B33" s="163" t="s">
        <v>1543</v>
      </c>
      <c r="C33" s="139"/>
      <c r="D33" s="140" t="s">
        <v>1540</v>
      </c>
      <c r="E33" s="132"/>
      <c r="F33" s="462">
        <v>0.22</v>
      </c>
      <c r="G33" s="458"/>
      <c r="H33" s="155"/>
      <c r="I33" s="155"/>
      <c r="J33" s="155"/>
      <c r="K33" s="155"/>
      <c r="L33" s="155"/>
      <c r="M33" s="155"/>
      <c r="N33" s="155"/>
      <c r="O33" s="155"/>
      <c r="P33" s="155"/>
      <c r="Q33" s="341" t="s">
        <v>1540</v>
      </c>
    </row>
    <row r="34" spans="1:17" x14ac:dyDescent="0.25">
      <c r="A34" s="143">
        <v>1</v>
      </c>
      <c r="B34" s="163"/>
      <c r="C34" s="139"/>
      <c r="D34" s="140"/>
      <c r="E34" s="132"/>
      <c r="F34" s="473"/>
      <c r="G34" s="134"/>
      <c r="H34" s="150"/>
      <c r="I34" s="150"/>
      <c r="J34" s="150"/>
      <c r="K34" s="150"/>
      <c r="L34" s="150"/>
      <c r="M34" s="150"/>
      <c r="N34" s="150"/>
      <c r="O34" s="150"/>
      <c r="P34" s="150"/>
      <c r="Q34" s="150"/>
    </row>
    <row r="35" spans="1:17" x14ac:dyDescent="0.25">
      <c r="A35" s="143">
        <v>1</v>
      </c>
      <c r="B35" s="163" t="s">
        <v>1544</v>
      </c>
      <c r="C35" s="139"/>
      <c r="D35" s="140">
        <v>4130</v>
      </c>
      <c r="E35" s="132"/>
      <c r="F35" s="473">
        <v>9.8529999999999998</v>
      </c>
      <c r="G35" s="458">
        <v>9.8529999999999998</v>
      </c>
      <c r="H35" s="155">
        <v>157989.61000000002</v>
      </c>
      <c r="I35" s="155">
        <v>0</v>
      </c>
      <c r="J35" s="155">
        <v>0</v>
      </c>
      <c r="K35" s="155">
        <v>420632.4</v>
      </c>
      <c r="L35" s="155">
        <v>0</v>
      </c>
      <c r="M35" s="155">
        <v>517455.16000000009</v>
      </c>
      <c r="N35" s="155">
        <v>0</v>
      </c>
      <c r="O35" s="155">
        <v>0</v>
      </c>
      <c r="P35" s="155">
        <v>19050.7</v>
      </c>
      <c r="Q35" s="155">
        <v>1115127.8700000001</v>
      </c>
    </row>
    <row r="36" spans="1:17" x14ac:dyDescent="0.25">
      <c r="A36" s="143">
        <v>1</v>
      </c>
      <c r="B36" s="163" t="s">
        <v>1545</v>
      </c>
      <c r="C36" s="139"/>
      <c r="D36" s="140">
        <v>4140</v>
      </c>
      <c r="E36" s="132"/>
      <c r="F36" s="473">
        <v>165.9571</v>
      </c>
      <c r="G36" s="459">
        <v>165.9571</v>
      </c>
      <c r="H36" s="337">
        <v>278111.81</v>
      </c>
      <c r="I36" s="337">
        <v>0</v>
      </c>
      <c r="J36" s="337">
        <v>0</v>
      </c>
      <c r="K36" s="337">
        <v>12178545.18</v>
      </c>
      <c r="L36" s="337">
        <v>1375948.02</v>
      </c>
      <c r="M36" s="337">
        <v>9649509.5199999996</v>
      </c>
      <c r="N36" s="337">
        <v>0</v>
      </c>
      <c r="O36" s="337">
        <v>0</v>
      </c>
      <c r="P36" s="337">
        <v>329332.83</v>
      </c>
      <c r="Q36" s="337">
        <v>23811447.359999999</v>
      </c>
    </row>
    <row r="37" spans="1:17" x14ac:dyDescent="0.25">
      <c r="A37" s="143">
        <v>1</v>
      </c>
      <c r="B37" s="163"/>
      <c r="C37" s="139" t="s">
        <v>1546</v>
      </c>
      <c r="D37" s="140"/>
      <c r="E37" s="132"/>
      <c r="F37" s="462">
        <v>175.81010000000001</v>
      </c>
      <c r="G37" s="142">
        <v>175.81010000000001</v>
      </c>
      <c r="H37" s="146">
        <v>436101.42000000004</v>
      </c>
      <c r="I37" s="146">
        <v>0</v>
      </c>
      <c r="J37" s="146">
        <v>0</v>
      </c>
      <c r="K37" s="146">
        <v>12599177.58</v>
      </c>
      <c r="L37" s="146">
        <v>1375948.02</v>
      </c>
      <c r="M37" s="146">
        <v>10166964.68</v>
      </c>
      <c r="N37" s="146">
        <v>0</v>
      </c>
      <c r="O37" s="146">
        <v>0</v>
      </c>
      <c r="P37" s="146">
        <v>348383.53</v>
      </c>
      <c r="Q37" s="146">
        <v>24926575.23</v>
      </c>
    </row>
    <row r="38" spans="1:17" x14ac:dyDescent="0.25">
      <c r="A38" s="143">
        <v>1</v>
      </c>
      <c r="B38" s="163"/>
      <c r="C38" s="139"/>
      <c r="D38" s="140"/>
      <c r="E38" s="132"/>
      <c r="F38" s="462"/>
      <c r="G38" s="134"/>
      <c r="H38" s="155"/>
      <c r="I38" s="155"/>
      <c r="J38" s="155"/>
      <c r="K38" s="155"/>
      <c r="L38" s="155"/>
      <c r="M38" s="155"/>
      <c r="N38" s="155"/>
      <c r="O38" s="155"/>
      <c r="P38" s="155"/>
      <c r="Q38" s="155"/>
    </row>
    <row r="39" spans="1:17" x14ac:dyDescent="0.25">
      <c r="A39" s="143">
        <v>1</v>
      </c>
      <c r="B39" s="163" t="s">
        <v>1547</v>
      </c>
      <c r="C39" s="139"/>
      <c r="D39" s="140">
        <v>4138</v>
      </c>
      <c r="E39" s="132"/>
      <c r="F39" s="462">
        <v>30.588699999999999</v>
      </c>
      <c r="G39" s="458">
        <v>96.506100000000004</v>
      </c>
      <c r="H39" s="155">
        <v>3044536.1600487847</v>
      </c>
      <c r="I39" s="155">
        <v>0</v>
      </c>
      <c r="J39" s="155">
        <v>31.12243115202044</v>
      </c>
      <c r="K39" s="155">
        <v>8352556.6800841289</v>
      </c>
      <c r="L39" s="155">
        <v>37477.413523880874</v>
      </c>
      <c r="M39" s="155">
        <v>5848512.9164187331</v>
      </c>
      <c r="N39" s="155">
        <v>0</v>
      </c>
      <c r="O39" s="155">
        <v>0</v>
      </c>
      <c r="P39" s="155">
        <v>200591.95794180888</v>
      </c>
      <c r="Q39" s="155">
        <v>17483706.250448488</v>
      </c>
    </row>
    <row r="40" spans="1:17" x14ac:dyDescent="0.25">
      <c r="A40" s="143">
        <v>1</v>
      </c>
      <c r="B40" s="438"/>
      <c r="C40" s="151"/>
      <c r="D40" s="472"/>
      <c r="E40" s="143"/>
      <c r="F40" s="475"/>
      <c r="G40" s="461"/>
      <c r="H40" s="334"/>
      <c r="I40" s="334"/>
      <c r="J40" s="334"/>
      <c r="K40" s="334"/>
      <c r="L40" s="334"/>
      <c r="M40" s="334"/>
      <c r="N40" s="334"/>
      <c r="O40" s="334"/>
      <c r="P40" s="334"/>
      <c r="Q40" s="334"/>
    </row>
    <row r="41" spans="1:17" x14ac:dyDescent="0.25">
      <c r="A41" s="143">
        <v>1</v>
      </c>
      <c r="B41" s="163" t="s">
        <v>1548</v>
      </c>
      <c r="C41" s="139"/>
      <c r="D41" s="140">
        <v>4138</v>
      </c>
      <c r="E41" s="132"/>
      <c r="F41" s="473">
        <v>31.4223</v>
      </c>
      <c r="G41" s="458">
        <v>96.506100000000004</v>
      </c>
      <c r="H41" s="155">
        <v>3127505.5357665056</v>
      </c>
      <c r="I41" s="155">
        <v>0</v>
      </c>
      <c r="J41" s="155">
        <v>31.970576336625353</v>
      </c>
      <c r="K41" s="155">
        <v>8580179.6666287724</v>
      </c>
      <c r="L41" s="155">
        <v>38498.744012378491</v>
      </c>
      <c r="M41" s="155">
        <v>6007895.9685630444</v>
      </c>
      <c r="N41" s="155">
        <v>0</v>
      </c>
      <c r="O41" s="155">
        <v>0</v>
      </c>
      <c r="P41" s="155">
        <v>206058.46865132879</v>
      </c>
      <c r="Q41" s="155">
        <v>17960170.354198363</v>
      </c>
    </row>
    <row r="42" spans="1:17" x14ac:dyDescent="0.25">
      <c r="A42" s="143">
        <v>1</v>
      </c>
      <c r="B42" s="163"/>
      <c r="C42" s="139"/>
      <c r="D42" s="140"/>
      <c r="E42" s="132"/>
      <c r="F42" s="473"/>
      <c r="G42" s="458"/>
      <c r="H42" s="155"/>
      <c r="I42" s="155"/>
      <c r="J42" s="155"/>
      <c r="K42" s="155"/>
      <c r="L42" s="155"/>
      <c r="M42" s="155"/>
      <c r="N42" s="155"/>
      <c r="O42" s="155"/>
      <c r="P42" s="155"/>
      <c r="Q42" s="155"/>
    </row>
    <row r="43" spans="1:17" x14ac:dyDescent="0.25">
      <c r="A43" s="143">
        <v>1</v>
      </c>
      <c r="B43" s="163" t="s">
        <v>828</v>
      </c>
      <c r="C43" s="139"/>
      <c r="D43" s="140">
        <v>4138</v>
      </c>
      <c r="E43" s="132"/>
      <c r="F43" s="473">
        <v>26.974196507042247</v>
      </c>
      <c r="G43" s="458">
        <v>96.506100000000004</v>
      </c>
      <c r="H43" s="155">
        <v>2684779.5641511977</v>
      </c>
      <c r="I43" s="155">
        <v>0</v>
      </c>
      <c r="J43" s="155">
        <v>27.444859496202604</v>
      </c>
      <c r="K43" s="155">
        <v>7365579.6168126697</v>
      </c>
      <c r="L43" s="155">
        <v>33048.907504040559</v>
      </c>
      <c r="M43" s="155">
        <v>5157425.3460086137</v>
      </c>
      <c r="N43" s="155">
        <v>0</v>
      </c>
      <c r="O43" s="155">
        <v>0</v>
      </c>
      <c r="P43" s="155">
        <v>176889.07639928165</v>
      </c>
      <c r="Q43" s="155">
        <v>15417749.9557353</v>
      </c>
    </row>
    <row r="44" spans="1:17" x14ac:dyDescent="0.25">
      <c r="A44" s="143">
        <v>1</v>
      </c>
      <c r="B44" s="163"/>
      <c r="C44" s="139"/>
      <c r="D44" s="140"/>
      <c r="E44" s="132"/>
      <c r="F44" s="473"/>
      <c r="G44" s="458"/>
      <c r="H44" s="155"/>
      <c r="I44" s="155"/>
      <c r="J44" s="155"/>
      <c r="K44" s="155"/>
      <c r="L44" s="155"/>
      <c r="M44" s="155"/>
      <c r="N44" s="155"/>
      <c r="O44" s="155"/>
      <c r="P44" s="155"/>
      <c r="Q44" s="155"/>
    </row>
    <row r="45" spans="1:17" x14ac:dyDescent="0.25">
      <c r="A45" s="143">
        <v>1</v>
      </c>
      <c r="B45" s="163" t="s">
        <v>829</v>
      </c>
      <c r="C45" s="139"/>
      <c r="D45" s="140">
        <v>4138</v>
      </c>
      <c r="E45" s="132"/>
      <c r="F45" s="473">
        <v>7.5209034929577454</v>
      </c>
      <c r="G45" s="458">
        <v>96.506100000000004</v>
      </c>
      <c r="H45" s="155">
        <v>748566.06003351114</v>
      </c>
      <c r="I45" s="155">
        <v>0</v>
      </c>
      <c r="J45" s="155">
        <v>7.6521330151515912</v>
      </c>
      <c r="K45" s="155">
        <v>2053659.446474426</v>
      </c>
      <c r="L45" s="155">
        <v>9214.6449597000683</v>
      </c>
      <c r="M45" s="155">
        <v>1437985.3090096065</v>
      </c>
      <c r="N45" s="155">
        <v>0</v>
      </c>
      <c r="O45" s="155">
        <v>0</v>
      </c>
      <c r="P45" s="155">
        <v>49319.937007580687</v>
      </c>
      <c r="Q45" s="155">
        <v>4298753.04961784</v>
      </c>
    </row>
    <row r="46" spans="1:17" x14ac:dyDescent="0.25">
      <c r="A46" s="143">
        <v>1</v>
      </c>
      <c r="B46" s="438"/>
      <c r="C46" s="151"/>
      <c r="D46" s="472"/>
      <c r="E46" s="143"/>
      <c r="F46" s="475"/>
      <c r="G46" s="461"/>
      <c r="H46" s="334"/>
      <c r="I46" s="342"/>
      <c r="J46" s="334"/>
      <c r="K46" s="334"/>
      <c r="L46" s="334"/>
      <c r="M46" s="334"/>
      <c r="N46" s="334"/>
      <c r="O46" s="334"/>
      <c r="P46" s="334"/>
      <c r="Q46" s="334"/>
    </row>
    <row r="47" spans="1:17" x14ac:dyDescent="0.25">
      <c r="A47" s="143">
        <v>1</v>
      </c>
      <c r="B47" s="163"/>
      <c r="C47" s="139" t="s">
        <v>1726</v>
      </c>
      <c r="D47" s="140"/>
      <c r="E47" s="132"/>
      <c r="F47" s="476">
        <v>96.506099999999989</v>
      </c>
      <c r="G47" s="144">
        <v>96.506100000000004</v>
      </c>
      <c r="H47" s="145">
        <v>9605387.3200000003</v>
      </c>
      <c r="I47" s="146">
        <v>0</v>
      </c>
      <c r="J47" s="145">
        <v>98.189999999999984</v>
      </c>
      <c r="K47" s="145">
        <v>26351975.409999996</v>
      </c>
      <c r="L47" s="145">
        <v>118239.70999999999</v>
      </c>
      <c r="M47" s="145">
        <v>18451819.539999999</v>
      </c>
      <c r="N47" s="145">
        <v>0</v>
      </c>
      <c r="O47" s="145">
        <v>0</v>
      </c>
      <c r="P47" s="145">
        <v>632859.43999999994</v>
      </c>
      <c r="Q47" s="146">
        <v>55160379.609999985</v>
      </c>
    </row>
    <row r="48" spans="1:17" x14ac:dyDescent="0.25">
      <c r="A48" s="143">
        <v>1</v>
      </c>
      <c r="B48" s="163"/>
      <c r="C48" s="147"/>
      <c r="D48" s="140"/>
      <c r="E48" s="132"/>
      <c r="F48" s="462"/>
      <c r="G48" s="134"/>
      <c r="H48" s="155"/>
      <c r="I48" s="155"/>
      <c r="J48" s="155"/>
      <c r="K48" s="155"/>
      <c r="L48" s="155"/>
      <c r="M48" s="155"/>
      <c r="N48" s="155"/>
      <c r="O48" s="155"/>
      <c r="P48" s="155"/>
      <c r="Q48" s="155"/>
    </row>
    <row r="49" spans="1:17" x14ac:dyDescent="0.25">
      <c r="A49" s="143">
        <v>1</v>
      </c>
      <c r="B49" s="163" t="s">
        <v>1549</v>
      </c>
      <c r="C49" s="139"/>
      <c r="D49" s="140">
        <v>4154</v>
      </c>
      <c r="E49" s="132"/>
      <c r="F49" s="473">
        <v>7.5735000000000001</v>
      </c>
      <c r="G49" s="458">
        <v>7.5735000000000001</v>
      </c>
      <c r="H49" s="155">
        <v>751548.67</v>
      </c>
      <c r="I49" s="155">
        <v>0</v>
      </c>
      <c r="J49" s="155">
        <v>0</v>
      </c>
      <c r="K49" s="155">
        <v>1157576.74</v>
      </c>
      <c r="L49" s="155">
        <v>0</v>
      </c>
      <c r="M49" s="155">
        <v>759625.13</v>
      </c>
      <c r="N49" s="155">
        <v>0</v>
      </c>
      <c r="O49" s="155">
        <v>0</v>
      </c>
      <c r="P49" s="155">
        <v>0</v>
      </c>
      <c r="Q49" s="155">
        <v>2668750.54</v>
      </c>
    </row>
    <row r="50" spans="1:17" x14ac:dyDescent="0.25">
      <c r="A50" s="143">
        <v>1</v>
      </c>
      <c r="B50" s="163"/>
      <c r="C50" s="139"/>
      <c r="D50" s="140"/>
      <c r="E50" s="132"/>
      <c r="F50" s="462"/>
      <c r="G50" s="134"/>
      <c r="H50" s="155"/>
      <c r="I50" s="155"/>
      <c r="J50" s="155"/>
      <c r="K50" s="155"/>
      <c r="L50" s="155"/>
      <c r="M50" s="155"/>
      <c r="N50" s="155"/>
      <c r="O50" s="155"/>
      <c r="P50" s="155"/>
      <c r="Q50" s="155"/>
    </row>
    <row r="51" spans="1:17" x14ac:dyDescent="0.25">
      <c r="A51" s="143">
        <v>1</v>
      </c>
      <c r="B51" s="163" t="s">
        <v>1550</v>
      </c>
      <c r="C51" s="139"/>
      <c r="D51" s="140">
        <v>4123</v>
      </c>
      <c r="E51" s="132"/>
      <c r="F51" s="462">
        <v>47.164399999999993</v>
      </c>
      <c r="G51" s="458">
        <v>94.386800000000008</v>
      </c>
      <c r="H51" s="155">
        <v>866927.46184517303</v>
      </c>
      <c r="I51" s="155">
        <v>0</v>
      </c>
      <c r="J51" s="155">
        <v>8311.3645867854393</v>
      </c>
      <c r="K51" s="155">
        <v>3876289.4887967804</v>
      </c>
      <c r="L51" s="155">
        <v>0</v>
      </c>
      <c r="M51" s="155">
        <v>3569520.9467352633</v>
      </c>
      <c r="N51" s="155">
        <v>0</v>
      </c>
      <c r="O51" s="155">
        <v>0</v>
      </c>
      <c r="P51" s="155">
        <v>944.71412311891049</v>
      </c>
      <c r="Q51" s="155">
        <v>8321993.9760871213</v>
      </c>
    </row>
    <row r="52" spans="1:17" x14ac:dyDescent="0.25">
      <c r="A52" s="143">
        <v>1</v>
      </c>
      <c r="B52" s="163"/>
      <c r="C52" s="139"/>
      <c r="D52" s="140"/>
      <c r="E52" s="132"/>
      <c r="F52" s="462"/>
      <c r="G52" s="134"/>
      <c r="H52" s="155"/>
      <c r="I52" s="155"/>
      <c r="J52" s="155"/>
      <c r="K52" s="155"/>
      <c r="L52" s="155"/>
      <c r="M52" s="155"/>
      <c r="N52" s="155"/>
      <c r="O52" s="155"/>
      <c r="P52" s="155"/>
      <c r="Q52" s="155"/>
    </row>
    <row r="53" spans="1:17" x14ac:dyDescent="0.25">
      <c r="A53" s="143">
        <v>1</v>
      </c>
      <c r="B53" s="163" t="s">
        <v>1551</v>
      </c>
      <c r="C53" s="139"/>
      <c r="D53" s="140">
        <v>4123</v>
      </c>
      <c r="E53" s="132"/>
      <c r="F53" s="462">
        <v>47.2224</v>
      </c>
      <c r="G53" s="458">
        <v>94.386800000000008</v>
      </c>
      <c r="H53" s="155">
        <v>867993.55815482675</v>
      </c>
      <c r="I53" s="155">
        <v>0</v>
      </c>
      <c r="J53" s="155">
        <v>8321.5854132145596</v>
      </c>
      <c r="K53" s="155">
        <v>3881056.3212032188</v>
      </c>
      <c r="L53" s="155">
        <v>0</v>
      </c>
      <c r="M53" s="155">
        <v>3573910.5332647362</v>
      </c>
      <c r="N53" s="155">
        <v>0</v>
      </c>
      <c r="O53" s="155">
        <v>0</v>
      </c>
      <c r="P53" s="155">
        <v>945.8758768810892</v>
      </c>
      <c r="Q53" s="155">
        <v>8332227.8739128765</v>
      </c>
    </row>
    <row r="54" spans="1:17" x14ac:dyDescent="0.25">
      <c r="A54" s="143">
        <v>1</v>
      </c>
      <c r="B54" s="437"/>
      <c r="C54" s="135"/>
      <c r="D54" s="140"/>
      <c r="E54" s="132"/>
      <c r="F54" s="462"/>
      <c r="G54" s="134"/>
      <c r="H54" s="155"/>
      <c r="I54" s="155"/>
      <c r="J54" s="155"/>
      <c r="K54" s="155"/>
      <c r="L54" s="155"/>
      <c r="M54" s="155"/>
      <c r="N54" s="155"/>
      <c r="O54" s="155"/>
      <c r="P54" s="155"/>
      <c r="Q54" s="155"/>
    </row>
    <row r="55" spans="1:17" x14ac:dyDescent="0.25">
      <c r="A55" s="143">
        <v>1</v>
      </c>
      <c r="B55" s="163" t="s">
        <v>1552</v>
      </c>
      <c r="C55" s="139"/>
      <c r="D55" s="140">
        <v>4026</v>
      </c>
      <c r="E55" s="139"/>
      <c r="F55" s="462">
        <v>112.6978</v>
      </c>
      <c r="G55" s="458">
        <v>225.49450000000002</v>
      </c>
      <c r="H55" s="155">
        <v>1454772.7288928819</v>
      </c>
      <c r="I55" s="155">
        <v>0</v>
      </c>
      <c r="J55" s="155">
        <v>13546.496013268617</v>
      </c>
      <c r="K55" s="155">
        <v>9645438.2053129114</v>
      </c>
      <c r="L55" s="155">
        <v>42660.601207532774</v>
      </c>
      <c r="M55" s="155">
        <v>11465681.461558273</v>
      </c>
      <c r="N55" s="155">
        <v>0</v>
      </c>
      <c r="O55" s="155">
        <v>0</v>
      </c>
      <c r="P55" s="155">
        <v>397593.23242103023</v>
      </c>
      <c r="Q55" s="155">
        <v>23019692.725405898</v>
      </c>
    </row>
    <row r="56" spans="1:17" x14ac:dyDescent="0.25">
      <c r="A56" s="143">
        <v>1</v>
      </c>
      <c r="B56" s="163"/>
      <c r="C56" s="139"/>
      <c r="D56" s="140"/>
      <c r="E56" s="139"/>
      <c r="F56" s="462"/>
      <c r="G56" s="148"/>
      <c r="H56" s="155"/>
      <c r="I56" s="155"/>
      <c r="J56" s="155"/>
      <c r="K56" s="155"/>
      <c r="L56" s="155"/>
      <c r="M56" s="155"/>
      <c r="N56" s="155"/>
      <c r="O56" s="155"/>
      <c r="P56" s="155"/>
      <c r="Q56" s="155"/>
    </row>
    <row r="57" spans="1:17" x14ac:dyDescent="0.25">
      <c r="A57" s="143">
        <v>1</v>
      </c>
      <c r="B57" s="163" t="s">
        <v>1553</v>
      </c>
      <c r="C57" s="139"/>
      <c r="D57" s="140">
        <v>4026</v>
      </c>
      <c r="E57" s="139"/>
      <c r="F57" s="462">
        <v>112.7967</v>
      </c>
      <c r="G57" s="458">
        <v>225.49450000000002</v>
      </c>
      <c r="H57" s="155">
        <v>1456049.391107118</v>
      </c>
      <c r="I57" s="155">
        <v>0</v>
      </c>
      <c r="J57" s="155">
        <v>13558.383986731384</v>
      </c>
      <c r="K57" s="155">
        <v>9653902.7346870899</v>
      </c>
      <c r="L57" s="155">
        <v>42698.038792467218</v>
      </c>
      <c r="M57" s="155">
        <v>11475743.378441727</v>
      </c>
      <c r="N57" s="155">
        <v>0</v>
      </c>
      <c r="O57" s="155">
        <v>0</v>
      </c>
      <c r="P57" s="155">
        <v>397942.14757896977</v>
      </c>
      <c r="Q57" s="155">
        <v>23039894.074594103</v>
      </c>
    </row>
    <row r="58" spans="1:17" x14ac:dyDescent="0.25">
      <c r="A58" s="143">
        <v>1</v>
      </c>
      <c r="B58" s="163"/>
      <c r="C58" s="139"/>
      <c r="D58" s="140"/>
      <c r="E58" s="139"/>
      <c r="F58" s="462"/>
      <c r="G58" s="148"/>
      <c r="H58" s="155"/>
      <c r="I58" s="155"/>
      <c r="J58" s="155"/>
      <c r="K58" s="155"/>
      <c r="L58" s="155"/>
      <c r="M58" s="155"/>
      <c r="N58" s="155"/>
      <c r="O58" s="155"/>
      <c r="P58" s="155"/>
      <c r="Q58" s="155"/>
    </row>
    <row r="59" spans="1:17" x14ac:dyDescent="0.25">
      <c r="A59" s="143">
        <v>1</v>
      </c>
      <c r="B59" s="163" t="s">
        <v>1554</v>
      </c>
      <c r="C59" s="139"/>
      <c r="D59" s="140">
        <v>4155</v>
      </c>
      <c r="E59" s="139"/>
      <c r="F59" s="473">
        <v>52.616400000000006</v>
      </c>
      <c r="G59" s="458">
        <v>52.616400000000006</v>
      </c>
      <c r="H59" s="155">
        <v>2956983.2199999997</v>
      </c>
      <c r="I59" s="155">
        <v>0</v>
      </c>
      <c r="J59" s="155">
        <v>0</v>
      </c>
      <c r="K59" s="155">
        <v>7540671.2400000002</v>
      </c>
      <c r="L59" s="155">
        <v>0</v>
      </c>
      <c r="M59" s="155">
        <v>4581493.1100000003</v>
      </c>
      <c r="N59" s="155">
        <v>0</v>
      </c>
      <c r="O59" s="155">
        <v>0</v>
      </c>
      <c r="P59" s="155">
        <v>187772.25</v>
      </c>
      <c r="Q59" s="155">
        <v>15266919.82</v>
      </c>
    </row>
    <row r="60" spans="1:17" x14ac:dyDescent="0.25">
      <c r="A60" s="143">
        <v>1</v>
      </c>
      <c r="B60" s="163"/>
      <c r="C60" s="139"/>
      <c r="D60" s="140"/>
      <c r="E60" s="139"/>
      <c r="F60" s="462"/>
      <c r="G60" s="148"/>
      <c r="H60" s="155"/>
      <c r="I60" s="155"/>
      <c r="J60" s="155"/>
      <c r="K60" s="155"/>
      <c r="L60" s="155"/>
      <c r="M60" s="155"/>
      <c r="N60" s="155"/>
      <c r="O60" s="155"/>
      <c r="P60" s="155"/>
      <c r="Q60" s="155"/>
    </row>
    <row r="61" spans="1:17" x14ac:dyDescent="0.25">
      <c r="A61" s="143">
        <v>1</v>
      </c>
      <c r="B61" s="163" t="s">
        <v>1727</v>
      </c>
      <c r="C61" s="139"/>
      <c r="D61" s="140">
        <v>4148</v>
      </c>
      <c r="E61" s="139"/>
      <c r="F61" s="473">
        <v>28.751200000000001</v>
      </c>
      <c r="G61" s="458">
        <v>28.751200000000001</v>
      </c>
      <c r="H61" s="155">
        <v>1696736.1200000003</v>
      </c>
      <c r="I61" s="155">
        <v>0</v>
      </c>
      <c r="J61" s="155">
        <v>0</v>
      </c>
      <c r="K61" s="155">
        <v>18384825.73</v>
      </c>
      <c r="L61" s="155">
        <v>0</v>
      </c>
      <c r="M61" s="155">
        <v>7820474.9200000009</v>
      </c>
      <c r="N61" s="155">
        <v>0</v>
      </c>
      <c r="O61" s="155">
        <v>0</v>
      </c>
      <c r="P61" s="155">
        <v>252983.4</v>
      </c>
      <c r="Q61" s="155">
        <v>28155020.170000002</v>
      </c>
    </row>
    <row r="62" spans="1:17" x14ac:dyDescent="0.25">
      <c r="A62" s="143">
        <v>1</v>
      </c>
      <c r="B62" s="163"/>
      <c r="C62" s="139"/>
      <c r="D62" s="140"/>
      <c r="E62" s="139"/>
      <c r="F62" s="462"/>
      <c r="G62" s="148"/>
      <c r="H62" s="155"/>
      <c r="I62" s="155"/>
      <c r="J62" s="155"/>
      <c r="K62" s="155"/>
      <c r="L62" s="155"/>
      <c r="M62" s="155"/>
      <c r="N62" s="155"/>
      <c r="O62" s="155"/>
      <c r="P62" s="155"/>
      <c r="Q62" s="155"/>
    </row>
    <row r="63" spans="1:17" x14ac:dyDescent="0.25">
      <c r="A63" s="143">
        <v>1</v>
      </c>
      <c r="B63" s="163" t="s">
        <v>1555</v>
      </c>
      <c r="C63" s="139"/>
      <c r="D63" s="140">
        <v>4188</v>
      </c>
      <c r="E63" s="139"/>
      <c r="F63" s="473">
        <v>40.520900000000005</v>
      </c>
      <c r="G63" s="458">
        <v>40.520900000000005</v>
      </c>
      <c r="H63" s="150">
        <v>2858639.23</v>
      </c>
      <c r="I63" s="150">
        <v>8043.4099999999989</v>
      </c>
      <c r="J63" s="150">
        <v>0</v>
      </c>
      <c r="K63" s="150">
        <v>22909118.48</v>
      </c>
      <c r="L63" s="150">
        <v>515652.76</v>
      </c>
      <c r="M63" s="150">
        <v>14833343.109999999</v>
      </c>
      <c r="N63" s="150">
        <v>0</v>
      </c>
      <c r="O63" s="150">
        <v>0</v>
      </c>
      <c r="P63" s="150">
        <v>2448260.13</v>
      </c>
      <c r="Q63" s="150">
        <v>43573057.120000005</v>
      </c>
    </row>
    <row r="64" spans="1:17" x14ac:dyDescent="0.25">
      <c r="A64" s="143">
        <v>1</v>
      </c>
      <c r="B64" s="163"/>
      <c r="C64" s="139"/>
      <c r="D64" s="140"/>
      <c r="E64" s="139"/>
      <c r="F64" s="473"/>
      <c r="G64" s="458"/>
      <c r="H64" s="150"/>
      <c r="I64" s="150"/>
      <c r="J64" s="150"/>
      <c r="K64" s="150"/>
      <c r="L64" s="150"/>
      <c r="M64" s="150"/>
      <c r="N64" s="150"/>
      <c r="O64" s="150"/>
      <c r="P64" s="150"/>
      <c r="Q64" s="150"/>
    </row>
    <row r="65" spans="1:17" x14ac:dyDescent="0.25">
      <c r="A65" s="143">
        <v>1</v>
      </c>
      <c r="B65" s="163" t="s">
        <v>107</v>
      </c>
      <c r="C65" s="151"/>
      <c r="D65" s="140">
        <v>5069</v>
      </c>
      <c r="E65" s="143"/>
      <c r="F65" s="477"/>
      <c r="G65" s="458"/>
      <c r="H65" s="150" t="s">
        <v>1776</v>
      </c>
      <c r="I65" s="150" t="s">
        <v>1776</v>
      </c>
      <c r="J65" s="150" t="s">
        <v>1776</v>
      </c>
      <c r="K65" s="150">
        <v>0</v>
      </c>
      <c r="L65" s="150">
        <v>98999.269362000006</v>
      </c>
      <c r="M65" s="150">
        <v>43265.205018000001</v>
      </c>
      <c r="N65" s="150">
        <v>0</v>
      </c>
      <c r="O65" s="150">
        <v>0</v>
      </c>
      <c r="P65" s="150">
        <v>0</v>
      </c>
      <c r="Q65" s="150">
        <v>142264.47438</v>
      </c>
    </row>
    <row r="66" spans="1:17" x14ac:dyDescent="0.25">
      <c r="A66" s="143">
        <v>1</v>
      </c>
      <c r="B66" s="438"/>
      <c r="C66" s="151"/>
      <c r="D66" s="140"/>
      <c r="E66" s="143"/>
      <c r="F66" s="477"/>
      <c r="G66" s="458"/>
      <c r="H66" s="150"/>
      <c r="I66" s="150"/>
      <c r="J66" s="150"/>
      <c r="K66" s="150"/>
      <c r="L66" s="150"/>
      <c r="M66" s="150"/>
      <c r="N66" s="150"/>
      <c r="O66" s="150"/>
      <c r="P66" s="150"/>
      <c r="Q66" s="150"/>
    </row>
    <row r="67" spans="1:17" x14ac:dyDescent="0.25">
      <c r="A67" s="143">
        <v>1</v>
      </c>
      <c r="B67" s="163" t="s">
        <v>1728</v>
      </c>
      <c r="C67" s="139"/>
      <c r="D67" s="140">
        <v>5070</v>
      </c>
      <c r="E67" s="139"/>
      <c r="F67" s="473"/>
      <c r="G67" s="458"/>
      <c r="H67" s="150" t="s">
        <v>1776</v>
      </c>
      <c r="I67" s="150" t="s">
        <v>1776</v>
      </c>
      <c r="J67" s="150" t="s">
        <v>1776</v>
      </c>
      <c r="K67" s="150">
        <v>0</v>
      </c>
      <c r="L67" s="150">
        <v>3571.6073759999999</v>
      </c>
      <c r="M67" s="150">
        <v>1753.9804959999999</v>
      </c>
      <c r="N67" s="150">
        <v>0</v>
      </c>
      <c r="O67" s="150">
        <v>0</v>
      </c>
      <c r="P67" s="150">
        <v>0</v>
      </c>
      <c r="Q67" s="150">
        <v>5325.5878720000001</v>
      </c>
    </row>
    <row r="68" spans="1:17" x14ac:dyDescent="0.25">
      <c r="A68" s="143">
        <v>1</v>
      </c>
      <c r="B68" s="163"/>
      <c r="C68" s="139"/>
      <c r="D68" s="140"/>
      <c r="E68" s="139"/>
      <c r="F68" s="473"/>
      <c r="G68" s="458"/>
      <c r="H68" s="150"/>
      <c r="I68" s="150"/>
      <c r="J68" s="150"/>
      <c r="K68" s="150"/>
      <c r="L68" s="150"/>
      <c r="M68" s="150"/>
      <c r="N68" s="150"/>
      <c r="O68" s="150"/>
      <c r="P68" s="150"/>
      <c r="Q68" s="150"/>
    </row>
    <row r="69" spans="1:17" x14ac:dyDescent="0.25">
      <c r="A69" s="143">
        <v>1</v>
      </c>
      <c r="B69" s="163" t="s">
        <v>102</v>
      </c>
      <c r="C69" s="139"/>
      <c r="D69" s="140">
        <v>5080</v>
      </c>
      <c r="E69" s="139"/>
      <c r="F69" s="473"/>
      <c r="G69" s="458"/>
      <c r="H69" s="150" t="s">
        <v>1776</v>
      </c>
      <c r="I69" s="150" t="s">
        <v>1776</v>
      </c>
      <c r="J69" s="150" t="s">
        <v>1776</v>
      </c>
      <c r="K69" s="150">
        <v>0</v>
      </c>
      <c r="L69" s="150">
        <v>0</v>
      </c>
      <c r="M69" s="150">
        <v>0</v>
      </c>
      <c r="N69" s="150">
        <v>0</v>
      </c>
      <c r="O69" s="150">
        <v>0</v>
      </c>
      <c r="P69" s="150">
        <v>2236589.73</v>
      </c>
      <c r="Q69" s="150">
        <v>2236589.73</v>
      </c>
    </row>
    <row r="70" spans="1:17" x14ac:dyDescent="0.25">
      <c r="A70" s="143">
        <v>1</v>
      </c>
      <c r="B70" s="163"/>
      <c r="C70" s="139"/>
      <c r="D70" s="140"/>
      <c r="E70" s="139"/>
      <c r="F70" s="473"/>
      <c r="G70" s="458"/>
      <c r="H70" s="150"/>
      <c r="I70" s="150"/>
      <c r="J70" s="150"/>
      <c r="K70" s="150"/>
      <c r="L70" s="150"/>
      <c r="M70" s="150"/>
      <c r="N70" s="150"/>
      <c r="O70" s="150"/>
      <c r="P70" s="150"/>
      <c r="Q70" s="150"/>
    </row>
    <row r="71" spans="1:17" x14ac:dyDescent="0.25">
      <c r="A71" s="143">
        <v>1</v>
      </c>
      <c r="B71" s="163" t="s">
        <v>103</v>
      </c>
      <c r="C71" s="139"/>
      <c r="D71" s="140">
        <v>5090</v>
      </c>
      <c r="E71" s="139"/>
      <c r="F71" s="473"/>
      <c r="G71" s="458"/>
      <c r="H71" s="150" t="s">
        <v>1776</v>
      </c>
      <c r="I71" s="150" t="s">
        <v>1776</v>
      </c>
      <c r="J71" s="150" t="s">
        <v>1776</v>
      </c>
      <c r="K71" s="150">
        <v>0</v>
      </c>
      <c r="L71" s="150">
        <v>0</v>
      </c>
      <c r="M71" s="150">
        <v>0</v>
      </c>
      <c r="N71" s="150">
        <v>0</v>
      </c>
      <c r="O71" s="150">
        <v>0</v>
      </c>
      <c r="P71" s="150">
        <v>92479.007216000013</v>
      </c>
      <c r="Q71" s="150">
        <v>92479.007216000013</v>
      </c>
    </row>
    <row r="72" spans="1:17" x14ac:dyDescent="0.25">
      <c r="A72" s="143">
        <v>1</v>
      </c>
      <c r="B72" s="163"/>
      <c r="C72" s="139"/>
      <c r="D72" s="140"/>
      <c r="E72" s="139"/>
      <c r="F72" s="473"/>
      <c r="G72" s="458"/>
      <c r="H72" s="150"/>
      <c r="I72" s="150"/>
      <c r="J72" s="150"/>
      <c r="K72" s="150"/>
      <c r="L72" s="150"/>
      <c r="M72" s="150"/>
      <c r="N72" s="150"/>
      <c r="O72" s="150"/>
      <c r="P72" s="150"/>
      <c r="Q72" s="150"/>
    </row>
    <row r="73" spans="1:17" x14ac:dyDescent="0.25">
      <c r="A73" s="143">
        <v>1</v>
      </c>
      <c r="B73" s="163" t="s">
        <v>104</v>
      </c>
      <c r="C73" s="139"/>
      <c r="D73" s="140">
        <v>8958</v>
      </c>
      <c r="E73" s="139"/>
      <c r="F73" s="473"/>
      <c r="G73" s="458"/>
      <c r="H73" s="150" t="s">
        <v>1776</v>
      </c>
      <c r="I73" s="150" t="s">
        <v>1776</v>
      </c>
      <c r="J73" s="150" t="s">
        <v>1776</v>
      </c>
      <c r="K73" s="150">
        <v>2505376.39</v>
      </c>
      <c r="L73" s="150">
        <v>0</v>
      </c>
      <c r="M73" s="150">
        <v>359913.49</v>
      </c>
      <c r="N73" s="150">
        <v>0</v>
      </c>
      <c r="O73" s="150">
        <v>0</v>
      </c>
      <c r="P73" s="150">
        <v>0</v>
      </c>
      <c r="Q73" s="150">
        <v>2865289.88</v>
      </c>
    </row>
    <row r="74" spans="1:17" x14ac:dyDescent="0.25">
      <c r="A74" s="143">
        <v>1</v>
      </c>
      <c r="B74" s="438"/>
      <c r="C74" s="152"/>
      <c r="D74" s="152"/>
      <c r="E74" s="152"/>
      <c r="F74" s="475"/>
      <c r="G74" s="164"/>
      <c r="H74" s="150"/>
      <c r="I74" s="150"/>
      <c r="J74" s="150"/>
      <c r="K74" s="150"/>
      <c r="L74" s="150"/>
      <c r="M74" s="150"/>
      <c r="N74" s="150"/>
      <c r="O74" s="150"/>
      <c r="P74" s="150"/>
      <c r="Q74" s="150"/>
    </row>
    <row r="75" spans="1:17" ht="15.75" thickBot="1" x14ac:dyDescent="0.3">
      <c r="A75" s="143">
        <v>1</v>
      </c>
      <c r="B75" s="439"/>
      <c r="C75" s="141" t="s">
        <v>1556</v>
      </c>
      <c r="D75" s="158"/>
      <c r="E75" s="153"/>
      <c r="F75" s="474">
        <v>1268.7991999999999</v>
      </c>
      <c r="G75" s="154">
        <v>1587.8605</v>
      </c>
      <c r="H75" s="160">
        <v>48565350.780000001</v>
      </c>
      <c r="I75" s="160">
        <v>8043.4099999999989</v>
      </c>
      <c r="J75" s="160">
        <v>43836.020000000004</v>
      </c>
      <c r="K75" s="160">
        <v>203732583.03999999</v>
      </c>
      <c r="L75" s="160">
        <v>2198574.6867380003</v>
      </c>
      <c r="M75" s="160">
        <v>160960853.89551398</v>
      </c>
      <c r="N75" s="160">
        <v>0</v>
      </c>
      <c r="O75" s="160">
        <v>1151660.45</v>
      </c>
      <c r="P75" s="160">
        <v>12726231.507215999</v>
      </c>
      <c r="Q75" s="160">
        <v>429387133.78946793</v>
      </c>
    </row>
    <row r="76" spans="1:17" ht="15.75" thickTop="1" x14ac:dyDescent="0.25">
      <c r="A76" s="143">
        <v>1</v>
      </c>
      <c r="B76" s="438"/>
      <c r="C76" s="151"/>
      <c r="D76" s="472"/>
      <c r="E76" s="143"/>
      <c r="F76" s="478"/>
      <c r="G76" s="461"/>
      <c r="H76" s="343"/>
      <c r="I76" s="343"/>
      <c r="J76" s="343"/>
      <c r="K76" s="343"/>
      <c r="L76" s="343"/>
      <c r="M76" s="343"/>
      <c r="N76" s="343"/>
      <c r="O76" s="343"/>
      <c r="P76" s="343"/>
      <c r="Q76" s="343"/>
    </row>
    <row r="77" spans="1:17" x14ac:dyDescent="0.25">
      <c r="A77" s="143">
        <v>1</v>
      </c>
      <c r="B77" s="163"/>
      <c r="C77" s="131" t="s">
        <v>1557</v>
      </c>
      <c r="D77" s="140"/>
      <c r="E77" s="139"/>
      <c r="F77" s="462"/>
      <c r="G77" s="148"/>
      <c r="H77" s="155"/>
      <c r="I77" s="155"/>
      <c r="J77" s="155"/>
      <c r="K77" s="155"/>
      <c r="L77" s="155"/>
      <c r="M77" s="155"/>
      <c r="N77" s="155"/>
      <c r="O77" s="155"/>
      <c r="P77" s="155"/>
      <c r="Q77" s="155"/>
    </row>
    <row r="78" spans="1:17" x14ac:dyDescent="0.25">
      <c r="A78" s="143">
        <v>1</v>
      </c>
      <c r="B78" s="163"/>
      <c r="C78" s="131"/>
      <c r="D78" s="140"/>
      <c r="E78" s="139"/>
      <c r="F78" s="462"/>
      <c r="G78" s="148"/>
      <c r="H78" s="155"/>
      <c r="I78" s="155"/>
      <c r="J78" s="155"/>
      <c r="K78" s="155"/>
      <c r="L78" s="155"/>
      <c r="M78" s="155"/>
      <c r="N78" s="155"/>
      <c r="O78" s="155"/>
      <c r="P78" s="155"/>
      <c r="Q78" s="155"/>
    </row>
    <row r="79" spans="1:17" x14ac:dyDescent="0.25">
      <c r="A79" s="143">
        <v>1</v>
      </c>
      <c r="B79" s="163" t="s">
        <v>1558</v>
      </c>
      <c r="C79" s="139"/>
      <c r="D79" s="140">
        <v>4708</v>
      </c>
      <c r="E79" s="149"/>
      <c r="F79" s="473">
        <v>25.7</v>
      </c>
      <c r="G79" s="458">
        <v>25.7</v>
      </c>
      <c r="H79" s="155">
        <v>0</v>
      </c>
      <c r="I79" s="155">
        <v>0</v>
      </c>
      <c r="J79" s="155">
        <v>0</v>
      </c>
      <c r="K79" s="155">
        <v>13746933.359999999</v>
      </c>
      <c r="L79" s="155">
        <v>30818084.089999996</v>
      </c>
      <c r="M79" s="155">
        <v>19251106.649999999</v>
      </c>
      <c r="N79" s="155">
        <v>0</v>
      </c>
      <c r="O79" s="155">
        <v>0</v>
      </c>
      <c r="P79" s="155">
        <v>0</v>
      </c>
      <c r="Q79" s="155">
        <v>63816124.099999994</v>
      </c>
    </row>
    <row r="80" spans="1:17" x14ac:dyDescent="0.25">
      <c r="A80" s="143">
        <v>1</v>
      </c>
      <c r="B80" s="163"/>
      <c r="C80" s="139"/>
      <c r="D80" s="140"/>
      <c r="E80" s="139"/>
      <c r="F80" s="473"/>
      <c r="G80" s="458"/>
      <c r="H80" s="155"/>
      <c r="I80" s="155"/>
      <c r="J80" s="155"/>
      <c r="K80" s="155"/>
      <c r="L80" s="155"/>
      <c r="M80" s="155"/>
      <c r="N80" s="155"/>
      <c r="O80" s="155"/>
      <c r="P80" s="155"/>
      <c r="Q80" s="155"/>
    </row>
    <row r="81" spans="1:17" x14ac:dyDescent="0.25">
      <c r="A81" s="143">
        <v>1</v>
      </c>
      <c r="B81" s="163" t="s">
        <v>1559</v>
      </c>
      <c r="C81" s="139"/>
      <c r="D81" s="140">
        <v>4644</v>
      </c>
      <c r="E81" s="149"/>
      <c r="F81" s="473">
        <v>26.39</v>
      </c>
      <c r="G81" s="458">
        <v>26.39</v>
      </c>
      <c r="H81" s="155">
        <v>0</v>
      </c>
      <c r="I81" s="155">
        <v>0</v>
      </c>
      <c r="J81" s="155">
        <v>0</v>
      </c>
      <c r="K81" s="155">
        <v>27679225.5</v>
      </c>
      <c r="L81" s="155">
        <v>2721999.3599999994</v>
      </c>
      <c r="M81" s="155">
        <v>13931303.82</v>
      </c>
      <c r="N81" s="155">
        <v>0</v>
      </c>
      <c r="O81" s="155">
        <v>0</v>
      </c>
      <c r="P81" s="155">
        <v>89385747.429999992</v>
      </c>
      <c r="Q81" s="155">
        <v>133718276.10999998</v>
      </c>
    </row>
    <row r="82" spans="1:17" x14ac:dyDescent="0.25">
      <c r="A82" s="143">
        <v>1</v>
      </c>
      <c r="B82" s="440" t="s">
        <v>1729</v>
      </c>
      <c r="C82" s="139"/>
      <c r="D82" s="140"/>
      <c r="E82" s="139"/>
      <c r="F82" s="473"/>
      <c r="G82" s="458"/>
      <c r="H82" s="155"/>
      <c r="I82" s="155"/>
      <c r="J82" s="155"/>
      <c r="K82" s="155"/>
      <c r="L82" s="155"/>
      <c r="M82" s="155"/>
      <c r="N82" s="155"/>
      <c r="O82" s="155"/>
      <c r="P82" s="155"/>
      <c r="Q82" s="155"/>
    </row>
    <row r="83" spans="1:17" x14ac:dyDescent="0.25">
      <c r="A83" s="143">
        <v>1</v>
      </c>
      <c r="B83" s="440"/>
      <c r="C83" s="139"/>
      <c r="D83" s="140"/>
      <c r="E83" s="139"/>
      <c r="F83" s="473"/>
      <c r="G83" s="458"/>
      <c r="H83" s="155"/>
      <c r="I83" s="155"/>
      <c r="J83" s="155"/>
      <c r="K83" s="155"/>
      <c r="L83" s="155"/>
      <c r="M83" s="155"/>
      <c r="N83" s="155"/>
      <c r="O83" s="155"/>
      <c r="P83" s="155"/>
      <c r="Q83" s="155"/>
    </row>
    <row r="84" spans="1:17" x14ac:dyDescent="0.25">
      <c r="A84" s="143">
        <v>1</v>
      </c>
      <c r="B84" s="163" t="s">
        <v>1730</v>
      </c>
      <c r="C84" s="139"/>
      <c r="D84" s="140">
        <v>4120</v>
      </c>
      <c r="E84" s="139"/>
      <c r="F84" s="462">
        <v>15.349600000000001</v>
      </c>
      <c r="G84" s="458">
        <v>124.6726</v>
      </c>
      <c r="H84" s="155">
        <v>525750.63015219057</v>
      </c>
      <c r="I84" s="155">
        <v>36707.995538329997</v>
      </c>
      <c r="J84" s="155">
        <v>416.14314612833937</v>
      </c>
      <c r="K84" s="155">
        <v>748380.89361851756</v>
      </c>
      <c r="L84" s="155">
        <v>108426.86375681584</v>
      </c>
      <c r="M84" s="155">
        <v>694196.22794288408</v>
      </c>
      <c r="N84" s="155">
        <v>31.527152493811791</v>
      </c>
      <c r="O84" s="155">
        <v>0</v>
      </c>
      <c r="P84" s="155">
        <v>4114.6572178971164</v>
      </c>
      <c r="Q84" s="155">
        <v>2118024.9385252572</v>
      </c>
    </row>
    <row r="85" spans="1:17" x14ac:dyDescent="0.25">
      <c r="A85" s="143">
        <v>1</v>
      </c>
      <c r="B85" s="163"/>
      <c r="C85" s="139"/>
      <c r="D85" s="140"/>
      <c r="E85" s="139"/>
      <c r="F85" s="462"/>
      <c r="G85" s="148"/>
      <c r="H85" s="155"/>
      <c r="I85" s="155"/>
      <c r="J85" s="155"/>
      <c r="K85" s="155"/>
      <c r="L85" s="155"/>
      <c r="M85" s="155"/>
      <c r="N85" s="155"/>
      <c r="O85" s="155"/>
      <c r="P85" s="155"/>
      <c r="Q85" s="155"/>
    </row>
    <row r="86" spans="1:17" x14ac:dyDescent="0.25">
      <c r="A86" s="143">
        <v>1</v>
      </c>
      <c r="B86" s="163" t="s">
        <v>1560</v>
      </c>
      <c r="C86" s="139"/>
      <c r="D86" s="140">
        <v>4120</v>
      </c>
      <c r="E86" s="139"/>
      <c r="F86" s="462">
        <v>15.3995</v>
      </c>
      <c r="G86" s="458">
        <v>124.6726</v>
      </c>
      <c r="H86" s="155">
        <v>527459.79237430671</v>
      </c>
      <c r="I86" s="155">
        <v>36827.329526014539</v>
      </c>
      <c r="J86" s="155">
        <v>417.49598548518276</v>
      </c>
      <c r="K86" s="155">
        <v>750813.80435179814</v>
      </c>
      <c r="L86" s="155">
        <v>108779.3485447885</v>
      </c>
      <c r="M86" s="155">
        <v>696452.98979819939</v>
      </c>
      <c r="N86" s="155">
        <v>31.629644083784246</v>
      </c>
      <c r="O86" s="155">
        <v>0</v>
      </c>
      <c r="P86" s="155">
        <v>4128.0335531223382</v>
      </c>
      <c r="Q86" s="155">
        <v>2124910.4237777987</v>
      </c>
    </row>
    <row r="87" spans="1:17" x14ac:dyDescent="0.25">
      <c r="A87" s="143">
        <v>1</v>
      </c>
      <c r="B87" s="163"/>
      <c r="C87" s="139"/>
      <c r="D87" s="140"/>
      <c r="E87" s="139"/>
      <c r="F87" s="462"/>
      <c r="G87" s="148"/>
      <c r="H87" s="155"/>
      <c r="I87" s="155"/>
      <c r="J87" s="155"/>
      <c r="K87" s="155"/>
      <c r="L87" s="155"/>
      <c r="M87" s="155"/>
      <c r="N87" s="155"/>
      <c r="O87" s="155"/>
      <c r="P87" s="155"/>
      <c r="Q87" s="155"/>
    </row>
    <row r="88" spans="1:17" x14ac:dyDescent="0.25">
      <c r="A88" s="143">
        <v>1</v>
      </c>
      <c r="B88" s="163" t="s">
        <v>1561</v>
      </c>
      <c r="C88" s="139"/>
      <c r="D88" s="140">
        <v>4120</v>
      </c>
      <c r="E88" s="139"/>
      <c r="F88" s="462">
        <v>11.4696</v>
      </c>
      <c r="G88" s="458">
        <v>124.6726</v>
      </c>
      <c r="H88" s="155">
        <v>392853.8481519756</v>
      </c>
      <c r="I88" s="155">
        <v>27429.120343620008</v>
      </c>
      <c r="J88" s="155">
        <v>310.95243060624387</v>
      </c>
      <c r="K88" s="155">
        <v>559208.67628126778</v>
      </c>
      <c r="L88" s="155">
        <v>81019.228940504967</v>
      </c>
      <c r="M88" s="155">
        <v>518720.55662777543</v>
      </c>
      <c r="N88" s="155">
        <v>23.557866540041672</v>
      </c>
      <c r="O88" s="155">
        <v>0</v>
      </c>
      <c r="P88" s="155">
        <v>3074.5734368578183</v>
      </c>
      <c r="Q88" s="155">
        <v>1582640.5140791479</v>
      </c>
    </row>
    <row r="89" spans="1:17" x14ac:dyDescent="0.25">
      <c r="A89" s="143">
        <v>1</v>
      </c>
      <c r="B89" s="163"/>
      <c r="C89" s="139"/>
      <c r="D89" s="140"/>
      <c r="E89" s="139"/>
      <c r="F89" s="462"/>
      <c r="G89" s="148"/>
      <c r="H89" s="155"/>
      <c r="I89" s="155"/>
      <c r="J89" s="155"/>
      <c r="K89" s="155"/>
      <c r="L89" s="155"/>
      <c r="M89" s="155"/>
      <c r="N89" s="155"/>
      <c r="O89" s="155"/>
      <c r="P89" s="155"/>
      <c r="Q89" s="155"/>
    </row>
    <row r="90" spans="1:17" x14ac:dyDescent="0.25">
      <c r="A90" s="143">
        <v>1</v>
      </c>
      <c r="B90" s="163" t="s">
        <v>1562</v>
      </c>
      <c r="C90" s="139"/>
      <c r="D90" s="140">
        <v>4120</v>
      </c>
      <c r="E90" s="139"/>
      <c r="F90" s="462">
        <v>11.837900000000001</v>
      </c>
      <c r="G90" s="458">
        <v>124.6726</v>
      </c>
      <c r="H90" s="155">
        <v>405468.76691761462</v>
      </c>
      <c r="I90" s="155">
        <v>28309.896048313745</v>
      </c>
      <c r="J90" s="155">
        <v>320.93741527809641</v>
      </c>
      <c r="K90" s="155">
        <v>577165.41021047125</v>
      </c>
      <c r="L90" s="155">
        <v>83620.83510103263</v>
      </c>
      <c r="M90" s="155">
        <v>535377.17769616586</v>
      </c>
      <c r="N90" s="155">
        <v>24.314332523746199</v>
      </c>
      <c r="O90" s="155">
        <v>0</v>
      </c>
      <c r="P90" s="155">
        <v>3173.3009772075025</v>
      </c>
      <c r="Q90" s="155">
        <v>1633460.6386986077</v>
      </c>
    </row>
    <row r="91" spans="1:17" x14ac:dyDescent="0.25">
      <c r="A91" s="143">
        <v>1</v>
      </c>
      <c r="B91" s="163"/>
      <c r="C91" s="139"/>
      <c r="D91" s="140"/>
      <c r="E91" s="139"/>
      <c r="F91" s="462"/>
      <c r="G91" s="148"/>
      <c r="H91" s="155"/>
      <c r="I91" s="155"/>
      <c r="J91" s="155"/>
      <c r="K91" s="155"/>
      <c r="L91" s="155"/>
      <c r="M91" s="155"/>
      <c r="N91" s="155"/>
      <c r="O91" s="155"/>
      <c r="P91" s="155"/>
      <c r="Q91" s="155"/>
    </row>
    <row r="92" spans="1:17" x14ac:dyDescent="0.25">
      <c r="A92" s="143">
        <v>1</v>
      </c>
      <c r="B92" s="163" t="s">
        <v>1731</v>
      </c>
      <c r="C92" s="139"/>
      <c r="D92" s="140">
        <v>4712</v>
      </c>
      <c r="E92" s="344"/>
      <c r="F92" s="473">
        <v>21.52</v>
      </c>
      <c r="G92" s="458">
        <v>21.52</v>
      </c>
      <c r="H92" s="155">
        <v>0</v>
      </c>
      <c r="I92" s="155">
        <v>0</v>
      </c>
      <c r="J92" s="155">
        <v>0</v>
      </c>
      <c r="K92" s="155">
        <v>90778824.769999981</v>
      </c>
      <c r="L92" s="155">
        <v>0</v>
      </c>
      <c r="M92" s="155">
        <v>9514634.9400000125</v>
      </c>
      <c r="N92" s="155">
        <v>0</v>
      </c>
      <c r="O92" s="155">
        <v>0</v>
      </c>
      <c r="P92" s="155">
        <v>2.0000000484287739E-2</v>
      </c>
      <c r="Q92" s="155">
        <v>100293459.72999999</v>
      </c>
    </row>
    <row r="93" spans="1:17" x14ac:dyDescent="0.25">
      <c r="A93" s="143">
        <v>1</v>
      </c>
      <c r="B93" s="163"/>
      <c r="C93" s="139"/>
      <c r="D93" s="140"/>
      <c r="E93" s="139"/>
      <c r="F93" s="462"/>
      <c r="G93" s="148"/>
      <c r="H93" s="155"/>
      <c r="I93" s="155"/>
      <c r="J93" s="155"/>
      <c r="K93" s="155"/>
      <c r="L93" s="155"/>
      <c r="M93" s="155"/>
      <c r="N93" s="155"/>
      <c r="O93" s="155"/>
      <c r="P93" s="155"/>
      <c r="Q93" s="155"/>
    </row>
    <row r="94" spans="1:17" x14ac:dyDescent="0.25">
      <c r="A94" s="143">
        <v>1</v>
      </c>
      <c r="B94" s="163" t="s">
        <v>1563</v>
      </c>
      <c r="C94" s="139"/>
      <c r="D94" s="140">
        <v>4107</v>
      </c>
      <c r="E94" s="139"/>
      <c r="F94" s="462">
        <v>59.250900000000001</v>
      </c>
      <c r="G94" s="458">
        <v>270.78870000000006</v>
      </c>
      <c r="H94" s="155">
        <v>577577.2354559513</v>
      </c>
      <c r="I94" s="155">
        <v>71436.191955842311</v>
      </c>
      <c r="J94" s="155">
        <v>0</v>
      </c>
      <c r="K94" s="155">
        <v>1944873.534316316</v>
      </c>
      <c r="L94" s="155">
        <v>0</v>
      </c>
      <c r="M94" s="155">
        <v>1490900.1708938635</v>
      </c>
      <c r="N94" s="155">
        <v>0</v>
      </c>
      <c r="O94" s="155">
        <v>0</v>
      </c>
      <c r="P94" s="155">
        <v>183021.6661153695</v>
      </c>
      <c r="Q94" s="155">
        <v>4267808.7987373425</v>
      </c>
    </row>
    <row r="95" spans="1:17" x14ac:dyDescent="0.25">
      <c r="A95" s="143">
        <v>1</v>
      </c>
      <c r="B95" s="163"/>
      <c r="C95" s="139"/>
      <c r="D95" s="140"/>
      <c r="E95" s="139"/>
      <c r="F95" s="462"/>
      <c r="G95" s="148"/>
      <c r="H95" s="155"/>
      <c r="I95" s="155"/>
      <c r="J95" s="155"/>
      <c r="K95" s="155"/>
      <c r="L95" s="155"/>
      <c r="M95" s="155"/>
      <c r="N95" s="155"/>
      <c r="O95" s="155"/>
      <c r="P95" s="155"/>
      <c r="Q95" s="155"/>
    </row>
    <row r="96" spans="1:17" x14ac:dyDescent="0.25">
      <c r="A96" s="143">
        <v>1</v>
      </c>
      <c r="B96" s="163" t="s">
        <v>1564</v>
      </c>
      <c r="C96" s="139"/>
      <c r="D96" s="140">
        <v>4107</v>
      </c>
      <c r="E96" s="139"/>
      <c r="F96" s="462">
        <v>59.268299999999996</v>
      </c>
      <c r="G96" s="458">
        <v>270.78870000000006</v>
      </c>
      <c r="H96" s="155">
        <v>577746.85049803392</v>
      </c>
      <c r="I96" s="155">
        <v>71457.170366972467</v>
      </c>
      <c r="J96" s="155">
        <v>0</v>
      </c>
      <c r="K96" s="155">
        <v>1945444.6783748381</v>
      </c>
      <c r="L96" s="155">
        <v>0</v>
      </c>
      <c r="M96" s="155">
        <v>1491337.998217559</v>
      </c>
      <c r="N96" s="155">
        <v>0</v>
      </c>
      <c r="O96" s="155">
        <v>0</v>
      </c>
      <c r="P96" s="155">
        <v>183075.41343381372</v>
      </c>
      <c r="Q96" s="155">
        <v>4269062.1108912174</v>
      </c>
    </row>
    <row r="97" spans="1:17" x14ac:dyDescent="0.25">
      <c r="A97" s="143">
        <v>1</v>
      </c>
      <c r="B97" s="163"/>
      <c r="C97" s="139"/>
      <c r="D97" s="140"/>
      <c r="E97" s="139"/>
      <c r="F97" s="462"/>
      <c r="G97" s="148"/>
      <c r="H97" s="155"/>
      <c r="I97" s="155"/>
      <c r="J97" s="155"/>
      <c r="K97" s="155"/>
      <c r="L97" s="155"/>
      <c r="M97" s="155"/>
      <c r="N97" s="155"/>
      <c r="O97" s="155"/>
      <c r="P97" s="155"/>
      <c r="Q97" s="155"/>
    </row>
    <row r="98" spans="1:17" x14ac:dyDescent="0.25">
      <c r="A98" s="143">
        <v>1</v>
      </c>
      <c r="B98" s="163" t="s">
        <v>1732</v>
      </c>
      <c r="C98" s="139"/>
      <c r="D98" s="140">
        <v>4107</v>
      </c>
      <c r="E98" s="139"/>
      <c r="F98" s="462">
        <v>60.4437</v>
      </c>
      <c r="G98" s="458">
        <v>270.78870000000006</v>
      </c>
      <c r="H98" s="155">
        <v>589204.63903044316</v>
      </c>
      <c r="I98" s="155">
        <v>72874.298208488748</v>
      </c>
      <c r="J98" s="155">
        <v>0</v>
      </c>
      <c r="K98" s="155">
        <v>1984026.4442591607</v>
      </c>
      <c r="L98" s="155">
        <v>0</v>
      </c>
      <c r="M98" s="155">
        <v>1520913.9888078901</v>
      </c>
      <c r="N98" s="155">
        <v>0</v>
      </c>
      <c r="O98" s="155">
        <v>0</v>
      </c>
      <c r="P98" s="155">
        <v>186706.13746251212</v>
      </c>
      <c r="Q98" s="155">
        <v>4353725.507768495</v>
      </c>
    </row>
    <row r="99" spans="1:17" x14ac:dyDescent="0.25">
      <c r="A99" s="143">
        <v>1</v>
      </c>
      <c r="B99" s="163"/>
      <c r="C99" s="139"/>
      <c r="D99" s="140"/>
      <c r="E99" s="139"/>
      <c r="F99" s="462"/>
      <c r="G99" s="148"/>
      <c r="H99" s="155"/>
      <c r="I99" s="155"/>
      <c r="J99" s="155"/>
      <c r="K99" s="155"/>
      <c r="L99" s="155"/>
      <c r="M99" s="155"/>
      <c r="N99" s="155"/>
      <c r="O99" s="155"/>
      <c r="P99" s="155"/>
      <c r="Q99" s="155"/>
    </row>
    <row r="100" spans="1:17" x14ac:dyDescent="0.25">
      <c r="A100" s="143">
        <v>1</v>
      </c>
      <c r="B100" s="163" t="s">
        <v>1565</v>
      </c>
      <c r="C100" s="139"/>
      <c r="D100" s="140">
        <v>4101</v>
      </c>
      <c r="E100" s="139"/>
      <c r="F100" s="462">
        <v>26.900299999999998</v>
      </c>
      <c r="G100" s="458">
        <v>354.28050000000002</v>
      </c>
      <c r="H100" s="155">
        <v>110761.68390525867</v>
      </c>
      <c r="I100" s="155">
        <v>21122.138445116223</v>
      </c>
      <c r="J100" s="155">
        <v>7477.1301085919204</v>
      </c>
      <c r="K100" s="155">
        <v>1693232.9019779891</v>
      </c>
      <c r="L100" s="155">
        <v>104938.50230022818</v>
      </c>
      <c r="M100" s="155">
        <v>2311537.4514147965</v>
      </c>
      <c r="N100" s="155">
        <v>0</v>
      </c>
      <c r="O100" s="155">
        <v>0</v>
      </c>
      <c r="P100" s="155">
        <v>88631.509240844462</v>
      </c>
      <c r="Q100" s="155">
        <v>4337701.3173928251</v>
      </c>
    </row>
    <row r="101" spans="1:17" x14ac:dyDescent="0.25">
      <c r="A101" s="143">
        <v>1</v>
      </c>
      <c r="B101" s="163"/>
      <c r="C101" s="139"/>
      <c r="D101" s="140"/>
      <c r="E101" s="139"/>
      <c r="F101" s="462"/>
      <c r="G101" s="148"/>
      <c r="H101" s="155"/>
      <c r="I101" s="155"/>
      <c r="J101" s="155"/>
      <c r="K101" s="155"/>
      <c r="L101" s="155"/>
      <c r="M101" s="155"/>
      <c r="N101" s="155"/>
      <c r="O101" s="155"/>
      <c r="P101" s="155"/>
      <c r="Q101" s="155"/>
    </row>
    <row r="102" spans="1:17" x14ac:dyDescent="0.25">
      <c r="A102" s="143">
        <v>1</v>
      </c>
      <c r="B102" s="163" t="s">
        <v>1566</v>
      </c>
      <c r="C102" s="139"/>
      <c r="D102" s="140">
        <v>4101</v>
      </c>
      <c r="E102" s="139"/>
      <c r="F102" s="462">
        <v>12.3979</v>
      </c>
      <c r="G102" s="458">
        <v>354.28050000000002</v>
      </c>
      <c r="H102" s="155">
        <v>51048.214365230371</v>
      </c>
      <c r="I102" s="155">
        <v>9734.8416273687071</v>
      </c>
      <c r="J102" s="155">
        <v>3446.0846672086104</v>
      </c>
      <c r="K102" s="155">
        <v>780382.82827451418</v>
      </c>
      <c r="L102" s="155">
        <v>48364.40700170627</v>
      </c>
      <c r="M102" s="155">
        <v>1065349.0916047595</v>
      </c>
      <c r="N102" s="155">
        <v>0</v>
      </c>
      <c r="O102" s="155">
        <v>0</v>
      </c>
      <c r="P102" s="155">
        <v>40848.785642430215</v>
      </c>
      <c r="Q102" s="155">
        <v>1999174.2531832177</v>
      </c>
    </row>
    <row r="103" spans="1:17" x14ac:dyDescent="0.25">
      <c r="A103" s="143">
        <v>1</v>
      </c>
      <c r="B103" s="163"/>
      <c r="C103" s="139"/>
      <c r="D103" s="140"/>
      <c r="E103" s="139"/>
      <c r="F103" s="462"/>
      <c r="G103" s="148"/>
      <c r="H103" s="155"/>
      <c r="I103" s="155"/>
      <c r="J103" s="155"/>
      <c r="K103" s="155"/>
      <c r="L103" s="155"/>
      <c r="M103" s="155"/>
      <c r="N103" s="155"/>
      <c r="O103" s="155"/>
      <c r="P103" s="155"/>
      <c r="Q103" s="155"/>
    </row>
    <row r="104" spans="1:17" x14ac:dyDescent="0.25">
      <c r="A104" s="143">
        <v>1</v>
      </c>
      <c r="B104" s="163" t="s">
        <v>1567</v>
      </c>
      <c r="C104" s="139"/>
      <c r="D104" s="140">
        <v>4120</v>
      </c>
      <c r="E104" s="139"/>
      <c r="F104" s="462">
        <v>12.727</v>
      </c>
      <c r="G104" s="458">
        <v>124.6726</v>
      </c>
      <c r="H104" s="155">
        <v>435921.99600946798</v>
      </c>
      <c r="I104" s="155">
        <v>30436.145516256176</v>
      </c>
      <c r="J104" s="155">
        <v>345.04181351796626</v>
      </c>
      <c r="K104" s="155">
        <v>620514.12630184973</v>
      </c>
      <c r="L104" s="155">
        <v>89901.280491543439</v>
      </c>
      <c r="M104" s="155">
        <v>575587.33732664597</v>
      </c>
      <c r="N104" s="155">
        <v>26.140490292173261</v>
      </c>
      <c r="O104" s="155">
        <v>0</v>
      </c>
      <c r="P104" s="155">
        <v>3411.635639506997</v>
      </c>
      <c r="Q104" s="155">
        <v>1756143.7035890806</v>
      </c>
    </row>
    <row r="105" spans="1:17" x14ac:dyDescent="0.25">
      <c r="A105" s="143">
        <v>1</v>
      </c>
      <c r="B105" s="163"/>
      <c r="C105" s="139"/>
      <c r="D105" s="140"/>
      <c r="E105" s="139"/>
      <c r="F105" s="462"/>
      <c r="G105" s="148"/>
      <c r="H105" s="155"/>
      <c r="I105" s="155"/>
      <c r="J105" s="155"/>
      <c r="K105" s="155"/>
      <c r="L105" s="155"/>
      <c r="M105" s="155"/>
      <c r="N105" s="155"/>
      <c r="O105" s="155"/>
      <c r="P105" s="155"/>
      <c r="Q105" s="155"/>
    </row>
    <row r="106" spans="1:17" x14ac:dyDescent="0.25">
      <c r="A106" s="143">
        <v>1</v>
      </c>
      <c r="B106" s="163" t="s">
        <v>1568</v>
      </c>
      <c r="C106" s="139"/>
      <c r="D106" s="140">
        <v>4118</v>
      </c>
      <c r="E106" s="139"/>
      <c r="F106" s="462">
        <v>5.0153999999999996</v>
      </c>
      <c r="G106" s="458">
        <v>155.75350000000003</v>
      </c>
      <c r="H106" s="155">
        <v>177667.77335968282</v>
      </c>
      <c r="I106" s="155">
        <v>4222.6276321379801</v>
      </c>
      <c r="J106" s="155">
        <v>70.980879291556533</v>
      </c>
      <c r="K106" s="155">
        <v>562343.16382270108</v>
      </c>
      <c r="L106" s="155">
        <v>7703.0691014316635</v>
      </c>
      <c r="M106" s="155">
        <v>455339.49991247157</v>
      </c>
      <c r="N106" s="155">
        <v>0</v>
      </c>
      <c r="O106" s="155">
        <v>0</v>
      </c>
      <c r="P106" s="155">
        <v>5929.0336638901745</v>
      </c>
      <c r="Q106" s="155">
        <v>1213276.1483716066</v>
      </c>
    </row>
    <row r="107" spans="1:17" x14ac:dyDescent="0.25">
      <c r="A107" s="143">
        <v>1</v>
      </c>
      <c r="B107" s="163"/>
      <c r="C107" s="139"/>
      <c r="D107" s="140"/>
      <c r="E107" s="139"/>
      <c r="F107" s="462"/>
      <c r="G107" s="148"/>
      <c r="H107" s="155"/>
      <c r="I107" s="155"/>
      <c r="J107" s="155"/>
      <c r="K107" s="155"/>
      <c r="L107" s="155"/>
      <c r="M107" s="155"/>
      <c r="N107" s="155"/>
      <c r="O107" s="155"/>
      <c r="P107" s="155"/>
      <c r="Q107" s="155"/>
    </row>
    <row r="108" spans="1:17" x14ac:dyDescent="0.25">
      <c r="A108" s="143">
        <v>1</v>
      </c>
      <c r="B108" s="163" t="s">
        <v>1569</v>
      </c>
      <c r="C108" s="139"/>
      <c r="D108" s="140">
        <v>4118</v>
      </c>
      <c r="E108" s="139"/>
      <c r="F108" s="462">
        <v>8.9922000000000004</v>
      </c>
      <c r="G108" s="458">
        <v>155.75350000000003</v>
      </c>
      <c r="H108" s="155">
        <v>318543.71567670378</v>
      </c>
      <c r="I108" s="155">
        <v>7570.8242998985424</v>
      </c>
      <c r="J108" s="155">
        <v>127.26288287385545</v>
      </c>
      <c r="K108" s="155">
        <v>1008235.0755127195</v>
      </c>
      <c r="L108" s="155">
        <v>13810.969807770829</v>
      </c>
      <c r="M108" s="155">
        <v>816386.30041730008</v>
      </c>
      <c r="N108" s="155">
        <v>0</v>
      </c>
      <c r="O108" s="155">
        <v>0</v>
      </c>
      <c r="P108" s="155">
        <v>10630.270070668987</v>
      </c>
      <c r="Q108" s="155">
        <v>2175304.4186679353</v>
      </c>
    </row>
    <row r="109" spans="1:17" x14ac:dyDescent="0.25">
      <c r="A109" s="143">
        <v>1</v>
      </c>
      <c r="B109" s="163"/>
      <c r="C109" s="139"/>
      <c r="D109" s="140"/>
      <c r="E109" s="139"/>
      <c r="F109" s="462"/>
      <c r="G109" s="148"/>
      <c r="H109" s="155"/>
      <c r="I109" s="155"/>
      <c r="J109" s="155"/>
      <c r="K109" s="155"/>
      <c r="L109" s="155"/>
      <c r="M109" s="155"/>
      <c r="N109" s="155"/>
      <c r="O109" s="155"/>
      <c r="P109" s="155"/>
      <c r="Q109" s="155"/>
    </row>
    <row r="110" spans="1:17" x14ac:dyDescent="0.25">
      <c r="A110" s="143">
        <v>1</v>
      </c>
      <c r="B110" s="163" t="s">
        <v>1570</v>
      </c>
      <c r="C110" s="139"/>
      <c r="D110" s="140">
        <v>4169</v>
      </c>
      <c r="E110" s="139"/>
      <c r="F110" s="462">
        <v>4.4926000000000004</v>
      </c>
      <c r="G110" s="458">
        <v>297.62279999999993</v>
      </c>
      <c r="H110" s="155">
        <v>53819.250195018678</v>
      </c>
      <c r="I110" s="155">
        <v>0</v>
      </c>
      <c r="J110" s="155">
        <v>40.776882470025832</v>
      </c>
      <c r="K110" s="155">
        <v>131703.47942628726</v>
      </c>
      <c r="L110" s="155">
        <v>6014.5169538422479</v>
      </c>
      <c r="M110" s="155">
        <v>91564.997380415778</v>
      </c>
      <c r="N110" s="155">
        <v>0</v>
      </c>
      <c r="O110" s="155">
        <v>0</v>
      </c>
      <c r="P110" s="155">
        <v>1602.3595798305778</v>
      </c>
      <c r="Q110" s="155">
        <v>284745.3804178646</v>
      </c>
    </row>
    <row r="111" spans="1:17" x14ac:dyDescent="0.25">
      <c r="A111" s="143">
        <v>1</v>
      </c>
      <c r="B111" s="163"/>
      <c r="C111" s="139"/>
      <c r="D111" s="140"/>
      <c r="E111" s="139"/>
      <c r="F111" s="462"/>
      <c r="G111" s="148"/>
      <c r="H111" s="155"/>
      <c r="I111" s="155"/>
      <c r="J111" s="155"/>
      <c r="K111" s="155"/>
      <c r="L111" s="155"/>
      <c r="M111" s="155"/>
      <c r="N111" s="155"/>
      <c r="O111" s="155"/>
      <c r="P111" s="155"/>
      <c r="Q111" s="155"/>
    </row>
    <row r="112" spans="1:17" x14ac:dyDescent="0.25">
      <c r="A112" s="143">
        <v>1</v>
      </c>
      <c r="B112" s="163" t="s">
        <v>1571</v>
      </c>
      <c r="C112" s="139"/>
      <c r="D112" s="140">
        <v>4169</v>
      </c>
      <c r="E112" s="139"/>
      <c r="F112" s="462">
        <v>74.349599999999995</v>
      </c>
      <c r="G112" s="458">
        <v>297.62279999999993</v>
      </c>
      <c r="H112" s="155">
        <v>890673.49069571297</v>
      </c>
      <c r="I112" s="155">
        <v>0</v>
      </c>
      <c r="J112" s="155">
        <v>674.83081086529671</v>
      </c>
      <c r="K112" s="155">
        <v>2179606.6896569217</v>
      </c>
      <c r="L112" s="155">
        <v>99536.333016825345</v>
      </c>
      <c r="M112" s="155">
        <v>1515340.9894570983</v>
      </c>
      <c r="N112" s="155">
        <v>0</v>
      </c>
      <c r="O112" s="155">
        <v>0</v>
      </c>
      <c r="P112" s="155">
        <v>26518.006013571547</v>
      </c>
      <c r="Q112" s="155">
        <v>4712350.3396509951</v>
      </c>
    </row>
    <row r="113" spans="1:17" x14ac:dyDescent="0.25">
      <c r="A113" s="143">
        <v>1</v>
      </c>
      <c r="B113" s="163"/>
      <c r="C113" s="139"/>
      <c r="D113" s="140"/>
      <c r="E113" s="139"/>
      <c r="F113" s="462"/>
      <c r="G113" s="148"/>
      <c r="H113" s="155"/>
      <c r="I113" s="155"/>
      <c r="J113" s="155"/>
      <c r="K113" s="155"/>
      <c r="L113" s="155"/>
      <c r="M113" s="155"/>
      <c r="N113" s="155"/>
      <c r="O113" s="155"/>
      <c r="P113" s="155"/>
      <c r="Q113" s="155"/>
    </row>
    <row r="114" spans="1:17" x14ac:dyDescent="0.25">
      <c r="A114" s="143">
        <v>1</v>
      </c>
      <c r="B114" s="163" t="s">
        <v>1572</v>
      </c>
      <c r="C114" s="139"/>
      <c r="D114" s="140">
        <v>4169</v>
      </c>
      <c r="E114" s="139"/>
      <c r="F114" s="462">
        <v>7.4074</v>
      </c>
      <c r="G114" s="458">
        <v>297.62279999999993</v>
      </c>
      <c r="H114" s="155">
        <v>88737.193138623814</v>
      </c>
      <c r="I114" s="155">
        <v>0</v>
      </c>
      <c r="J114" s="155">
        <v>67.232933982208365</v>
      </c>
      <c r="K114" s="155">
        <v>217152.72971158801</v>
      </c>
      <c r="L114" s="155">
        <v>9916.7370529072396</v>
      </c>
      <c r="M114" s="155">
        <v>150972.3905078778</v>
      </c>
      <c r="N114" s="155">
        <v>0</v>
      </c>
      <c r="O114" s="155">
        <v>0</v>
      </c>
      <c r="P114" s="155">
        <v>2641.9708746910524</v>
      </c>
      <c r="Q114" s="155">
        <v>469488.25421967008</v>
      </c>
    </row>
    <row r="115" spans="1:17" x14ac:dyDescent="0.25">
      <c r="A115" s="143">
        <v>1</v>
      </c>
      <c r="B115" s="163"/>
      <c r="C115" s="139"/>
      <c r="D115" s="140"/>
      <c r="E115" s="139"/>
      <c r="F115" s="462"/>
      <c r="G115" s="148"/>
      <c r="H115" s="155"/>
      <c r="I115" s="155"/>
      <c r="J115" s="155"/>
      <c r="K115" s="155"/>
      <c r="L115" s="155"/>
      <c r="M115" s="155"/>
      <c r="N115" s="155"/>
      <c r="O115" s="155"/>
      <c r="P115" s="155"/>
      <c r="Q115" s="155"/>
    </row>
    <row r="116" spans="1:17" x14ac:dyDescent="0.25">
      <c r="A116" s="143">
        <v>1</v>
      </c>
      <c r="B116" s="163" t="s">
        <v>1573</v>
      </c>
      <c r="C116" s="139"/>
      <c r="D116" s="140">
        <v>4166</v>
      </c>
      <c r="E116" s="139"/>
      <c r="F116" s="462">
        <v>1.7038</v>
      </c>
      <c r="G116" s="458">
        <v>9.0272000000000006</v>
      </c>
      <c r="H116" s="155">
        <v>1705.1570455955334</v>
      </c>
      <c r="I116" s="155">
        <v>0</v>
      </c>
      <c r="J116" s="155">
        <v>0</v>
      </c>
      <c r="K116" s="155">
        <v>30963.024224565754</v>
      </c>
      <c r="L116" s="155">
        <v>0</v>
      </c>
      <c r="M116" s="155">
        <v>25750.021333746896</v>
      </c>
      <c r="N116" s="155">
        <v>0</v>
      </c>
      <c r="O116" s="155">
        <v>0</v>
      </c>
      <c r="P116" s="155">
        <v>0</v>
      </c>
      <c r="Q116" s="155">
        <v>58418.202603908183</v>
      </c>
    </row>
    <row r="117" spans="1:17" x14ac:dyDescent="0.25">
      <c r="A117" s="143">
        <v>1</v>
      </c>
      <c r="B117" s="163"/>
      <c r="C117" s="139"/>
      <c r="D117" s="140"/>
      <c r="E117" s="139"/>
      <c r="F117" s="462"/>
      <c r="G117" s="148"/>
      <c r="H117" s="155"/>
      <c r="I117" s="155"/>
      <c r="J117" s="155"/>
      <c r="K117" s="155"/>
      <c r="L117" s="155"/>
      <c r="M117" s="155"/>
      <c r="N117" s="155"/>
      <c r="O117" s="155"/>
      <c r="P117" s="155"/>
      <c r="Q117" s="155"/>
    </row>
    <row r="118" spans="1:17" x14ac:dyDescent="0.25">
      <c r="A118" s="143">
        <v>1</v>
      </c>
      <c r="B118" s="163" t="s">
        <v>1574</v>
      </c>
      <c r="C118" s="139"/>
      <c r="D118" s="140">
        <v>4111</v>
      </c>
      <c r="E118" s="139"/>
      <c r="F118" s="462">
        <v>5.7906000000000004</v>
      </c>
      <c r="G118" s="458">
        <v>5.7905999999999995</v>
      </c>
      <c r="H118" s="155">
        <v>1943.6300000000006</v>
      </c>
      <c r="I118" s="155">
        <v>0</v>
      </c>
      <c r="J118" s="155">
        <v>0</v>
      </c>
      <c r="K118" s="155">
        <v>133733.62000000002</v>
      </c>
      <c r="L118" s="155">
        <v>0</v>
      </c>
      <c r="M118" s="155">
        <v>155709.53000000003</v>
      </c>
      <c r="N118" s="155">
        <v>0</v>
      </c>
      <c r="O118" s="155">
        <v>0</v>
      </c>
      <c r="P118" s="155">
        <v>29428.590000000004</v>
      </c>
      <c r="Q118" s="155">
        <v>320815.37000000005</v>
      </c>
    </row>
    <row r="119" spans="1:17" x14ac:dyDescent="0.25">
      <c r="A119" s="143">
        <v>1</v>
      </c>
      <c r="B119" s="163"/>
      <c r="C119" s="139"/>
      <c r="D119" s="140"/>
      <c r="E119" s="139"/>
      <c r="F119" s="462"/>
      <c r="G119" s="148"/>
      <c r="H119" s="155"/>
      <c r="I119" s="155"/>
      <c r="J119" s="155"/>
      <c r="K119" s="155"/>
      <c r="L119" s="155"/>
      <c r="M119" s="155"/>
      <c r="N119" s="155"/>
      <c r="O119" s="155"/>
      <c r="P119" s="155"/>
      <c r="Q119" s="155"/>
    </row>
    <row r="120" spans="1:17" x14ac:dyDescent="0.25">
      <c r="A120" s="143">
        <v>1</v>
      </c>
      <c r="B120" s="163" t="s">
        <v>1575</v>
      </c>
      <c r="C120" s="139"/>
      <c r="D120" s="140">
        <v>4166</v>
      </c>
      <c r="E120" s="139"/>
      <c r="F120" s="462">
        <v>7.3234000000000004</v>
      </c>
      <c r="G120" s="458">
        <v>9.0272000000000006</v>
      </c>
      <c r="H120" s="155">
        <v>7329.232954404466</v>
      </c>
      <c r="I120" s="155">
        <v>0</v>
      </c>
      <c r="J120" s="155">
        <v>0</v>
      </c>
      <c r="K120" s="155">
        <v>133087.57577543426</v>
      </c>
      <c r="L120" s="155">
        <v>0</v>
      </c>
      <c r="M120" s="155">
        <v>110680.65866625309</v>
      </c>
      <c r="N120" s="155">
        <v>0</v>
      </c>
      <c r="O120" s="155">
        <v>0</v>
      </c>
      <c r="P120" s="155">
        <v>0</v>
      </c>
      <c r="Q120" s="155">
        <v>251097.46739609182</v>
      </c>
    </row>
    <row r="121" spans="1:17" x14ac:dyDescent="0.25">
      <c r="A121" s="143">
        <v>1</v>
      </c>
      <c r="B121" s="163"/>
      <c r="C121" s="139"/>
      <c r="D121" s="140"/>
      <c r="E121" s="139"/>
      <c r="F121" s="462"/>
      <c r="G121" s="148"/>
      <c r="H121" s="155"/>
      <c r="I121" s="155"/>
      <c r="J121" s="155"/>
      <c r="K121" s="155"/>
      <c r="L121" s="155"/>
      <c r="M121" s="155"/>
      <c r="N121" s="155"/>
      <c r="O121" s="155"/>
      <c r="P121" s="155"/>
      <c r="Q121" s="155"/>
    </row>
    <row r="122" spans="1:17" x14ac:dyDescent="0.25">
      <c r="A122" s="143">
        <v>1</v>
      </c>
      <c r="B122" s="163" t="s">
        <v>1576</v>
      </c>
      <c r="C122" s="139"/>
      <c r="D122" s="140">
        <v>4169</v>
      </c>
      <c r="E122" s="139"/>
      <c r="F122" s="462">
        <v>64.335899999999995</v>
      </c>
      <c r="G122" s="458">
        <v>297.62279999999993</v>
      </c>
      <c r="H122" s="155">
        <v>770714.04056041082</v>
      </c>
      <c r="I122" s="155">
        <v>0</v>
      </c>
      <c r="J122" s="155">
        <v>583.94191178901633</v>
      </c>
      <c r="K122" s="155">
        <v>1886048.5870145736</v>
      </c>
      <c r="L122" s="155">
        <v>86130.383584271782</v>
      </c>
      <c r="M122" s="155">
        <v>1311248.8347430641</v>
      </c>
      <c r="N122" s="155">
        <v>0</v>
      </c>
      <c r="O122" s="155">
        <v>0</v>
      </c>
      <c r="P122" s="155">
        <v>22946.455436055305</v>
      </c>
      <c r="Q122" s="155">
        <v>4077672.2432501647</v>
      </c>
    </row>
    <row r="123" spans="1:17" x14ac:dyDescent="0.25">
      <c r="A123" s="143">
        <v>1</v>
      </c>
      <c r="B123" s="163"/>
      <c r="C123" s="139"/>
      <c r="D123" s="140"/>
      <c r="E123" s="139"/>
      <c r="F123" s="462"/>
      <c r="G123" s="148"/>
      <c r="H123" s="155"/>
      <c r="I123" s="155"/>
      <c r="J123" s="155"/>
      <c r="K123" s="155"/>
      <c r="L123" s="155"/>
      <c r="M123" s="155"/>
      <c r="N123" s="155"/>
      <c r="O123" s="155"/>
      <c r="P123" s="155"/>
      <c r="Q123" s="155"/>
    </row>
    <row r="124" spans="1:17" x14ac:dyDescent="0.25">
      <c r="A124" s="143">
        <v>1</v>
      </c>
      <c r="B124" s="163" t="s">
        <v>1577</v>
      </c>
      <c r="C124" s="139"/>
      <c r="D124" s="140">
        <v>4113</v>
      </c>
      <c r="E124" s="139"/>
      <c r="F124" s="462">
        <v>76.699200000000005</v>
      </c>
      <c r="G124" s="458">
        <v>129.55309999999997</v>
      </c>
      <c r="H124" s="155">
        <v>517949.47600352298</v>
      </c>
      <c r="I124" s="155">
        <v>0</v>
      </c>
      <c r="J124" s="155">
        <v>0</v>
      </c>
      <c r="K124" s="155">
        <v>1090070.996335804</v>
      </c>
      <c r="L124" s="155">
        <v>122063.6280046406</v>
      </c>
      <c r="M124" s="155">
        <v>1273128.4123162474</v>
      </c>
      <c r="N124" s="155">
        <v>0</v>
      </c>
      <c r="O124" s="155">
        <v>0</v>
      </c>
      <c r="P124" s="155">
        <v>373580.90451498277</v>
      </c>
      <c r="Q124" s="155">
        <v>3376793.4171751975</v>
      </c>
    </row>
    <row r="125" spans="1:17" x14ac:dyDescent="0.25">
      <c r="A125" s="143">
        <v>1</v>
      </c>
      <c r="B125" s="163"/>
      <c r="C125" s="139"/>
      <c r="D125" s="140"/>
      <c r="E125" s="139"/>
      <c r="F125" s="462"/>
      <c r="G125" s="148"/>
      <c r="H125" s="155"/>
      <c r="I125" s="155"/>
      <c r="J125" s="155"/>
      <c r="K125" s="155"/>
      <c r="L125" s="155"/>
      <c r="M125" s="155"/>
      <c r="N125" s="155"/>
      <c r="O125" s="155"/>
      <c r="P125" s="155"/>
      <c r="Q125" s="155"/>
    </row>
    <row r="126" spans="1:17" x14ac:dyDescent="0.25">
      <c r="A126" s="143">
        <v>1</v>
      </c>
      <c r="B126" s="163" t="s">
        <v>1578</v>
      </c>
      <c r="C126" s="139"/>
      <c r="D126" s="140">
        <v>4121</v>
      </c>
      <c r="E126" s="139"/>
      <c r="F126" s="462">
        <v>83.520399999999995</v>
      </c>
      <c r="G126" s="458">
        <v>135.41370000000001</v>
      </c>
      <c r="H126" s="155">
        <v>218295.839976221</v>
      </c>
      <c r="I126" s="155">
        <v>0</v>
      </c>
      <c r="J126" s="155">
        <v>0</v>
      </c>
      <c r="K126" s="155">
        <v>1234281.3348161965</v>
      </c>
      <c r="L126" s="155">
        <v>114861.05329395771</v>
      </c>
      <c r="M126" s="155">
        <v>1265884.0577379686</v>
      </c>
      <c r="N126" s="155">
        <v>0</v>
      </c>
      <c r="O126" s="155">
        <v>0</v>
      </c>
      <c r="P126" s="155">
        <v>88629.629035821345</v>
      </c>
      <c r="Q126" s="155">
        <v>2921951.9148601647</v>
      </c>
    </row>
    <row r="127" spans="1:17" x14ac:dyDescent="0.25">
      <c r="A127" s="143">
        <v>1</v>
      </c>
      <c r="B127" s="441"/>
      <c r="C127" s="139"/>
      <c r="D127" s="140"/>
      <c r="E127" s="139"/>
      <c r="F127" s="462"/>
      <c r="G127" s="148"/>
      <c r="H127" s="155"/>
      <c r="I127" s="155"/>
      <c r="J127" s="155"/>
      <c r="K127" s="155"/>
      <c r="L127" s="155"/>
      <c r="M127" s="155"/>
      <c r="N127" s="155"/>
      <c r="O127" s="155"/>
      <c r="P127" s="155"/>
      <c r="Q127" s="155"/>
    </row>
    <row r="128" spans="1:17" x14ac:dyDescent="0.25">
      <c r="A128" s="143">
        <v>1</v>
      </c>
      <c r="B128" s="163" t="s">
        <v>1579</v>
      </c>
      <c r="C128" s="139"/>
      <c r="D128" s="140">
        <v>4120</v>
      </c>
      <c r="E128" s="139"/>
      <c r="F128" s="462">
        <v>6.1863999999999999</v>
      </c>
      <c r="G128" s="458">
        <v>124.6726</v>
      </c>
      <c r="H128" s="155">
        <v>211895.0134448788</v>
      </c>
      <c r="I128" s="155">
        <v>14794.544717668517</v>
      </c>
      <c r="J128" s="155">
        <v>167.71954703760088</v>
      </c>
      <c r="K128" s="155">
        <v>301622.42405545403</v>
      </c>
      <c r="L128" s="155">
        <v>43699.637120522071</v>
      </c>
      <c r="M128" s="155">
        <v>279784.19923293486</v>
      </c>
      <c r="N128" s="155">
        <v>12.706492428969957</v>
      </c>
      <c r="O128" s="155">
        <v>0</v>
      </c>
      <c r="P128" s="155">
        <v>1658.3438925313183</v>
      </c>
      <c r="Q128" s="155">
        <v>853634.58850345633</v>
      </c>
    </row>
    <row r="129" spans="1:17" x14ac:dyDescent="0.25">
      <c r="A129" s="143">
        <v>1</v>
      </c>
      <c r="B129" s="163"/>
      <c r="C129" s="139"/>
      <c r="D129" s="140"/>
      <c r="E129" s="139"/>
      <c r="F129" s="462"/>
      <c r="G129" s="148"/>
      <c r="H129" s="155"/>
      <c r="I129" s="155"/>
      <c r="J129" s="155"/>
      <c r="K129" s="155"/>
      <c r="L129" s="155"/>
      <c r="M129" s="155"/>
      <c r="N129" s="155"/>
      <c r="O129" s="155"/>
      <c r="P129" s="155"/>
      <c r="Q129" s="155"/>
    </row>
    <row r="130" spans="1:17" x14ac:dyDescent="0.25">
      <c r="A130" s="143">
        <v>1</v>
      </c>
      <c r="B130" s="163" t="s">
        <v>1580</v>
      </c>
      <c r="C130" s="139"/>
      <c r="D130" s="140">
        <v>4119</v>
      </c>
      <c r="E130" s="139"/>
      <c r="F130" s="462">
        <v>12.4612</v>
      </c>
      <c r="G130" s="458">
        <v>137.6463</v>
      </c>
      <c r="H130" s="155">
        <v>190094.26646420569</v>
      </c>
      <c r="I130" s="155">
        <v>6505.496119982884</v>
      </c>
      <c r="J130" s="155">
        <v>9.1336306751434648</v>
      </c>
      <c r="K130" s="155">
        <v>717767.72999675258</v>
      </c>
      <c r="L130" s="155">
        <v>7711.056607493264</v>
      </c>
      <c r="M130" s="155">
        <v>1344075.4060807447</v>
      </c>
      <c r="N130" s="155">
        <v>0</v>
      </c>
      <c r="O130" s="155">
        <v>0</v>
      </c>
      <c r="P130" s="155">
        <v>4746.5746768638173</v>
      </c>
      <c r="Q130" s="155">
        <v>2270909.6635767184</v>
      </c>
    </row>
    <row r="131" spans="1:17" x14ac:dyDescent="0.25">
      <c r="A131" s="143">
        <v>1</v>
      </c>
      <c r="B131" s="163"/>
      <c r="C131" s="139"/>
      <c r="D131" s="140"/>
      <c r="E131" s="139"/>
      <c r="F131" s="462"/>
      <c r="G131" s="148"/>
      <c r="H131" s="155"/>
      <c r="I131" s="155"/>
      <c r="J131" s="155"/>
      <c r="K131" s="155"/>
      <c r="L131" s="155"/>
      <c r="M131" s="155"/>
      <c r="N131" s="155"/>
      <c r="O131" s="155"/>
      <c r="P131" s="155"/>
      <c r="Q131" s="155"/>
    </row>
    <row r="132" spans="1:17" x14ac:dyDescent="0.25">
      <c r="A132" s="143">
        <v>1</v>
      </c>
      <c r="B132" s="163" t="s">
        <v>1581</v>
      </c>
      <c r="C132" s="139"/>
      <c r="D132" s="140">
        <v>4119</v>
      </c>
      <c r="E132" s="139"/>
      <c r="F132" s="462">
        <v>18.7746</v>
      </c>
      <c r="G132" s="458">
        <v>137.6463</v>
      </c>
      <c r="H132" s="155">
        <v>286404.50479559565</v>
      </c>
      <c r="I132" s="155">
        <v>9801.4707615824027</v>
      </c>
      <c r="J132" s="155">
        <v>13.761135562670409</v>
      </c>
      <c r="K132" s="155">
        <v>1081420.8923375783</v>
      </c>
      <c r="L132" s="155">
        <v>11617.821990100714</v>
      </c>
      <c r="M132" s="155">
        <v>2025043.9860529923</v>
      </c>
      <c r="N132" s="155">
        <v>0</v>
      </c>
      <c r="O132" s="155">
        <v>0</v>
      </c>
      <c r="P132" s="155">
        <v>7151.4012236580284</v>
      </c>
      <c r="Q132" s="155">
        <v>3421453.8382970705</v>
      </c>
    </row>
    <row r="133" spans="1:17" x14ac:dyDescent="0.25">
      <c r="A133" s="143">
        <v>1</v>
      </c>
      <c r="B133" s="163"/>
      <c r="C133" s="139"/>
      <c r="D133" s="140"/>
      <c r="E133" s="139"/>
      <c r="F133" s="462"/>
      <c r="G133" s="148"/>
      <c r="H133" s="155"/>
      <c r="I133" s="155"/>
      <c r="J133" s="155"/>
      <c r="K133" s="155"/>
      <c r="L133" s="155"/>
      <c r="M133" s="155"/>
      <c r="N133" s="155"/>
      <c r="O133" s="155"/>
      <c r="P133" s="155"/>
      <c r="Q133" s="155"/>
    </row>
    <row r="134" spans="1:17" x14ac:dyDescent="0.25">
      <c r="A134" s="143">
        <v>1</v>
      </c>
      <c r="B134" s="163" t="s">
        <v>1582</v>
      </c>
      <c r="C134" s="139"/>
      <c r="D134" s="140">
        <v>4116</v>
      </c>
      <c r="E134" s="139" t="s">
        <v>1583</v>
      </c>
      <c r="F134" s="462">
        <v>1.2465999999999999</v>
      </c>
      <c r="G134" s="458">
        <v>90.452699999999993</v>
      </c>
      <c r="H134" s="155">
        <v>49024.021978506717</v>
      </c>
      <c r="I134" s="155">
        <v>2385.4552720247075</v>
      </c>
      <c r="J134" s="155">
        <v>28.161706946971346</v>
      </c>
      <c r="K134" s="155">
        <v>44330.783690282326</v>
      </c>
      <c r="L134" s="155">
        <v>139671.90404076385</v>
      </c>
      <c r="M134" s="155">
        <v>93417.50389951875</v>
      </c>
      <c r="N134" s="155">
        <v>0</v>
      </c>
      <c r="O134" s="155">
        <v>0</v>
      </c>
      <c r="P134" s="155">
        <v>184.90561199405286</v>
      </c>
      <c r="Q134" s="155">
        <v>329042.73620003735</v>
      </c>
    </row>
    <row r="135" spans="1:17" x14ac:dyDescent="0.25">
      <c r="A135" s="143">
        <v>1</v>
      </c>
      <c r="B135" s="163" t="s">
        <v>1582</v>
      </c>
      <c r="C135" s="139"/>
      <c r="D135" s="140">
        <v>4116</v>
      </c>
      <c r="E135" s="139" t="s">
        <v>1584</v>
      </c>
      <c r="F135" s="463">
        <v>0.4763</v>
      </c>
      <c r="G135" s="459">
        <v>0.9526</v>
      </c>
      <c r="H135" s="337">
        <v>18731.061822848347</v>
      </c>
      <c r="I135" s="337">
        <v>911.4329745430515</v>
      </c>
      <c r="J135" s="337">
        <v>10.760004026024749</v>
      </c>
      <c r="K135" s="337">
        <v>0</v>
      </c>
      <c r="L135" s="337">
        <v>0</v>
      </c>
      <c r="M135" s="337">
        <v>0</v>
      </c>
      <c r="N135" s="337">
        <v>90294.475000000006</v>
      </c>
      <c r="O135" s="337">
        <v>228413.98</v>
      </c>
      <c r="P135" s="337">
        <v>70.64859858235792</v>
      </c>
      <c r="Q135" s="337">
        <v>338432.35839999979</v>
      </c>
    </row>
    <row r="136" spans="1:17" x14ac:dyDescent="0.25">
      <c r="A136" s="143">
        <v>1</v>
      </c>
      <c r="B136" s="163"/>
      <c r="C136" s="139" t="s">
        <v>1585</v>
      </c>
      <c r="D136" s="140"/>
      <c r="E136" s="139"/>
      <c r="F136" s="462">
        <v>1.7228999999999999</v>
      </c>
      <c r="G136" s="466">
        <v>91.405299999999997</v>
      </c>
      <c r="H136" s="155">
        <v>67755.083801355067</v>
      </c>
      <c r="I136" s="155">
        <v>3296.8882465677589</v>
      </c>
      <c r="J136" s="155">
        <v>38.921710972996095</v>
      </c>
      <c r="K136" s="155">
        <v>44330.783690282326</v>
      </c>
      <c r="L136" s="155">
        <v>139671.90404076385</v>
      </c>
      <c r="M136" s="155">
        <v>93417.50389951875</v>
      </c>
      <c r="N136" s="155">
        <v>90294.475000000006</v>
      </c>
      <c r="O136" s="155">
        <v>228413.98</v>
      </c>
      <c r="P136" s="155">
        <v>255.55421057641078</v>
      </c>
      <c r="Q136" s="155">
        <v>667475.09460003721</v>
      </c>
    </row>
    <row r="137" spans="1:17" x14ac:dyDescent="0.25">
      <c r="A137" s="143">
        <v>1</v>
      </c>
      <c r="B137" s="163"/>
      <c r="C137" s="139"/>
      <c r="D137" s="140"/>
      <c r="E137" s="139"/>
      <c r="F137" s="462"/>
      <c r="G137" s="466"/>
      <c r="H137" s="155"/>
      <c r="I137" s="155"/>
      <c r="J137" s="155"/>
      <c r="K137" s="155"/>
      <c r="L137" s="155"/>
      <c r="M137" s="155"/>
      <c r="N137" s="155"/>
      <c r="O137" s="155"/>
      <c r="P137" s="155"/>
      <c r="Q137" s="155"/>
    </row>
    <row r="138" spans="1:17" x14ac:dyDescent="0.25">
      <c r="A138" s="143">
        <v>1</v>
      </c>
      <c r="B138" s="163" t="s">
        <v>1586</v>
      </c>
      <c r="C138" s="139"/>
      <c r="D138" s="140">
        <v>4116</v>
      </c>
      <c r="E138" s="139"/>
      <c r="F138" s="462">
        <v>1.7776000000000001</v>
      </c>
      <c r="G138" s="467">
        <v>90.452699999999993</v>
      </c>
      <c r="H138" s="155">
        <v>69906.226110214615</v>
      </c>
      <c r="I138" s="155">
        <v>3401.5604777403496</v>
      </c>
      <c r="J138" s="155">
        <v>40.157428420452646</v>
      </c>
      <c r="K138" s="155">
        <v>63213.862576484731</v>
      </c>
      <c r="L138" s="155">
        <v>199166.35378057262</v>
      </c>
      <c r="M138" s="155">
        <v>133209.4937684779</v>
      </c>
      <c r="N138" s="155">
        <v>0</v>
      </c>
      <c r="O138" s="155">
        <v>0</v>
      </c>
      <c r="P138" s="155">
        <v>263.66774898173304</v>
      </c>
      <c r="Q138" s="155">
        <v>469201.32189089246</v>
      </c>
    </row>
    <row r="139" spans="1:17" x14ac:dyDescent="0.25">
      <c r="A139" s="143">
        <v>1</v>
      </c>
      <c r="B139" s="163"/>
      <c r="C139" s="139"/>
      <c r="D139" s="140"/>
      <c r="E139" s="139"/>
      <c r="F139" s="462"/>
      <c r="G139" s="148"/>
      <c r="H139" s="155"/>
      <c r="I139" s="155"/>
      <c r="J139" s="155"/>
      <c r="K139" s="155"/>
      <c r="L139" s="155"/>
      <c r="M139" s="155"/>
      <c r="N139" s="155"/>
      <c r="O139" s="155"/>
      <c r="P139" s="155"/>
      <c r="Q139" s="155"/>
    </row>
    <row r="140" spans="1:17" x14ac:dyDescent="0.25">
      <c r="A140" s="143">
        <v>1</v>
      </c>
      <c r="B140" s="163" t="s">
        <v>1587</v>
      </c>
      <c r="C140" s="139"/>
      <c r="D140" s="140">
        <v>4117</v>
      </c>
      <c r="E140" s="139"/>
      <c r="F140" s="462">
        <v>9.2966999999999995</v>
      </c>
      <c r="G140" s="458">
        <v>305.18490000000003</v>
      </c>
      <c r="H140" s="155">
        <v>30630.329458724853</v>
      </c>
      <c r="I140" s="155">
        <v>215.79524718293726</v>
      </c>
      <c r="J140" s="155">
        <v>391.66236033630753</v>
      </c>
      <c r="K140" s="155">
        <v>467081.48751079099</v>
      </c>
      <c r="L140" s="155">
        <v>21125.306971422899</v>
      </c>
      <c r="M140" s="155">
        <v>603741.31943602697</v>
      </c>
      <c r="N140" s="155">
        <v>0</v>
      </c>
      <c r="O140" s="155">
        <v>0</v>
      </c>
      <c r="P140" s="155">
        <v>4604.7688010121083</v>
      </c>
      <c r="Q140" s="155">
        <v>1127790.669785497</v>
      </c>
    </row>
    <row r="141" spans="1:17" x14ac:dyDescent="0.25">
      <c r="A141" s="143">
        <v>1</v>
      </c>
      <c r="B141" s="163"/>
      <c r="C141" s="139"/>
      <c r="D141" s="140"/>
      <c r="E141" s="139"/>
      <c r="F141" s="462"/>
      <c r="G141" s="148"/>
      <c r="H141" s="155"/>
      <c r="I141" s="155"/>
      <c r="J141" s="155"/>
      <c r="K141" s="155"/>
      <c r="L141" s="155"/>
      <c r="M141" s="155"/>
      <c r="N141" s="155"/>
      <c r="O141" s="155"/>
      <c r="P141" s="155"/>
      <c r="Q141" s="155"/>
    </row>
    <row r="142" spans="1:17" x14ac:dyDescent="0.25">
      <c r="A142" s="143">
        <v>1</v>
      </c>
      <c r="B142" s="163" t="s">
        <v>1588</v>
      </c>
      <c r="C142" s="139"/>
      <c r="D142" s="140">
        <v>4118</v>
      </c>
      <c r="E142" s="139"/>
      <c r="F142" s="462">
        <v>6.6848999999999998</v>
      </c>
      <c r="G142" s="458">
        <v>155.75350000000003</v>
      </c>
      <c r="H142" s="155">
        <v>236808.88825061682</v>
      </c>
      <c r="I142" s="155">
        <v>5628.2337317221327</v>
      </c>
      <c r="J142" s="155">
        <v>94.608621441186386</v>
      </c>
      <c r="K142" s="155">
        <v>749533.00152298412</v>
      </c>
      <c r="L142" s="155">
        <v>10267.226270319523</v>
      </c>
      <c r="M142" s="155">
        <v>606910.52019078855</v>
      </c>
      <c r="N142" s="155">
        <v>0</v>
      </c>
      <c r="O142" s="155">
        <v>0</v>
      </c>
      <c r="P142" s="155">
        <v>7902.6592374963966</v>
      </c>
      <c r="Q142" s="155">
        <v>1617145.1378253687</v>
      </c>
    </row>
    <row r="143" spans="1:17" x14ac:dyDescent="0.25">
      <c r="A143" s="143">
        <v>1</v>
      </c>
      <c r="B143" s="163"/>
      <c r="C143" s="139"/>
      <c r="D143" s="140"/>
      <c r="E143" s="139"/>
      <c r="F143" s="462"/>
      <c r="G143" s="148"/>
      <c r="H143" s="155"/>
      <c r="I143" s="155"/>
      <c r="J143" s="155"/>
      <c r="K143" s="155"/>
      <c r="L143" s="155"/>
      <c r="M143" s="155"/>
      <c r="N143" s="155"/>
      <c r="O143" s="155"/>
      <c r="P143" s="155"/>
      <c r="Q143" s="155"/>
    </row>
    <row r="144" spans="1:17" x14ac:dyDescent="0.25">
      <c r="A144" s="143">
        <v>1</v>
      </c>
      <c r="B144" s="163" t="s">
        <v>1589</v>
      </c>
      <c r="C144" s="139"/>
      <c r="D144" s="140">
        <v>4118</v>
      </c>
      <c r="E144" s="139"/>
      <c r="F144" s="462">
        <v>6.7911000000000001</v>
      </c>
      <c r="G144" s="458">
        <v>155.75350000000003</v>
      </c>
      <c r="H144" s="155">
        <v>240570.96456173825</v>
      </c>
      <c r="I144" s="155">
        <v>5717.6469499167042</v>
      </c>
      <c r="J144" s="155">
        <v>96.111626063103543</v>
      </c>
      <c r="K144" s="155">
        <v>761440.49524192407</v>
      </c>
      <c r="L144" s="155">
        <v>10430.337076750126</v>
      </c>
      <c r="M144" s="155">
        <v>616552.23468827724</v>
      </c>
      <c r="N144" s="155">
        <v>0</v>
      </c>
      <c r="O144" s="155">
        <v>0</v>
      </c>
      <c r="P144" s="155">
        <v>8028.2052308578714</v>
      </c>
      <c r="Q144" s="155">
        <v>1642835.9953755273</v>
      </c>
    </row>
    <row r="145" spans="1:17" x14ac:dyDescent="0.25">
      <c r="A145" s="143">
        <v>1</v>
      </c>
      <c r="B145" s="163"/>
      <c r="C145" s="139"/>
      <c r="D145" s="140"/>
      <c r="E145" s="139"/>
      <c r="F145" s="462"/>
      <c r="G145" s="148"/>
      <c r="H145" s="155"/>
      <c r="I145" s="155"/>
      <c r="J145" s="155"/>
      <c r="K145" s="155"/>
      <c r="L145" s="155"/>
      <c r="M145" s="155"/>
      <c r="N145" s="155"/>
      <c r="O145" s="155"/>
      <c r="P145" s="155"/>
      <c r="Q145" s="155"/>
    </row>
    <row r="146" spans="1:17" x14ac:dyDescent="0.25">
      <c r="A146" s="143">
        <v>1</v>
      </c>
      <c r="B146" s="163" t="s">
        <v>1590</v>
      </c>
      <c r="C146" s="139"/>
      <c r="D146" s="140">
        <v>4108</v>
      </c>
      <c r="E146" s="139"/>
      <c r="F146" s="462">
        <v>24.839300000000001</v>
      </c>
      <c r="G146" s="458">
        <v>169.202</v>
      </c>
      <c r="H146" s="155">
        <v>1184402.296782674</v>
      </c>
      <c r="I146" s="155">
        <v>445660.01847235253</v>
      </c>
      <c r="J146" s="155">
        <v>0</v>
      </c>
      <c r="K146" s="155">
        <v>2072083.4647993702</v>
      </c>
      <c r="L146" s="155">
        <v>228788.44426031609</v>
      </c>
      <c r="M146" s="155">
        <v>2077388.110603923</v>
      </c>
      <c r="N146" s="155">
        <v>15.549335445207506</v>
      </c>
      <c r="O146" s="155">
        <v>0</v>
      </c>
      <c r="P146" s="155">
        <v>66667.565793554459</v>
      </c>
      <c r="Q146" s="155">
        <v>6075005.4500476355</v>
      </c>
    </row>
    <row r="147" spans="1:17" x14ac:dyDescent="0.25">
      <c r="A147" s="143">
        <v>1</v>
      </c>
      <c r="B147" s="163"/>
      <c r="C147" s="139"/>
      <c r="D147" s="140"/>
      <c r="E147" s="139"/>
      <c r="F147" s="462"/>
      <c r="G147" s="148"/>
      <c r="H147" s="155"/>
      <c r="I147" s="155"/>
      <c r="J147" s="155"/>
      <c r="K147" s="155"/>
      <c r="L147" s="155"/>
      <c r="M147" s="155"/>
      <c r="N147" s="155"/>
      <c r="O147" s="155"/>
      <c r="P147" s="155"/>
      <c r="Q147" s="155"/>
    </row>
    <row r="148" spans="1:17" x14ac:dyDescent="0.25">
      <c r="A148" s="143">
        <v>1</v>
      </c>
      <c r="B148" s="163" t="s">
        <v>1591</v>
      </c>
      <c r="C148" s="139"/>
      <c r="D148" s="140">
        <v>4108</v>
      </c>
      <c r="E148" s="156"/>
      <c r="F148" s="462">
        <v>25.410958739999998</v>
      </c>
      <c r="G148" s="458">
        <v>169.202</v>
      </c>
      <c r="H148" s="155">
        <v>1211660.4693008966</v>
      </c>
      <c r="I148" s="155">
        <v>455916.56534075388</v>
      </c>
      <c r="J148" s="155">
        <v>0</v>
      </c>
      <c r="K148" s="155">
        <v>2119770.9850862557</v>
      </c>
      <c r="L148" s="155">
        <v>234053.84681885884</v>
      </c>
      <c r="M148" s="155">
        <v>2125197.7135234424</v>
      </c>
      <c r="N148" s="155">
        <v>15.907192289339369</v>
      </c>
      <c r="O148" s="155">
        <v>0</v>
      </c>
      <c r="P148" s="155">
        <v>68201.872181432132</v>
      </c>
      <c r="Q148" s="155">
        <v>6214817.3594439281</v>
      </c>
    </row>
    <row r="149" spans="1:17" x14ac:dyDescent="0.25">
      <c r="A149" s="143">
        <v>1</v>
      </c>
      <c r="B149" s="163"/>
      <c r="C149" s="139"/>
      <c r="D149" s="140"/>
      <c r="E149" s="139"/>
      <c r="F149" s="462"/>
      <c r="G149" s="148"/>
      <c r="H149" s="155"/>
      <c r="I149" s="155"/>
      <c r="J149" s="155"/>
      <c r="K149" s="155"/>
      <c r="L149" s="155"/>
      <c r="M149" s="155"/>
      <c r="N149" s="155"/>
      <c r="O149" s="155"/>
      <c r="P149" s="155"/>
      <c r="Q149" s="155"/>
    </row>
    <row r="150" spans="1:17" x14ac:dyDescent="0.25">
      <c r="A150" s="143">
        <v>1</v>
      </c>
      <c r="B150" s="163" t="s">
        <v>1592</v>
      </c>
      <c r="C150" s="139"/>
      <c r="D150" s="140">
        <v>4117</v>
      </c>
      <c r="E150" s="139"/>
      <c r="F150" s="462">
        <v>82.417599999999993</v>
      </c>
      <c r="G150" s="458">
        <v>305.18490000000003</v>
      </c>
      <c r="H150" s="155">
        <v>271545.62814734271</v>
      </c>
      <c r="I150" s="155">
        <v>1913.0795189932396</v>
      </c>
      <c r="J150" s="155">
        <v>3472.1860175388756</v>
      </c>
      <c r="K150" s="155">
        <v>4140795.6807328798</v>
      </c>
      <c r="L150" s="155">
        <v>187281.19653725985</v>
      </c>
      <c r="M150" s="155">
        <v>5352319.7014801698</v>
      </c>
      <c r="N150" s="155">
        <v>0</v>
      </c>
      <c r="O150" s="155">
        <v>0</v>
      </c>
      <c r="P150" s="155">
        <v>40822.441633514631</v>
      </c>
      <c r="Q150" s="155">
        <v>9998149.9140677005</v>
      </c>
    </row>
    <row r="151" spans="1:17" x14ac:dyDescent="0.25">
      <c r="A151" s="143">
        <v>1</v>
      </c>
      <c r="B151" s="163" t="s">
        <v>1593</v>
      </c>
      <c r="C151" s="139"/>
      <c r="D151" s="140">
        <v>4127</v>
      </c>
      <c r="E151" s="139"/>
      <c r="F151" s="463">
        <v>26.9238</v>
      </c>
      <c r="G151" s="459">
        <v>85.088799999999992</v>
      </c>
      <c r="H151" s="337">
        <v>6278.5548014074711</v>
      </c>
      <c r="I151" s="337">
        <v>0</v>
      </c>
      <c r="J151" s="337">
        <v>0</v>
      </c>
      <c r="K151" s="337">
        <v>204931.06654793583</v>
      </c>
      <c r="L151" s="337">
        <v>0</v>
      </c>
      <c r="M151" s="337">
        <v>173968.60795032955</v>
      </c>
      <c r="N151" s="337">
        <v>0</v>
      </c>
      <c r="O151" s="337">
        <v>0</v>
      </c>
      <c r="P151" s="337">
        <v>1647.0991128797211</v>
      </c>
      <c r="Q151" s="337">
        <v>386825.3284125526</v>
      </c>
    </row>
    <row r="152" spans="1:17" x14ac:dyDescent="0.25">
      <c r="A152" s="143">
        <v>1</v>
      </c>
      <c r="B152" s="163"/>
      <c r="C152" s="140" t="s">
        <v>1594</v>
      </c>
      <c r="D152" s="140"/>
      <c r="E152" s="139"/>
      <c r="F152" s="462">
        <v>109.34139999999999</v>
      </c>
      <c r="G152" s="157">
        <v>390.27370000000002</v>
      </c>
      <c r="H152" s="155">
        <v>277824.18294875015</v>
      </c>
      <c r="I152" s="155">
        <v>1913.0795189932396</v>
      </c>
      <c r="J152" s="155">
        <v>3472.1860175388756</v>
      </c>
      <c r="K152" s="155">
        <v>4345726.7472808156</v>
      </c>
      <c r="L152" s="155">
        <v>187281.19653725985</v>
      </c>
      <c r="M152" s="155">
        <v>5526288.3094304996</v>
      </c>
      <c r="N152" s="155">
        <v>0</v>
      </c>
      <c r="O152" s="155">
        <v>0</v>
      </c>
      <c r="P152" s="155">
        <v>42469.540746394348</v>
      </c>
      <c r="Q152" s="155">
        <v>10384975.242480254</v>
      </c>
    </row>
    <row r="153" spans="1:17" x14ac:dyDescent="0.25">
      <c r="A153" s="143">
        <v>1</v>
      </c>
      <c r="B153" s="163"/>
      <c r="C153" s="139"/>
      <c r="D153" s="140"/>
      <c r="E153" s="139"/>
      <c r="F153" s="462"/>
      <c r="G153" s="148"/>
      <c r="H153" s="155"/>
      <c r="I153" s="150"/>
      <c r="J153" s="150"/>
      <c r="K153" s="150"/>
      <c r="L153" s="150"/>
      <c r="M153" s="150"/>
      <c r="N153" s="150"/>
      <c r="O153" s="150"/>
      <c r="P153" s="150"/>
      <c r="Q153" s="155"/>
    </row>
    <row r="154" spans="1:17" x14ac:dyDescent="0.25">
      <c r="A154" s="143">
        <v>1</v>
      </c>
      <c r="B154" s="163" t="s">
        <v>1595</v>
      </c>
      <c r="C154" s="139"/>
      <c r="D154" s="140">
        <v>4117</v>
      </c>
      <c r="E154" s="139"/>
      <c r="F154" s="462">
        <v>82.680999999999997</v>
      </c>
      <c r="G154" s="458">
        <v>305.18490000000003</v>
      </c>
      <c r="H154" s="155">
        <v>272413.46606611268</v>
      </c>
      <c r="I154" s="155">
        <v>1919.1935667852504</v>
      </c>
      <c r="J154" s="155">
        <v>3483.2828439087252</v>
      </c>
      <c r="K154" s="155">
        <v>4154029.3296416695</v>
      </c>
      <c r="L154" s="155">
        <v>187879.73213120963</v>
      </c>
      <c r="M154" s="155">
        <v>5369425.2834113343</v>
      </c>
      <c r="N154" s="155">
        <v>0</v>
      </c>
      <c r="O154" s="155">
        <v>0</v>
      </c>
      <c r="P154" s="155">
        <v>40952.906863347431</v>
      </c>
      <c r="Q154" s="155">
        <v>10030103.194524366</v>
      </c>
    </row>
    <row r="155" spans="1:17" x14ac:dyDescent="0.25">
      <c r="A155" s="143">
        <v>1</v>
      </c>
      <c r="B155" s="163" t="s">
        <v>1596</v>
      </c>
      <c r="C155" s="139"/>
      <c r="D155" s="140">
        <v>4127</v>
      </c>
      <c r="E155" s="139"/>
      <c r="F155" s="463">
        <v>27.028300000000002</v>
      </c>
      <c r="G155" s="459">
        <v>85.088799999999992</v>
      </c>
      <c r="H155" s="337">
        <v>6302.9239089163329</v>
      </c>
      <c r="I155" s="337">
        <v>0</v>
      </c>
      <c r="J155" s="337">
        <v>0</v>
      </c>
      <c r="K155" s="337">
        <v>205726.47048253124</v>
      </c>
      <c r="L155" s="337">
        <v>0</v>
      </c>
      <c r="M155" s="337">
        <v>174643.83654104892</v>
      </c>
      <c r="N155" s="337">
        <v>0</v>
      </c>
      <c r="O155" s="337">
        <v>0</v>
      </c>
      <c r="P155" s="337">
        <v>1653.4920387407042</v>
      </c>
      <c r="Q155" s="337">
        <v>388326.72297123721</v>
      </c>
    </row>
    <row r="156" spans="1:17" x14ac:dyDescent="0.25">
      <c r="A156" s="143">
        <v>1</v>
      </c>
      <c r="B156" s="163"/>
      <c r="C156" s="140" t="s">
        <v>1597</v>
      </c>
      <c r="D156" s="140"/>
      <c r="E156" s="139"/>
      <c r="F156" s="462">
        <v>109.7093</v>
      </c>
      <c r="G156" s="157">
        <v>390.27370000000002</v>
      </c>
      <c r="H156" s="155">
        <v>278716.38997502904</v>
      </c>
      <c r="I156" s="155">
        <v>1919.1935667852504</v>
      </c>
      <c r="J156" s="155">
        <v>3483.2828439087252</v>
      </c>
      <c r="K156" s="155">
        <v>4359755.800124201</v>
      </c>
      <c r="L156" s="155">
        <v>187879.73213120963</v>
      </c>
      <c r="M156" s="155">
        <v>5544069.1199523835</v>
      </c>
      <c r="N156" s="155">
        <v>0</v>
      </c>
      <c r="O156" s="155">
        <v>0</v>
      </c>
      <c r="P156" s="155">
        <v>42606.398902088134</v>
      </c>
      <c r="Q156" s="155">
        <v>10418429.917495603</v>
      </c>
    </row>
    <row r="157" spans="1:17" x14ac:dyDescent="0.25">
      <c r="A157" s="143">
        <v>1</v>
      </c>
      <c r="B157" s="163"/>
      <c r="C157" s="139"/>
      <c r="D157" s="140"/>
      <c r="E157" s="139"/>
      <c r="F157" s="462"/>
      <c r="G157" s="148"/>
      <c r="H157" s="155"/>
      <c r="I157" s="150"/>
      <c r="J157" s="150"/>
      <c r="K157" s="150"/>
      <c r="L157" s="150"/>
      <c r="M157" s="150"/>
      <c r="N157" s="150"/>
      <c r="O157" s="150"/>
      <c r="P157" s="150"/>
      <c r="Q157" s="155"/>
    </row>
    <row r="158" spans="1:17" x14ac:dyDescent="0.25">
      <c r="A158" s="143">
        <v>1</v>
      </c>
      <c r="B158" s="163" t="s">
        <v>1598</v>
      </c>
      <c r="C158" s="139"/>
      <c r="D158" s="140">
        <v>4109</v>
      </c>
      <c r="E158" s="139"/>
      <c r="F158" s="462">
        <v>0.38260000000000005</v>
      </c>
      <c r="G158" s="458">
        <v>0.3826</v>
      </c>
      <c r="H158" s="155"/>
      <c r="I158" s="155"/>
      <c r="J158" s="155"/>
      <c r="K158" s="155"/>
      <c r="L158" s="155"/>
      <c r="M158" s="155"/>
      <c r="N158" s="155"/>
      <c r="O158" s="155"/>
      <c r="P158" s="155"/>
      <c r="Q158" s="341" t="s">
        <v>1540</v>
      </c>
    </row>
    <row r="159" spans="1:17" x14ac:dyDescent="0.25">
      <c r="A159" s="143">
        <v>1</v>
      </c>
      <c r="B159" s="163"/>
      <c r="C159" s="147"/>
      <c r="D159" s="140"/>
      <c r="E159" s="139"/>
      <c r="F159" s="462"/>
      <c r="G159" s="148"/>
      <c r="H159" s="155"/>
      <c r="I159" s="150"/>
      <c r="J159" s="150"/>
      <c r="K159" s="150"/>
      <c r="L159" s="150"/>
      <c r="M159" s="150"/>
      <c r="N159" s="150"/>
      <c r="O159" s="150"/>
      <c r="P159" s="150"/>
      <c r="Q159" s="155"/>
    </row>
    <row r="160" spans="1:17" x14ac:dyDescent="0.25">
      <c r="A160" s="143">
        <v>1</v>
      </c>
      <c r="B160" s="163" t="s">
        <v>1599</v>
      </c>
      <c r="C160" s="139"/>
      <c r="D160" s="140">
        <v>4120</v>
      </c>
      <c r="E160" s="139"/>
      <c r="F160" s="462">
        <v>22.495699999999999</v>
      </c>
      <c r="G160" s="458">
        <v>124.6726</v>
      </c>
      <c r="H160" s="155">
        <v>770517.04609335971</v>
      </c>
      <c r="I160" s="155">
        <v>53797.6269890818</v>
      </c>
      <c r="J160" s="155">
        <v>609.88112865216578</v>
      </c>
      <c r="K160" s="155">
        <v>1096794.1880292702</v>
      </c>
      <c r="L160" s="155">
        <v>158905.6522003311</v>
      </c>
      <c r="M160" s="155">
        <v>1017383.5204132183</v>
      </c>
      <c r="N160" s="155">
        <v>46.204810832532566</v>
      </c>
      <c r="O160" s="155">
        <v>0</v>
      </c>
      <c r="P160" s="155">
        <v>6030.2610085375618</v>
      </c>
      <c r="Q160" s="155">
        <v>3104084.3806732828</v>
      </c>
    </row>
    <row r="161" spans="1:17" x14ac:dyDescent="0.25">
      <c r="A161" s="143">
        <v>1</v>
      </c>
      <c r="B161" s="163"/>
      <c r="C161" s="139"/>
      <c r="D161" s="140"/>
      <c r="E161" s="139"/>
      <c r="F161" s="462"/>
      <c r="G161" s="148"/>
      <c r="H161" s="155"/>
      <c r="I161" s="155"/>
      <c r="J161" s="155"/>
      <c r="K161" s="155"/>
      <c r="L161" s="155"/>
      <c r="M161" s="155"/>
      <c r="N161" s="155"/>
      <c r="O161" s="155"/>
      <c r="P161" s="155"/>
      <c r="Q161" s="155"/>
    </row>
    <row r="162" spans="1:17" x14ac:dyDescent="0.25">
      <c r="A162" s="143">
        <v>1</v>
      </c>
      <c r="B162" s="163" t="s">
        <v>1600</v>
      </c>
      <c r="C162" s="139"/>
      <c r="D162" s="140">
        <v>4115</v>
      </c>
      <c r="E162" s="139"/>
      <c r="F162" s="462">
        <v>6.0439999999999996</v>
      </c>
      <c r="G162" s="458">
        <v>27.066800000000001</v>
      </c>
      <c r="H162" s="155">
        <v>358847.51437776169</v>
      </c>
      <c r="I162" s="155">
        <v>118713.73463135646</v>
      </c>
      <c r="J162" s="155">
        <v>479.79893892148306</v>
      </c>
      <c r="K162" s="155">
        <v>803684.74205595045</v>
      </c>
      <c r="L162" s="155">
        <v>88115.29351973634</v>
      </c>
      <c r="M162" s="155">
        <v>468089.74847710103</v>
      </c>
      <c r="N162" s="155">
        <v>0</v>
      </c>
      <c r="O162" s="155">
        <v>0</v>
      </c>
      <c r="P162" s="155">
        <v>6122.2217772326248</v>
      </c>
      <c r="Q162" s="155">
        <v>1844053.05377806</v>
      </c>
    </row>
    <row r="163" spans="1:17" x14ac:dyDescent="0.25">
      <c r="A163" s="143">
        <v>1</v>
      </c>
      <c r="B163" s="163" t="s">
        <v>1600</v>
      </c>
      <c r="C163" s="139"/>
      <c r="D163" s="140">
        <v>4120</v>
      </c>
      <c r="E163" s="139"/>
      <c r="F163" s="463">
        <v>6.2167000000000003</v>
      </c>
      <c r="G163" s="459">
        <v>124.6726</v>
      </c>
      <c r="H163" s="337">
        <v>212932.84140740629</v>
      </c>
      <c r="I163" s="337">
        <v>14867.006036843701</v>
      </c>
      <c r="J163" s="337">
        <v>168.54101061500282</v>
      </c>
      <c r="K163" s="337">
        <v>303099.72255682485</v>
      </c>
      <c r="L163" s="337">
        <v>43913.670969731924</v>
      </c>
      <c r="M163" s="337">
        <v>281154.53759397817</v>
      </c>
      <c r="N163" s="337">
        <v>12.768726801237801</v>
      </c>
      <c r="O163" s="337">
        <v>0</v>
      </c>
      <c r="P163" s="337">
        <v>1666.4661962853106</v>
      </c>
      <c r="Q163" s="337">
        <v>857815.55449848645</v>
      </c>
    </row>
    <row r="164" spans="1:17" x14ac:dyDescent="0.25">
      <c r="A164" s="143">
        <v>1</v>
      </c>
      <c r="B164" s="163"/>
      <c r="C164" s="140" t="s">
        <v>1601</v>
      </c>
      <c r="D164" s="140"/>
      <c r="E164" s="139"/>
      <c r="F164" s="462">
        <v>12.2607</v>
      </c>
      <c r="G164" s="157">
        <v>151.73939999999999</v>
      </c>
      <c r="H164" s="155">
        <v>571780.35578516801</v>
      </c>
      <c r="I164" s="155">
        <v>133580.74066820016</v>
      </c>
      <c r="J164" s="155">
        <v>648.33994953648585</v>
      </c>
      <c r="K164" s="155">
        <v>1106784.4646127752</v>
      </c>
      <c r="L164" s="155">
        <v>132028.96448946826</v>
      </c>
      <c r="M164" s="155">
        <v>749244.2860710792</v>
      </c>
      <c r="N164" s="155">
        <v>12.768726801237801</v>
      </c>
      <c r="O164" s="155">
        <v>0</v>
      </c>
      <c r="P164" s="155">
        <v>7788.6879735179355</v>
      </c>
      <c r="Q164" s="155">
        <v>2701868.6082765465</v>
      </c>
    </row>
    <row r="165" spans="1:17" x14ac:dyDescent="0.25">
      <c r="A165" s="143">
        <v>1</v>
      </c>
      <c r="B165" s="163"/>
      <c r="C165" s="139"/>
      <c r="D165" s="140"/>
      <c r="E165" s="139"/>
      <c r="F165" s="462"/>
      <c r="G165" s="148"/>
      <c r="H165" s="155"/>
      <c r="I165" s="150"/>
      <c r="J165" s="150"/>
      <c r="K165" s="150"/>
      <c r="L165" s="150"/>
      <c r="M165" s="150"/>
      <c r="N165" s="150"/>
      <c r="O165" s="150"/>
      <c r="P165" s="150"/>
      <c r="Q165" s="155"/>
    </row>
    <row r="166" spans="1:17" x14ac:dyDescent="0.25">
      <c r="A166" s="143">
        <v>1</v>
      </c>
      <c r="B166" s="163" t="s">
        <v>1602</v>
      </c>
      <c r="C166" s="139"/>
      <c r="D166" s="140">
        <v>4114</v>
      </c>
      <c r="E166" s="139"/>
      <c r="F166" s="462">
        <v>6.9955999999999996</v>
      </c>
      <c r="G166" s="458">
        <v>129.55309999999997</v>
      </c>
      <c r="H166" s="155">
        <v>173365.04752982373</v>
      </c>
      <c r="I166" s="155">
        <v>29132.371903443454</v>
      </c>
      <c r="J166" s="155">
        <v>35702.450888570027</v>
      </c>
      <c r="K166" s="155">
        <v>730731.58505650598</v>
      </c>
      <c r="L166" s="155">
        <v>7987.3941296348776</v>
      </c>
      <c r="M166" s="155">
        <v>522812.66485482798</v>
      </c>
      <c r="N166" s="155">
        <v>0</v>
      </c>
      <c r="O166" s="155">
        <v>0</v>
      </c>
      <c r="P166" s="155">
        <v>16424.610505252291</v>
      </c>
      <c r="Q166" s="155">
        <v>1516156.1248680584</v>
      </c>
    </row>
    <row r="167" spans="1:17" x14ac:dyDescent="0.25">
      <c r="A167" s="143">
        <v>1</v>
      </c>
      <c r="B167" s="163" t="s">
        <v>1602</v>
      </c>
      <c r="C167" s="139"/>
      <c r="D167" s="140">
        <v>4120</v>
      </c>
      <c r="E167" s="139"/>
      <c r="F167" s="463">
        <v>6.2091000000000003</v>
      </c>
      <c r="G167" s="459">
        <v>124.6726</v>
      </c>
      <c r="H167" s="337">
        <v>212672.52812307596</v>
      </c>
      <c r="I167" s="337">
        <v>14848.830920482929</v>
      </c>
      <c r="J167" s="337">
        <v>168.33496694542347</v>
      </c>
      <c r="K167" s="337">
        <v>302729.17903832917</v>
      </c>
      <c r="L167" s="337">
        <v>43859.985911844306</v>
      </c>
      <c r="M167" s="337">
        <v>280810.82236150524</v>
      </c>
      <c r="N167" s="337">
        <v>12.753116859678872</v>
      </c>
      <c r="O167" s="337">
        <v>0</v>
      </c>
      <c r="P167" s="337">
        <v>1664.4289187760585</v>
      </c>
      <c r="Q167" s="337">
        <v>856766.8633578188</v>
      </c>
    </row>
    <row r="168" spans="1:17" x14ac:dyDescent="0.25">
      <c r="A168" s="143">
        <v>1</v>
      </c>
      <c r="B168" s="163"/>
      <c r="C168" s="140" t="s">
        <v>1603</v>
      </c>
      <c r="D168" s="140"/>
      <c r="E168" s="139"/>
      <c r="F168" s="462">
        <v>13.204699999999999</v>
      </c>
      <c r="G168" s="157">
        <v>254.22569999999996</v>
      </c>
      <c r="H168" s="155">
        <v>386037.57565289969</v>
      </c>
      <c r="I168" s="155">
        <v>43981.202823926382</v>
      </c>
      <c r="J168" s="155">
        <v>35870.785855515453</v>
      </c>
      <c r="K168" s="155">
        <v>1033460.7640948351</v>
      </c>
      <c r="L168" s="155">
        <v>51847.380041479184</v>
      </c>
      <c r="M168" s="155">
        <v>803623.48721633316</v>
      </c>
      <c r="N168" s="155">
        <v>12.753116859678872</v>
      </c>
      <c r="O168" s="155">
        <v>0</v>
      </c>
      <c r="P168" s="155">
        <v>18089.039424028349</v>
      </c>
      <c r="Q168" s="155">
        <v>2372922.9882258773</v>
      </c>
    </row>
    <row r="169" spans="1:17" x14ac:dyDescent="0.25">
      <c r="A169" s="143">
        <v>1</v>
      </c>
      <c r="B169" s="163"/>
      <c r="C169" s="139"/>
      <c r="D169" s="140"/>
      <c r="E169" s="139"/>
      <c r="F169" s="462"/>
      <c r="G169" s="148"/>
      <c r="H169" s="155"/>
      <c r="I169" s="150"/>
      <c r="J169" s="150"/>
      <c r="K169" s="150"/>
      <c r="L169" s="150"/>
      <c r="M169" s="150"/>
      <c r="N169" s="150"/>
      <c r="O169" s="150"/>
      <c r="P169" s="150"/>
      <c r="Q169" s="155"/>
    </row>
    <row r="170" spans="1:17" x14ac:dyDescent="0.25">
      <c r="A170" s="143">
        <v>1</v>
      </c>
      <c r="B170" s="163" t="s">
        <v>1604</v>
      </c>
      <c r="C170" s="139"/>
      <c r="D170" s="140">
        <v>4104</v>
      </c>
      <c r="E170" s="139"/>
      <c r="F170" s="462">
        <v>15.230499999999999</v>
      </c>
      <c r="G170" s="458">
        <v>143.64699999999999</v>
      </c>
      <c r="H170" s="155">
        <v>141117.06393030757</v>
      </c>
      <c r="I170" s="155">
        <v>0</v>
      </c>
      <c r="J170" s="155">
        <v>0</v>
      </c>
      <c r="K170" s="155">
        <v>616500.02568456007</v>
      </c>
      <c r="L170" s="155">
        <v>18671.739268380126</v>
      </c>
      <c r="M170" s="155">
        <v>332150.87206593243</v>
      </c>
      <c r="N170" s="155">
        <v>0</v>
      </c>
      <c r="O170" s="155">
        <v>0</v>
      </c>
      <c r="P170" s="155">
        <v>24421.246083681017</v>
      </c>
      <c r="Q170" s="155">
        <v>1132860.9470328612</v>
      </c>
    </row>
    <row r="171" spans="1:17" x14ac:dyDescent="0.25">
      <c r="A171" s="143">
        <v>1</v>
      </c>
      <c r="B171" s="163"/>
      <c r="C171" s="139"/>
      <c r="D171" s="140"/>
      <c r="E171" s="139"/>
      <c r="F171" s="462"/>
      <c r="G171" s="148"/>
      <c r="H171" s="155"/>
      <c r="I171" s="155"/>
      <c r="J171" s="155"/>
      <c r="K171" s="155"/>
      <c r="L171" s="155"/>
      <c r="M171" s="155"/>
      <c r="N171" s="155"/>
      <c r="O171" s="155"/>
      <c r="P171" s="155"/>
      <c r="Q171" s="155"/>
    </row>
    <row r="172" spans="1:17" x14ac:dyDescent="0.25">
      <c r="A172" s="143">
        <v>1</v>
      </c>
      <c r="B172" s="163" t="s">
        <v>1733</v>
      </c>
      <c r="C172" s="139"/>
      <c r="D172" s="140">
        <v>4104</v>
      </c>
      <c r="E172" s="139"/>
      <c r="F172" s="462">
        <v>43.270700000000005</v>
      </c>
      <c r="G172" s="458">
        <v>143.64699999999999</v>
      </c>
      <c r="H172" s="155">
        <v>400921.44960501371</v>
      </c>
      <c r="I172" s="155">
        <v>0</v>
      </c>
      <c r="J172" s="155">
        <v>0</v>
      </c>
      <c r="K172" s="155">
        <v>1751510.959022284</v>
      </c>
      <c r="L172" s="155">
        <v>53047.452700850015</v>
      </c>
      <c r="M172" s="155">
        <v>943659.15366556228</v>
      </c>
      <c r="N172" s="155">
        <v>0</v>
      </c>
      <c r="O172" s="155">
        <v>0</v>
      </c>
      <c r="P172" s="155">
        <v>69382.12224898304</v>
      </c>
      <c r="Q172" s="155">
        <v>3218521.137242693</v>
      </c>
    </row>
    <row r="173" spans="1:17" x14ac:dyDescent="0.25">
      <c r="A173" s="143">
        <v>1</v>
      </c>
      <c r="B173" s="163"/>
      <c r="C173" s="139"/>
      <c r="D173" s="140"/>
      <c r="E173" s="139"/>
      <c r="F173" s="462"/>
      <c r="G173" s="148"/>
      <c r="H173" s="155"/>
      <c r="I173" s="155"/>
      <c r="J173" s="155"/>
      <c r="K173" s="155"/>
      <c r="L173" s="155"/>
      <c r="M173" s="155"/>
      <c r="N173" s="155"/>
      <c r="O173" s="155"/>
      <c r="P173" s="155"/>
      <c r="Q173" s="155"/>
    </row>
    <row r="174" spans="1:17" x14ac:dyDescent="0.25">
      <c r="A174" s="143">
        <v>1</v>
      </c>
      <c r="B174" s="163" t="s">
        <v>1734</v>
      </c>
      <c r="C174" s="139"/>
      <c r="D174" s="140">
        <v>4104</v>
      </c>
      <c r="E174" s="139"/>
      <c r="F174" s="462">
        <v>2.3226300000000002</v>
      </c>
      <c r="G174" s="458">
        <v>143.64699999999999</v>
      </c>
      <c r="H174" s="155">
        <v>21520.155359078843</v>
      </c>
      <c r="I174" s="155">
        <v>0</v>
      </c>
      <c r="J174" s="155">
        <v>0</v>
      </c>
      <c r="K174" s="155">
        <v>94015.393759609346</v>
      </c>
      <c r="L174" s="155">
        <v>2847.4141871191191</v>
      </c>
      <c r="M174" s="155">
        <v>50652.544564295124</v>
      </c>
      <c r="N174" s="155">
        <v>0</v>
      </c>
      <c r="O174" s="155">
        <v>0</v>
      </c>
      <c r="P174" s="155">
        <v>3724.2059545871807</v>
      </c>
      <c r="Q174" s="155">
        <v>172759.71382468959</v>
      </c>
    </row>
    <row r="175" spans="1:17" x14ac:dyDescent="0.25">
      <c r="A175" s="143">
        <v>1</v>
      </c>
      <c r="B175" s="163" t="s">
        <v>1734</v>
      </c>
      <c r="C175" s="139"/>
      <c r="D175" s="140">
        <v>4756</v>
      </c>
      <c r="E175" s="139"/>
      <c r="F175" s="463">
        <v>27.227370000000001</v>
      </c>
      <c r="G175" s="459">
        <v>120.3068</v>
      </c>
      <c r="H175" s="337">
        <v>244325.63305731764</v>
      </c>
      <c r="I175" s="337">
        <v>0</v>
      </c>
      <c r="J175" s="337">
        <v>0</v>
      </c>
      <c r="K175" s="337">
        <v>1574903.4969842711</v>
      </c>
      <c r="L175" s="337">
        <v>128588.32426211154</v>
      </c>
      <c r="M175" s="337">
        <v>1042079.0102547662</v>
      </c>
      <c r="N175" s="337">
        <v>0</v>
      </c>
      <c r="O175" s="337">
        <v>0</v>
      </c>
      <c r="P175" s="337">
        <v>26995.289592958172</v>
      </c>
      <c r="Q175" s="337">
        <v>3016891.7541514244</v>
      </c>
    </row>
    <row r="176" spans="1:17" x14ac:dyDescent="0.25">
      <c r="A176" s="143">
        <v>1</v>
      </c>
      <c r="B176" s="163"/>
      <c r="C176" s="140" t="s">
        <v>1735</v>
      </c>
      <c r="D176" s="140"/>
      <c r="E176" s="139"/>
      <c r="F176" s="462">
        <v>29.55</v>
      </c>
      <c r="G176" s="157">
        <v>263.9538</v>
      </c>
      <c r="H176" s="155">
        <v>265845.78841639648</v>
      </c>
      <c r="I176" s="155">
        <v>0</v>
      </c>
      <c r="J176" s="155">
        <v>0</v>
      </c>
      <c r="K176" s="155">
        <v>1668918.8907438805</v>
      </c>
      <c r="L176" s="155">
        <v>131435.73844923064</v>
      </c>
      <c r="M176" s="155">
        <v>1092731.5548190614</v>
      </c>
      <c r="N176" s="155">
        <v>0</v>
      </c>
      <c r="O176" s="155">
        <v>0</v>
      </c>
      <c r="P176" s="155">
        <v>30719.495547545353</v>
      </c>
      <c r="Q176" s="155">
        <v>3189651.4679761138</v>
      </c>
    </row>
    <row r="177" spans="1:17" x14ac:dyDescent="0.25">
      <c r="A177" s="143">
        <v>1</v>
      </c>
      <c r="B177" s="163"/>
      <c r="C177" s="140"/>
      <c r="D177" s="140"/>
      <c r="E177" s="139"/>
      <c r="F177" s="462"/>
      <c r="G177" s="157"/>
      <c r="H177" s="155"/>
      <c r="I177" s="155"/>
      <c r="J177" s="155"/>
      <c r="K177" s="155"/>
      <c r="L177" s="155"/>
      <c r="M177" s="155"/>
      <c r="N177" s="155"/>
      <c r="O177" s="155"/>
      <c r="P177" s="155"/>
      <c r="Q177" s="155"/>
    </row>
    <row r="178" spans="1:17" x14ac:dyDescent="0.25">
      <c r="A178" s="143">
        <v>1</v>
      </c>
      <c r="B178" s="163" t="s">
        <v>1736</v>
      </c>
      <c r="C178" s="140"/>
      <c r="D178" s="140">
        <v>4104</v>
      </c>
      <c r="E178" s="139"/>
      <c r="F178" s="462">
        <v>1.0870379999999999</v>
      </c>
      <c r="G178" s="458">
        <v>143.64699999999999</v>
      </c>
      <c r="H178" s="155">
        <v>10071.869665518117</v>
      </c>
      <c r="I178" s="155">
        <v>0</v>
      </c>
      <c r="J178" s="155">
        <v>0</v>
      </c>
      <c r="K178" s="155">
        <v>44001.113221502434</v>
      </c>
      <c r="L178" s="155">
        <v>1332.6476550882373</v>
      </c>
      <c r="M178" s="155">
        <v>23706.419334152331</v>
      </c>
      <c r="N178" s="155">
        <v>0</v>
      </c>
      <c r="O178" s="155">
        <v>0</v>
      </c>
      <c r="P178" s="155">
        <v>1743.0040051418171</v>
      </c>
      <c r="Q178" s="155">
        <v>80855.053881402942</v>
      </c>
    </row>
    <row r="179" spans="1:17" x14ac:dyDescent="0.25">
      <c r="A179" s="143">
        <v>1</v>
      </c>
      <c r="B179" s="163" t="s">
        <v>1736</v>
      </c>
      <c r="C179" s="140"/>
      <c r="D179" s="140">
        <v>4756</v>
      </c>
      <c r="E179" s="139"/>
      <c r="F179" s="463">
        <v>12.742962</v>
      </c>
      <c r="G179" s="459">
        <v>120.3068</v>
      </c>
      <c r="H179" s="337">
        <v>114349.35719738419</v>
      </c>
      <c r="I179" s="337">
        <v>0</v>
      </c>
      <c r="J179" s="337">
        <v>0</v>
      </c>
      <c r="K179" s="337">
        <v>737086.8143246182</v>
      </c>
      <c r="L179" s="337">
        <v>60181.946685110066</v>
      </c>
      <c r="M179" s="337">
        <v>487714.13576390583</v>
      </c>
      <c r="N179" s="337">
        <v>0</v>
      </c>
      <c r="O179" s="337">
        <v>0</v>
      </c>
      <c r="P179" s="337">
        <v>12634.343657211895</v>
      </c>
      <c r="Q179" s="337">
        <v>1411966.5976282302</v>
      </c>
    </row>
    <row r="180" spans="1:17" x14ac:dyDescent="0.25">
      <c r="A180" s="143">
        <v>1</v>
      </c>
      <c r="B180" s="438"/>
      <c r="C180" s="140" t="s">
        <v>1737</v>
      </c>
      <c r="D180" s="472"/>
      <c r="E180" s="143"/>
      <c r="F180" s="462">
        <v>13.83</v>
      </c>
      <c r="G180" s="157">
        <v>263.9538</v>
      </c>
      <c r="H180" s="155">
        <v>124421.2268629023</v>
      </c>
      <c r="I180" s="155">
        <v>0</v>
      </c>
      <c r="J180" s="155">
        <v>0</v>
      </c>
      <c r="K180" s="155">
        <v>781087.9275461206</v>
      </c>
      <c r="L180" s="155">
        <v>61514.594340198302</v>
      </c>
      <c r="M180" s="155">
        <v>511420.55509805813</v>
      </c>
      <c r="N180" s="155">
        <v>0</v>
      </c>
      <c r="O180" s="155">
        <v>0</v>
      </c>
      <c r="P180" s="155">
        <v>14377.347662353712</v>
      </c>
      <c r="Q180" s="155">
        <v>1492821.6515096333</v>
      </c>
    </row>
    <row r="181" spans="1:17" x14ac:dyDescent="0.25">
      <c r="A181" s="143">
        <v>1</v>
      </c>
      <c r="B181" s="163"/>
      <c r="C181" s="140"/>
      <c r="D181" s="140"/>
      <c r="E181" s="139"/>
      <c r="F181" s="462"/>
      <c r="G181" s="148"/>
      <c r="H181" s="155"/>
      <c r="I181" s="150"/>
      <c r="J181" s="150"/>
      <c r="K181" s="150"/>
      <c r="L181" s="150"/>
      <c r="M181" s="150"/>
      <c r="N181" s="150"/>
      <c r="O181" s="150"/>
      <c r="P181" s="150"/>
      <c r="Q181" s="155"/>
    </row>
    <row r="182" spans="1:17" x14ac:dyDescent="0.25">
      <c r="A182" s="143">
        <v>1</v>
      </c>
      <c r="B182" s="163" t="s">
        <v>1605</v>
      </c>
      <c r="C182" s="139"/>
      <c r="D182" s="140">
        <v>4104</v>
      </c>
      <c r="E182" s="139"/>
      <c r="F182" s="462">
        <v>4.9870999999999999</v>
      </c>
      <c r="G182" s="458">
        <v>143.64699999999999</v>
      </c>
      <c r="H182" s="155">
        <v>46207.603790212852</v>
      </c>
      <c r="I182" s="155">
        <v>0</v>
      </c>
      <c r="J182" s="155">
        <v>0</v>
      </c>
      <c r="K182" s="155">
        <v>201867.78359813991</v>
      </c>
      <c r="L182" s="155">
        <v>6113.9050527125528</v>
      </c>
      <c r="M182" s="155">
        <v>108760.0285007066</v>
      </c>
      <c r="N182" s="155">
        <v>0</v>
      </c>
      <c r="O182" s="155">
        <v>0</v>
      </c>
      <c r="P182" s="155">
        <v>7996.5330320032563</v>
      </c>
      <c r="Q182" s="155">
        <v>370945.85397377523</v>
      </c>
    </row>
    <row r="183" spans="1:17" x14ac:dyDescent="0.25">
      <c r="A183" s="143">
        <v>1</v>
      </c>
      <c r="B183" s="163" t="s">
        <v>1605</v>
      </c>
      <c r="C183" s="139"/>
      <c r="D183" s="140">
        <v>4756</v>
      </c>
      <c r="E183" s="139"/>
      <c r="F183" s="463">
        <v>40.298099999999998</v>
      </c>
      <c r="G183" s="459">
        <v>120.3068</v>
      </c>
      <c r="H183" s="337">
        <v>361616.22637467709</v>
      </c>
      <c r="I183" s="337">
        <v>0</v>
      </c>
      <c r="J183" s="337">
        <v>0</v>
      </c>
      <c r="K183" s="337">
        <v>2330949.284188001</v>
      </c>
      <c r="L183" s="337">
        <v>190318.24043038298</v>
      </c>
      <c r="M183" s="337">
        <v>1542337.8814460444</v>
      </c>
      <c r="N183" s="337">
        <v>0</v>
      </c>
      <c r="O183" s="337">
        <v>0</v>
      </c>
      <c r="P183" s="337">
        <v>39954.607424293557</v>
      </c>
      <c r="Q183" s="337">
        <v>4465176.2398633985</v>
      </c>
    </row>
    <row r="184" spans="1:17" x14ac:dyDescent="0.25">
      <c r="A184" s="143">
        <v>1</v>
      </c>
      <c r="B184" s="163"/>
      <c r="C184" s="140" t="s">
        <v>1606</v>
      </c>
      <c r="D184" s="140"/>
      <c r="E184" s="139"/>
      <c r="F184" s="462">
        <v>45.285199999999996</v>
      </c>
      <c r="G184" s="157">
        <v>263.9538</v>
      </c>
      <c r="H184" s="155">
        <v>407823.83016488992</v>
      </c>
      <c r="I184" s="155">
        <v>0</v>
      </c>
      <c r="J184" s="155">
        <v>0</v>
      </c>
      <c r="K184" s="155">
        <v>2532817.0677861408</v>
      </c>
      <c r="L184" s="155">
        <v>196432.14548309555</v>
      </c>
      <c r="M184" s="155">
        <v>1651097.9099467511</v>
      </c>
      <c r="N184" s="155">
        <v>0</v>
      </c>
      <c r="O184" s="155">
        <v>0</v>
      </c>
      <c r="P184" s="155">
        <v>47951.140456296816</v>
      </c>
      <c r="Q184" s="155">
        <v>4836122.0938371737</v>
      </c>
    </row>
    <row r="185" spans="1:17" x14ac:dyDescent="0.25">
      <c r="A185" s="143">
        <v>1</v>
      </c>
      <c r="B185" s="163"/>
      <c r="C185" s="139"/>
      <c r="D185" s="140"/>
      <c r="E185" s="139"/>
      <c r="F185" s="462"/>
      <c r="G185" s="148"/>
      <c r="H185" s="155"/>
      <c r="I185" s="150"/>
      <c r="J185" s="150"/>
      <c r="K185" s="150"/>
      <c r="L185" s="150"/>
      <c r="M185" s="150"/>
      <c r="N185" s="150"/>
      <c r="O185" s="150"/>
      <c r="P185" s="150"/>
      <c r="Q185" s="155"/>
    </row>
    <row r="186" spans="1:17" x14ac:dyDescent="0.25">
      <c r="A186" s="143">
        <v>1</v>
      </c>
      <c r="B186" s="163" t="s">
        <v>1607</v>
      </c>
      <c r="C186" s="139"/>
      <c r="D186" s="140">
        <v>4104</v>
      </c>
      <c r="E186" s="139"/>
      <c r="F186" s="462">
        <v>4.9855999999999998</v>
      </c>
      <c r="G186" s="458">
        <v>143.64699999999999</v>
      </c>
      <c r="H186" s="155">
        <v>46193.705651878889</v>
      </c>
      <c r="I186" s="155">
        <v>0</v>
      </c>
      <c r="J186" s="155">
        <v>0</v>
      </c>
      <c r="K186" s="155">
        <v>201807.06661323941</v>
      </c>
      <c r="L186" s="155">
        <v>6112.0661367936682</v>
      </c>
      <c r="M186" s="155">
        <v>108727.31609414745</v>
      </c>
      <c r="N186" s="155">
        <v>0</v>
      </c>
      <c r="O186" s="155">
        <v>0</v>
      </c>
      <c r="P186" s="155">
        <v>7994.1278667673478</v>
      </c>
      <c r="Q186" s="155">
        <v>370834.28236282675</v>
      </c>
    </row>
    <row r="187" spans="1:17" x14ac:dyDescent="0.25">
      <c r="A187" s="143">
        <v>1</v>
      </c>
      <c r="B187" s="163" t="s">
        <v>1607</v>
      </c>
      <c r="C187" s="139"/>
      <c r="D187" s="140">
        <v>4756</v>
      </c>
      <c r="E187" s="139"/>
      <c r="F187" s="463">
        <v>40.036399999999993</v>
      </c>
      <c r="G187" s="459">
        <v>120.3068</v>
      </c>
      <c r="H187" s="337">
        <v>359267.85346274683</v>
      </c>
      <c r="I187" s="337">
        <v>0</v>
      </c>
      <c r="J187" s="337">
        <v>0</v>
      </c>
      <c r="K187" s="337">
        <v>2315811.8601488522</v>
      </c>
      <c r="L187" s="337">
        <v>189082.294231415</v>
      </c>
      <c r="M187" s="337">
        <v>1532321.7808464023</v>
      </c>
      <c r="N187" s="337">
        <v>0</v>
      </c>
      <c r="O187" s="337">
        <v>0</v>
      </c>
      <c r="P187" s="337">
        <v>39695.138100356751</v>
      </c>
      <c r="Q187" s="337">
        <v>4436178.9267897727</v>
      </c>
    </row>
    <row r="188" spans="1:17" x14ac:dyDescent="0.25">
      <c r="A188" s="143">
        <v>1</v>
      </c>
      <c r="B188" s="163"/>
      <c r="C188" s="140" t="s">
        <v>1608</v>
      </c>
      <c r="D188" s="140"/>
      <c r="E188" s="139"/>
      <c r="F188" s="462">
        <v>45.021999999999991</v>
      </c>
      <c r="G188" s="157">
        <v>263.9538</v>
      </c>
      <c r="H188" s="155">
        <v>405461.55911462574</v>
      </c>
      <c r="I188" s="155">
        <v>0</v>
      </c>
      <c r="J188" s="155">
        <v>0</v>
      </c>
      <c r="K188" s="155">
        <v>2517618.9267620915</v>
      </c>
      <c r="L188" s="155">
        <v>195194.36036820867</v>
      </c>
      <c r="M188" s="155">
        <v>1641049.0969405498</v>
      </c>
      <c r="N188" s="155">
        <v>0</v>
      </c>
      <c r="O188" s="155">
        <v>0</v>
      </c>
      <c r="P188" s="155">
        <v>47689.265967124098</v>
      </c>
      <c r="Q188" s="155">
        <v>4807013.2091525998</v>
      </c>
    </row>
    <row r="189" spans="1:17" x14ac:dyDescent="0.25">
      <c r="A189" s="143">
        <v>1</v>
      </c>
      <c r="B189" s="163"/>
      <c r="C189" s="139"/>
      <c r="D189" s="140"/>
      <c r="E189" s="139"/>
      <c r="F189" s="462"/>
      <c r="G189" s="148"/>
      <c r="H189" s="155"/>
      <c r="I189" s="155"/>
      <c r="J189" s="155"/>
      <c r="K189" s="155"/>
      <c r="L189" s="155"/>
      <c r="M189" s="155"/>
      <c r="N189" s="155"/>
      <c r="O189" s="155"/>
      <c r="P189" s="155"/>
      <c r="Q189" s="155"/>
    </row>
    <row r="190" spans="1:17" x14ac:dyDescent="0.25">
      <c r="A190" s="143">
        <v>1</v>
      </c>
      <c r="B190" s="163" t="s">
        <v>1609</v>
      </c>
      <c r="C190" s="139"/>
      <c r="D190" s="140">
        <v>4101</v>
      </c>
      <c r="E190" s="139"/>
      <c r="F190" s="462">
        <v>2.5350000000000001</v>
      </c>
      <c r="G190" s="458">
        <v>354.28050000000002</v>
      </c>
      <c r="H190" s="155">
        <v>10437.834102215616</v>
      </c>
      <c r="I190" s="155">
        <v>1990.4841566216598</v>
      </c>
      <c r="J190" s="155">
        <v>704.62131743067994</v>
      </c>
      <c r="K190" s="155">
        <v>159564.96420167069</v>
      </c>
      <c r="L190" s="155">
        <v>9889.0757103481556</v>
      </c>
      <c r="M190" s="155">
        <v>217832.04794506048</v>
      </c>
      <c r="N190" s="155">
        <v>0</v>
      </c>
      <c r="O190" s="155">
        <v>0</v>
      </c>
      <c r="P190" s="155">
        <v>8352.3557702159724</v>
      </c>
      <c r="Q190" s="155">
        <v>408771.38320356328</v>
      </c>
    </row>
    <row r="191" spans="1:17" x14ac:dyDescent="0.25">
      <c r="A191" s="143">
        <v>1</v>
      </c>
      <c r="B191" s="163" t="s">
        <v>1609</v>
      </c>
      <c r="C191" s="139"/>
      <c r="D191" s="140">
        <v>4114</v>
      </c>
      <c r="E191" s="139"/>
      <c r="F191" s="463">
        <v>22.061</v>
      </c>
      <c r="G191" s="459">
        <v>129.55309999999997</v>
      </c>
      <c r="H191" s="337">
        <v>546715.98055283912</v>
      </c>
      <c r="I191" s="337">
        <v>91870.498107648542</v>
      </c>
      <c r="J191" s="337">
        <v>112589.59475280796</v>
      </c>
      <c r="K191" s="337">
        <v>2304401.2662147037</v>
      </c>
      <c r="L191" s="337">
        <v>25188.676009759714</v>
      </c>
      <c r="M191" s="337">
        <v>1648717.7939508203</v>
      </c>
      <c r="N191" s="337">
        <v>0</v>
      </c>
      <c r="O191" s="337">
        <v>0</v>
      </c>
      <c r="P191" s="337">
        <v>51795.89061072257</v>
      </c>
      <c r="Q191" s="337">
        <v>4781279.7001993023</v>
      </c>
    </row>
    <row r="192" spans="1:17" x14ac:dyDescent="0.25">
      <c r="A192" s="143">
        <v>1</v>
      </c>
      <c r="B192" s="163"/>
      <c r="C192" s="140" t="s">
        <v>1610</v>
      </c>
      <c r="D192" s="140"/>
      <c r="E192" s="139"/>
      <c r="F192" s="462">
        <v>24.596</v>
      </c>
      <c r="G192" s="157">
        <v>483.83359999999999</v>
      </c>
      <c r="H192" s="155">
        <v>557153.81465505471</v>
      </c>
      <c r="I192" s="155">
        <v>93860.982264270206</v>
      </c>
      <c r="J192" s="155">
        <v>113294.21607023863</v>
      </c>
      <c r="K192" s="155">
        <v>2463966.2304163743</v>
      </c>
      <c r="L192" s="155">
        <v>35077.751720107874</v>
      </c>
      <c r="M192" s="155">
        <v>1866549.8418958809</v>
      </c>
      <c r="N192" s="155">
        <v>0</v>
      </c>
      <c r="O192" s="155">
        <v>0</v>
      </c>
      <c r="P192" s="155">
        <v>60148.246380938544</v>
      </c>
      <c r="Q192" s="155">
        <v>5190051.0834028656</v>
      </c>
    </row>
    <row r="193" spans="1:17" x14ac:dyDescent="0.25">
      <c r="A193" s="143">
        <v>1</v>
      </c>
      <c r="B193" s="163"/>
      <c r="C193" s="140"/>
      <c r="D193" s="140"/>
      <c r="E193" s="139"/>
      <c r="F193" s="462"/>
      <c r="G193" s="148"/>
      <c r="H193" s="155"/>
      <c r="I193" s="155"/>
      <c r="J193" s="155"/>
      <c r="K193" s="155"/>
      <c r="L193" s="155"/>
      <c r="M193" s="155"/>
      <c r="N193" s="155"/>
      <c r="O193" s="155"/>
      <c r="P193" s="155"/>
      <c r="Q193" s="155"/>
    </row>
    <row r="194" spans="1:17" x14ac:dyDescent="0.25">
      <c r="A194" s="143">
        <v>1</v>
      </c>
      <c r="B194" s="163" t="s">
        <v>1611</v>
      </c>
      <c r="C194" s="139"/>
      <c r="D194" s="140">
        <v>4101</v>
      </c>
      <c r="E194" s="139"/>
      <c r="F194" s="462">
        <v>46.660799999999995</v>
      </c>
      <c r="G194" s="458">
        <v>354.28050000000002</v>
      </c>
      <c r="H194" s="155">
        <v>192125.32129256899</v>
      </c>
      <c r="I194" s="155">
        <v>36638.099856130939</v>
      </c>
      <c r="J194" s="155">
        <v>12969.701920461328</v>
      </c>
      <c r="K194" s="155">
        <v>2937052.8132628463</v>
      </c>
      <c r="L194" s="155">
        <v>182024.53014020243</v>
      </c>
      <c r="M194" s="155">
        <v>4009553.3028618842</v>
      </c>
      <c r="N194" s="155">
        <v>0</v>
      </c>
      <c r="O194" s="155">
        <v>0</v>
      </c>
      <c r="P194" s="155">
        <v>153738.69906228536</v>
      </c>
      <c r="Q194" s="155">
        <v>7524102.4683963796</v>
      </c>
    </row>
    <row r="195" spans="1:17" x14ac:dyDescent="0.25">
      <c r="A195" s="143">
        <v>1</v>
      </c>
      <c r="B195" s="163" t="s">
        <v>1611</v>
      </c>
      <c r="C195" s="139"/>
      <c r="D195" s="140">
        <v>4114</v>
      </c>
      <c r="E195" s="139"/>
      <c r="F195" s="463">
        <v>4.6021000000000001</v>
      </c>
      <c r="G195" s="459">
        <v>129.55309999999997</v>
      </c>
      <c r="H195" s="337">
        <v>114049.30030833691</v>
      </c>
      <c r="I195" s="337">
        <v>19164.916338389437</v>
      </c>
      <c r="J195" s="337">
        <v>23487.084629522575</v>
      </c>
      <c r="K195" s="337">
        <v>480716.42569451459</v>
      </c>
      <c r="L195" s="337">
        <v>5254.5580827938529</v>
      </c>
      <c r="M195" s="337">
        <v>343935.64024935733</v>
      </c>
      <c r="N195" s="337">
        <v>0</v>
      </c>
      <c r="O195" s="337">
        <v>0</v>
      </c>
      <c r="P195" s="337">
        <v>10805.034594062206</v>
      </c>
      <c r="Q195" s="337">
        <v>997412.95989697694</v>
      </c>
    </row>
    <row r="196" spans="1:17" x14ac:dyDescent="0.25">
      <c r="A196" s="143">
        <v>1</v>
      </c>
      <c r="B196" s="163"/>
      <c r="C196" s="140" t="s">
        <v>1612</v>
      </c>
      <c r="D196" s="140"/>
      <c r="E196" s="139"/>
      <c r="F196" s="462">
        <v>51.262899999999995</v>
      </c>
      <c r="G196" s="157">
        <v>483.83359999999999</v>
      </c>
      <c r="H196" s="155">
        <v>306174.6216009059</v>
      </c>
      <c r="I196" s="155">
        <v>55803.016194520373</v>
      </c>
      <c r="J196" s="155">
        <v>36456.786549983903</v>
      </c>
      <c r="K196" s="155">
        <v>3417769.2389573609</v>
      </c>
      <c r="L196" s="155">
        <v>187279.08822299627</v>
      </c>
      <c r="M196" s="155">
        <v>4353488.9431112418</v>
      </c>
      <c r="N196" s="155">
        <v>0</v>
      </c>
      <c r="O196" s="155">
        <v>0</v>
      </c>
      <c r="P196" s="155">
        <v>164543.73365634755</v>
      </c>
      <c r="Q196" s="155">
        <v>8521515.4282933567</v>
      </c>
    </row>
    <row r="197" spans="1:17" x14ac:dyDescent="0.25">
      <c r="A197" s="143">
        <v>1</v>
      </c>
      <c r="B197" s="163"/>
      <c r="C197" s="140"/>
      <c r="D197" s="140"/>
      <c r="E197" s="139"/>
      <c r="F197" s="462"/>
      <c r="G197" s="148"/>
      <c r="H197" s="155"/>
      <c r="I197" s="155"/>
      <c r="J197" s="155"/>
      <c r="K197" s="155"/>
      <c r="L197" s="155"/>
      <c r="M197" s="155"/>
      <c r="N197" s="155"/>
      <c r="O197" s="155"/>
      <c r="P197" s="155"/>
      <c r="Q197" s="155"/>
    </row>
    <row r="198" spans="1:17" x14ac:dyDescent="0.25">
      <c r="A198" s="143">
        <v>1</v>
      </c>
      <c r="B198" s="163" t="s">
        <v>1613</v>
      </c>
      <c r="C198" s="140"/>
      <c r="D198" s="140">
        <v>4046</v>
      </c>
      <c r="E198" s="139"/>
      <c r="F198" s="462">
        <v>1.79</v>
      </c>
      <c r="G198" s="458">
        <v>1.7900000000000003</v>
      </c>
      <c r="H198" s="155">
        <v>186657</v>
      </c>
      <c r="I198" s="155">
        <v>0</v>
      </c>
      <c r="J198" s="155">
        <v>0</v>
      </c>
      <c r="K198" s="155">
        <v>214408.71999999997</v>
      </c>
      <c r="L198" s="155">
        <v>0</v>
      </c>
      <c r="M198" s="155">
        <v>62108.409999999996</v>
      </c>
      <c r="N198" s="155">
        <v>0</v>
      </c>
      <c r="O198" s="155">
        <v>0</v>
      </c>
      <c r="P198" s="155">
        <v>0</v>
      </c>
      <c r="Q198" s="155">
        <v>463174.12999999995</v>
      </c>
    </row>
    <row r="199" spans="1:17" x14ac:dyDescent="0.25">
      <c r="A199" s="143">
        <v>1</v>
      </c>
      <c r="B199" s="163" t="s">
        <v>1613</v>
      </c>
      <c r="C199" s="140"/>
      <c r="D199" s="140">
        <v>4101</v>
      </c>
      <c r="E199" s="139"/>
      <c r="F199" s="463">
        <v>23.6785</v>
      </c>
      <c r="G199" s="459">
        <v>354.28050000000002</v>
      </c>
      <c r="H199" s="337">
        <v>97495.958496770196</v>
      </c>
      <c r="I199" s="337">
        <v>18592.378344207482</v>
      </c>
      <c r="J199" s="337">
        <v>6581.607836206058</v>
      </c>
      <c r="K199" s="337">
        <v>1490437.4772580906</v>
      </c>
      <c r="L199" s="337">
        <v>92370.208760346664</v>
      </c>
      <c r="M199" s="337">
        <v>2034688.8154899857</v>
      </c>
      <c r="N199" s="337">
        <v>0</v>
      </c>
      <c r="O199" s="337">
        <v>0</v>
      </c>
      <c r="P199" s="337">
        <v>78016.274597656375</v>
      </c>
      <c r="Q199" s="337">
        <v>3818182.720783263</v>
      </c>
    </row>
    <row r="200" spans="1:17" x14ac:dyDescent="0.25">
      <c r="A200" s="143">
        <v>1</v>
      </c>
      <c r="B200" s="163"/>
      <c r="C200" s="140" t="s">
        <v>1614</v>
      </c>
      <c r="D200" s="140"/>
      <c r="E200" s="139"/>
      <c r="F200" s="462">
        <v>25.468499999999999</v>
      </c>
      <c r="G200" s="157">
        <v>356.07050000000004</v>
      </c>
      <c r="H200" s="155">
        <v>284152.95849677018</v>
      </c>
      <c r="I200" s="155">
        <v>18592.378344207482</v>
      </c>
      <c r="J200" s="155">
        <v>6581.607836206058</v>
      </c>
      <c r="K200" s="155">
        <v>1704846.1972580906</v>
      </c>
      <c r="L200" s="155">
        <v>92370.208760346664</v>
      </c>
      <c r="M200" s="155">
        <v>2096797.2254899857</v>
      </c>
      <c r="N200" s="155">
        <v>0</v>
      </c>
      <c r="O200" s="155">
        <v>0</v>
      </c>
      <c r="P200" s="155">
        <v>78016.274597656375</v>
      </c>
      <c r="Q200" s="155">
        <v>4281356.8507832633</v>
      </c>
    </row>
    <row r="201" spans="1:17" x14ac:dyDescent="0.25">
      <c r="A201" s="143">
        <v>1</v>
      </c>
      <c r="B201" s="163"/>
      <c r="C201" s="469"/>
      <c r="D201" s="140"/>
      <c r="E201" s="139"/>
      <c r="F201" s="462"/>
      <c r="G201" s="148"/>
      <c r="H201" s="155"/>
      <c r="I201" s="155"/>
      <c r="J201" s="155"/>
      <c r="K201" s="155"/>
      <c r="L201" s="155"/>
      <c r="M201" s="155"/>
      <c r="N201" s="155"/>
      <c r="O201" s="155"/>
      <c r="P201" s="155"/>
      <c r="Q201" s="155"/>
    </row>
    <row r="202" spans="1:17" x14ac:dyDescent="0.25">
      <c r="A202" s="143">
        <v>1</v>
      </c>
      <c r="B202" s="163" t="s">
        <v>1615</v>
      </c>
      <c r="C202" s="140"/>
      <c r="D202" s="140">
        <v>4116</v>
      </c>
      <c r="E202" s="139" t="s">
        <v>1583</v>
      </c>
      <c r="F202" s="462">
        <v>2.9001000000000001</v>
      </c>
      <c r="G202" s="458">
        <v>90.452699999999993</v>
      </c>
      <c r="H202" s="155">
        <v>114049.86855436175</v>
      </c>
      <c r="I202" s="155">
        <v>5549.5418212729455</v>
      </c>
      <c r="J202" s="155">
        <v>65.515615527764808</v>
      </c>
      <c r="K202" s="155">
        <v>103131.48225588624</v>
      </c>
      <c r="L202" s="155">
        <v>324933.81109306857</v>
      </c>
      <c r="M202" s="155">
        <v>217327.21246510057</v>
      </c>
      <c r="N202" s="155">
        <v>0</v>
      </c>
      <c r="O202" s="155">
        <v>0</v>
      </c>
      <c r="P202" s="155">
        <v>430.16586342367458</v>
      </c>
      <c r="Q202" s="155">
        <v>765487.59766864148</v>
      </c>
    </row>
    <row r="203" spans="1:17" x14ac:dyDescent="0.25">
      <c r="A203" s="143">
        <v>1</v>
      </c>
      <c r="B203" s="163" t="s">
        <v>1615</v>
      </c>
      <c r="C203" s="140"/>
      <c r="D203" s="140">
        <v>4116</v>
      </c>
      <c r="E203" s="139" t="s">
        <v>1584</v>
      </c>
      <c r="F203" s="463">
        <v>0.4763</v>
      </c>
      <c r="G203" s="459">
        <v>0.9526</v>
      </c>
      <c r="H203" s="337">
        <v>18731.061822848347</v>
      </c>
      <c r="I203" s="337">
        <v>911.4329745430515</v>
      </c>
      <c r="J203" s="337">
        <v>10.760004026024749</v>
      </c>
      <c r="K203" s="337">
        <v>0</v>
      </c>
      <c r="L203" s="337">
        <v>0</v>
      </c>
      <c r="M203" s="337">
        <v>0</v>
      </c>
      <c r="N203" s="337">
        <v>90294.475000000006</v>
      </c>
      <c r="O203" s="337">
        <v>228413.98</v>
      </c>
      <c r="P203" s="337">
        <v>70.64859858235792</v>
      </c>
      <c r="Q203" s="337">
        <v>338432.35839999979</v>
      </c>
    </row>
    <row r="204" spans="1:17" x14ac:dyDescent="0.25">
      <c r="A204" s="143">
        <v>1</v>
      </c>
      <c r="B204" s="163"/>
      <c r="C204" s="140" t="s">
        <v>1616</v>
      </c>
      <c r="D204" s="140"/>
      <c r="E204" s="139"/>
      <c r="F204" s="462">
        <v>3.3764000000000003</v>
      </c>
      <c r="G204" s="157">
        <v>91.405299999999997</v>
      </c>
      <c r="H204" s="155">
        <v>132780.93037721008</v>
      </c>
      <c r="I204" s="155">
        <v>6460.9747958159969</v>
      </c>
      <c r="J204" s="155">
        <v>76.275619553789554</v>
      </c>
      <c r="K204" s="155">
        <v>103131.48225588624</v>
      </c>
      <c r="L204" s="155">
        <v>324933.81109306857</v>
      </c>
      <c r="M204" s="155">
        <v>217327.21246510057</v>
      </c>
      <c r="N204" s="155">
        <v>90294.475000000006</v>
      </c>
      <c r="O204" s="155">
        <v>228413.98</v>
      </c>
      <c r="P204" s="155">
        <v>500.8144620060325</v>
      </c>
      <c r="Q204" s="155">
        <v>1103919.9560686413</v>
      </c>
    </row>
    <row r="205" spans="1:17" x14ac:dyDescent="0.25">
      <c r="A205" s="143">
        <v>1</v>
      </c>
      <c r="B205" s="163"/>
      <c r="C205" s="140"/>
      <c r="D205" s="140"/>
      <c r="E205" s="139"/>
      <c r="F205" s="462"/>
      <c r="G205" s="148"/>
      <c r="H205" s="155"/>
      <c r="I205" s="155"/>
      <c r="J205" s="155"/>
      <c r="K205" s="155"/>
      <c r="L205" s="155"/>
      <c r="M205" s="155"/>
      <c r="N205" s="155"/>
      <c r="O205" s="155"/>
      <c r="P205" s="155"/>
      <c r="Q205" s="155"/>
    </row>
    <row r="206" spans="1:17" x14ac:dyDescent="0.25">
      <c r="A206" s="143">
        <v>1</v>
      </c>
      <c r="B206" s="163" t="s">
        <v>1617</v>
      </c>
      <c r="C206" s="140"/>
      <c r="D206" s="140">
        <v>4116</v>
      </c>
      <c r="E206" s="139"/>
      <c r="F206" s="462">
        <v>8.7009000000000007</v>
      </c>
      <c r="G206" s="458">
        <v>90.452699999999993</v>
      </c>
      <c r="H206" s="155">
        <v>342173.20137396851</v>
      </c>
      <c r="I206" s="155">
        <v>16649.773605294224</v>
      </c>
      <c r="J206" s="155">
        <v>196.5604010708351</v>
      </c>
      <c r="K206" s="155">
        <v>309415.78357995953</v>
      </c>
      <c r="L206" s="155">
        <v>974868.65864614351</v>
      </c>
      <c r="M206" s="155">
        <v>652026.60009571863</v>
      </c>
      <c r="N206" s="155">
        <v>0</v>
      </c>
      <c r="O206" s="155">
        <v>0</v>
      </c>
      <c r="P206" s="155">
        <v>1290.5865870359819</v>
      </c>
      <c r="Q206" s="155">
        <v>2296621.1642891914</v>
      </c>
    </row>
    <row r="207" spans="1:17" x14ac:dyDescent="0.25">
      <c r="A207" s="143">
        <v>1</v>
      </c>
      <c r="B207" s="163"/>
      <c r="C207" s="140"/>
      <c r="D207" s="140"/>
      <c r="E207" s="139"/>
      <c r="F207" s="462"/>
      <c r="G207" s="148"/>
      <c r="H207" s="155"/>
      <c r="I207" s="155"/>
      <c r="J207" s="155"/>
      <c r="K207" s="155"/>
      <c r="L207" s="155"/>
      <c r="M207" s="155"/>
      <c r="N207" s="155"/>
      <c r="O207" s="155"/>
      <c r="P207" s="155"/>
      <c r="Q207" s="155"/>
    </row>
    <row r="208" spans="1:17" x14ac:dyDescent="0.25">
      <c r="A208" s="143">
        <v>1</v>
      </c>
      <c r="B208" s="163" t="s">
        <v>1618</v>
      </c>
      <c r="C208" s="140"/>
      <c r="D208" s="140">
        <v>4116</v>
      </c>
      <c r="E208" s="139"/>
      <c r="F208" s="462">
        <v>3.8702000000000001</v>
      </c>
      <c r="G208" s="458">
        <v>90.452699999999993</v>
      </c>
      <c r="H208" s="155">
        <v>152200.20043415425</v>
      </c>
      <c r="I208" s="155">
        <v>7405.8952300577748</v>
      </c>
      <c r="J208" s="155">
        <v>87.430962799750134</v>
      </c>
      <c r="K208" s="155">
        <v>137629.55161088618</v>
      </c>
      <c r="L208" s="155">
        <v>433626.02520340466</v>
      </c>
      <c r="M208" s="155">
        <v>290024.40525582986</v>
      </c>
      <c r="N208" s="155">
        <v>0</v>
      </c>
      <c r="O208" s="155">
        <v>0</v>
      </c>
      <c r="P208" s="155">
        <v>574.05879956632714</v>
      </c>
      <c r="Q208" s="155">
        <v>1021547.5674966989</v>
      </c>
    </row>
    <row r="209" spans="1:17" x14ac:dyDescent="0.25">
      <c r="A209" s="143">
        <v>1</v>
      </c>
      <c r="B209" s="163"/>
      <c r="C209" s="140"/>
      <c r="D209" s="140"/>
      <c r="E209" s="139"/>
      <c r="F209" s="462"/>
      <c r="G209" s="148"/>
      <c r="H209" s="155"/>
      <c r="I209" s="155"/>
      <c r="J209" s="155"/>
      <c r="K209" s="155"/>
      <c r="L209" s="155"/>
      <c r="M209" s="155"/>
      <c r="N209" s="155"/>
      <c r="O209" s="155"/>
      <c r="P209" s="155"/>
      <c r="Q209" s="155"/>
    </row>
    <row r="210" spans="1:17" x14ac:dyDescent="0.25">
      <c r="A210" s="143">
        <v>1</v>
      </c>
      <c r="B210" s="163" t="s">
        <v>1619</v>
      </c>
      <c r="C210" s="140"/>
      <c r="D210" s="140">
        <v>4116</v>
      </c>
      <c r="E210" s="139"/>
      <c r="F210" s="462">
        <v>3.9963000000000002</v>
      </c>
      <c r="G210" s="458">
        <v>90.452699999999993</v>
      </c>
      <c r="H210" s="155">
        <v>157159.2323381248</v>
      </c>
      <c r="I210" s="155">
        <v>7647.1962968011694</v>
      </c>
      <c r="J210" s="155">
        <v>90.279664264544849</v>
      </c>
      <c r="K210" s="155">
        <v>142113.83832943629</v>
      </c>
      <c r="L210" s="155">
        <v>447754.55648813141</v>
      </c>
      <c r="M210" s="155">
        <v>299474.06612678227</v>
      </c>
      <c r="N210" s="155">
        <v>0</v>
      </c>
      <c r="O210" s="155">
        <v>0</v>
      </c>
      <c r="P210" s="155">
        <v>592.76295300163122</v>
      </c>
      <c r="Q210" s="155">
        <v>1054831.9321965419</v>
      </c>
    </row>
    <row r="211" spans="1:17" x14ac:dyDescent="0.25">
      <c r="A211" s="143">
        <v>1</v>
      </c>
      <c r="B211" s="163"/>
      <c r="C211" s="140"/>
      <c r="D211" s="140"/>
      <c r="E211" s="139"/>
      <c r="F211" s="462"/>
      <c r="G211" s="148"/>
      <c r="H211" s="155"/>
      <c r="I211" s="155"/>
      <c r="J211" s="155"/>
      <c r="K211" s="155"/>
      <c r="L211" s="155"/>
      <c r="M211" s="155"/>
      <c r="N211" s="155"/>
      <c r="O211" s="155"/>
      <c r="P211" s="155"/>
      <c r="Q211" s="155"/>
    </row>
    <row r="212" spans="1:17" x14ac:dyDescent="0.25">
      <c r="A212" s="143">
        <v>1</v>
      </c>
      <c r="B212" s="163" t="s">
        <v>1620</v>
      </c>
      <c r="C212" s="140"/>
      <c r="D212" s="140">
        <v>4144</v>
      </c>
      <c r="E212" s="139"/>
      <c r="F212" s="462">
        <v>15.290800000000001</v>
      </c>
      <c r="G212" s="458">
        <v>30.635900000000003</v>
      </c>
      <c r="H212" s="155">
        <v>4987.8985996167894</v>
      </c>
      <c r="I212" s="155">
        <v>0</v>
      </c>
      <c r="J212" s="155">
        <v>0</v>
      </c>
      <c r="K212" s="155">
        <v>236417.40757725411</v>
      </c>
      <c r="L212" s="155">
        <v>0</v>
      </c>
      <c r="M212" s="155">
        <v>214227.18304002818</v>
      </c>
      <c r="N212" s="155">
        <v>0</v>
      </c>
      <c r="O212" s="155">
        <v>0</v>
      </c>
      <c r="P212" s="155">
        <v>510.73814485619818</v>
      </c>
      <c r="Q212" s="155">
        <v>456143.22736175521</v>
      </c>
    </row>
    <row r="213" spans="1:17" x14ac:dyDescent="0.25">
      <c r="A213" s="143">
        <v>1</v>
      </c>
      <c r="B213" s="163"/>
      <c r="C213" s="140"/>
      <c r="D213" s="140"/>
      <c r="E213" s="139"/>
      <c r="F213" s="462"/>
      <c r="G213" s="148"/>
      <c r="H213" s="155"/>
      <c r="I213" s="155"/>
      <c r="J213" s="155"/>
      <c r="K213" s="155"/>
      <c r="L213" s="155"/>
      <c r="M213" s="155"/>
      <c r="N213" s="155"/>
      <c r="O213" s="155"/>
      <c r="P213" s="155"/>
      <c r="Q213" s="155"/>
    </row>
    <row r="214" spans="1:17" x14ac:dyDescent="0.25">
      <c r="A214" s="143">
        <v>1</v>
      </c>
      <c r="B214" s="163" t="s">
        <v>1621</v>
      </c>
      <c r="C214" s="140"/>
      <c r="D214" s="140">
        <v>4144</v>
      </c>
      <c r="E214" s="139"/>
      <c r="F214" s="462">
        <v>15.3451</v>
      </c>
      <c r="G214" s="458">
        <v>30.635900000000003</v>
      </c>
      <c r="H214" s="155">
        <v>5005.6114003832099</v>
      </c>
      <c r="I214" s="155">
        <v>0</v>
      </c>
      <c r="J214" s="155">
        <v>0</v>
      </c>
      <c r="K214" s="155">
        <v>237256.96242274583</v>
      </c>
      <c r="L214" s="155">
        <v>0</v>
      </c>
      <c r="M214" s="155">
        <v>214987.93695997179</v>
      </c>
      <c r="N214" s="155">
        <v>0</v>
      </c>
      <c r="O214" s="155">
        <v>0</v>
      </c>
      <c r="P214" s="155">
        <v>512.55185514380184</v>
      </c>
      <c r="Q214" s="155">
        <v>457763.06263824465</v>
      </c>
    </row>
    <row r="215" spans="1:17" x14ac:dyDescent="0.25">
      <c r="A215" s="143">
        <v>1</v>
      </c>
      <c r="B215" s="163"/>
      <c r="C215" s="140"/>
      <c r="D215" s="140"/>
      <c r="E215" s="139"/>
      <c r="F215" s="462"/>
      <c r="G215" s="148"/>
      <c r="H215" s="155"/>
      <c r="I215" s="155"/>
      <c r="J215" s="155"/>
      <c r="K215" s="155"/>
      <c r="L215" s="155"/>
      <c r="M215" s="155"/>
      <c r="N215" s="155"/>
      <c r="O215" s="155"/>
      <c r="P215" s="155"/>
      <c r="Q215" s="155">
        <v>0</v>
      </c>
    </row>
    <row r="216" spans="1:17" x14ac:dyDescent="0.25">
      <c r="A216" s="143">
        <v>1</v>
      </c>
      <c r="B216" s="163" t="s">
        <v>1622</v>
      </c>
      <c r="C216" s="140"/>
      <c r="D216" s="140">
        <v>4102</v>
      </c>
      <c r="E216" s="139"/>
      <c r="F216" s="462">
        <v>0.30280000000000001</v>
      </c>
      <c r="G216" s="458">
        <v>8.4268000000000001</v>
      </c>
      <c r="H216" s="155">
        <v>52682.325332510562</v>
      </c>
      <c r="I216" s="155">
        <v>0</v>
      </c>
      <c r="J216" s="155">
        <v>0</v>
      </c>
      <c r="K216" s="155">
        <v>74923.999361086069</v>
      </c>
      <c r="L216" s="155">
        <v>17984.070236388663</v>
      </c>
      <c r="M216" s="155">
        <v>49985.611558361423</v>
      </c>
      <c r="N216" s="155">
        <v>0</v>
      </c>
      <c r="O216" s="155">
        <v>0</v>
      </c>
      <c r="P216" s="155">
        <v>0</v>
      </c>
      <c r="Q216" s="155">
        <v>195576.0064883467</v>
      </c>
    </row>
    <row r="217" spans="1:17" x14ac:dyDescent="0.25">
      <c r="A217" s="143">
        <v>1</v>
      </c>
      <c r="B217" s="163"/>
      <c r="C217" s="140"/>
      <c r="D217" s="140"/>
      <c r="E217" s="139"/>
      <c r="F217" s="462"/>
      <c r="G217" s="148"/>
      <c r="H217" s="155"/>
      <c r="I217" s="155"/>
      <c r="J217" s="155"/>
      <c r="K217" s="155"/>
      <c r="L217" s="155"/>
      <c r="M217" s="155"/>
      <c r="N217" s="155"/>
      <c r="O217" s="155"/>
      <c r="P217" s="155"/>
      <c r="Q217" s="155"/>
    </row>
    <row r="218" spans="1:17" x14ac:dyDescent="0.25">
      <c r="A218" s="143">
        <v>1</v>
      </c>
      <c r="B218" s="163" t="s">
        <v>1623</v>
      </c>
      <c r="C218" s="140"/>
      <c r="D218" s="140">
        <v>4156</v>
      </c>
      <c r="E218" s="139"/>
      <c r="F218" s="462">
        <v>6.3963999999999999</v>
      </c>
      <c r="G218" s="458">
        <v>29.492999999999999</v>
      </c>
      <c r="H218" s="155">
        <v>2608027.8464659411</v>
      </c>
      <c r="I218" s="155">
        <v>0</v>
      </c>
      <c r="J218" s="155">
        <v>0</v>
      </c>
      <c r="K218" s="155">
        <v>490731.15736425592</v>
      </c>
      <c r="L218" s="155">
        <v>1404683.4010170549</v>
      </c>
      <c r="M218" s="155">
        <v>644416.91124456655</v>
      </c>
      <c r="N218" s="155">
        <v>0</v>
      </c>
      <c r="O218" s="155">
        <v>0</v>
      </c>
      <c r="P218" s="155">
        <v>8298.2277990031544</v>
      </c>
      <c r="Q218" s="155">
        <v>5156157.5438908208</v>
      </c>
    </row>
    <row r="219" spans="1:17" x14ac:dyDescent="0.25">
      <c r="A219" s="143">
        <v>1</v>
      </c>
      <c r="B219" s="163"/>
      <c r="C219" s="140"/>
      <c r="D219" s="140"/>
      <c r="E219" s="139"/>
      <c r="F219" s="462"/>
      <c r="G219" s="148"/>
      <c r="H219" s="155"/>
      <c r="I219" s="155"/>
      <c r="J219" s="155"/>
      <c r="K219" s="155"/>
      <c r="L219" s="155"/>
      <c r="M219" s="155"/>
      <c r="N219" s="155"/>
      <c r="O219" s="155"/>
      <c r="P219" s="155"/>
      <c r="Q219" s="155"/>
    </row>
    <row r="220" spans="1:17" x14ac:dyDescent="0.25">
      <c r="A220" s="143">
        <v>1</v>
      </c>
      <c r="B220" s="163" t="s">
        <v>1624</v>
      </c>
      <c r="C220" s="140"/>
      <c r="D220" s="140">
        <v>4156</v>
      </c>
      <c r="E220" s="139"/>
      <c r="F220" s="462">
        <v>14.755600000000001</v>
      </c>
      <c r="G220" s="458">
        <v>29.492999999999999</v>
      </c>
      <c r="H220" s="155">
        <v>6016355.4016810777</v>
      </c>
      <c r="I220" s="155">
        <v>0</v>
      </c>
      <c r="J220" s="155">
        <v>0</v>
      </c>
      <c r="K220" s="155">
        <v>1132048.1310743568</v>
      </c>
      <c r="L220" s="155">
        <v>3240408.1033154987</v>
      </c>
      <c r="M220" s="155">
        <v>1486579.6659934225</v>
      </c>
      <c r="N220" s="155">
        <v>0</v>
      </c>
      <c r="O220" s="155">
        <v>0</v>
      </c>
      <c r="P220" s="155">
        <v>19142.850683348595</v>
      </c>
      <c r="Q220" s="155">
        <v>11894534.152747704</v>
      </c>
    </row>
    <row r="221" spans="1:17" x14ac:dyDescent="0.25">
      <c r="A221" s="143">
        <v>1</v>
      </c>
      <c r="B221" s="163"/>
      <c r="C221" s="140"/>
      <c r="D221" s="140"/>
      <c r="E221" s="139"/>
      <c r="F221" s="462"/>
      <c r="G221" s="148"/>
      <c r="H221" s="155"/>
      <c r="I221" s="155"/>
      <c r="J221" s="155"/>
      <c r="K221" s="155"/>
      <c r="L221" s="155"/>
      <c r="M221" s="155"/>
      <c r="N221" s="155"/>
      <c r="O221" s="155"/>
      <c r="P221" s="155"/>
      <c r="Q221" s="155"/>
    </row>
    <row r="222" spans="1:17" x14ac:dyDescent="0.25">
      <c r="A222" s="143">
        <v>1</v>
      </c>
      <c r="B222" s="163" t="s">
        <v>830</v>
      </c>
      <c r="C222" s="140"/>
      <c r="D222" s="140">
        <v>4119</v>
      </c>
      <c r="E222" s="153"/>
      <c r="F222" s="462">
        <v>0.45810000000000001</v>
      </c>
      <c r="G222" s="464"/>
      <c r="H222" s="345"/>
      <c r="I222" s="345"/>
      <c r="J222" s="345"/>
      <c r="K222" s="345"/>
      <c r="L222" s="345"/>
      <c r="M222" s="345"/>
      <c r="N222" s="345"/>
      <c r="O222" s="345"/>
      <c r="P222" s="345"/>
      <c r="Q222" s="345"/>
    </row>
    <row r="223" spans="1:17" x14ac:dyDescent="0.25">
      <c r="A223" s="143">
        <v>1</v>
      </c>
      <c r="B223" s="163" t="s">
        <v>1738</v>
      </c>
      <c r="C223" s="140"/>
      <c r="D223" s="140">
        <v>4118</v>
      </c>
      <c r="E223" s="153"/>
      <c r="F223" s="462">
        <v>6.89</v>
      </c>
      <c r="G223" s="464"/>
      <c r="H223" s="345"/>
      <c r="I223" s="345"/>
      <c r="J223" s="345"/>
      <c r="K223" s="345"/>
      <c r="L223" s="345"/>
      <c r="M223" s="345"/>
      <c r="N223" s="345"/>
      <c r="O223" s="345"/>
      <c r="P223" s="345"/>
      <c r="Q223" s="345"/>
    </row>
    <row r="224" spans="1:17" x14ac:dyDescent="0.25">
      <c r="A224" s="143">
        <v>1</v>
      </c>
      <c r="B224" s="438"/>
      <c r="C224" s="139" t="s">
        <v>1625</v>
      </c>
      <c r="D224" s="140">
        <v>4119</v>
      </c>
      <c r="E224" s="139"/>
      <c r="F224" s="462">
        <v>6.8068</v>
      </c>
      <c r="G224" s="458">
        <v>137.6463</v>
      </c>
      <c r="H224" s="155">
        <v>103837.00229260066</v>
      </c>
      <c r="I224" s="155">
        <v>3553.5591266892025</v>
      </c>
      <c r="J224" s="155">
        <v>4.9891501042890365</v>
      </c>
      <c r="K224" s="155">
        <v>392073.1056833929</v>
      </c>
      <c r="L224" s="155">
        <v>4212.0839177515127</v>
      </c>
      <c r="M224" s="155">
        <v>734187.11473296408</v>
      </c>
      <c r="N224" s="155">
        <v>0</v>
      </c>
      <c r="O224" s="155">
        <v>0</v>
      </c>
      <c r="P224" s="155">
        <v>2592.7667087019413</v>
      </c>
      <c r="Q224" s="155">
        <v>1240460.6216122045</v>
      </c>
    </row>
    <row r="225" spans="1:17" x14ac:dyDescent="0.25">
      <c r="A225" s="143">
        <v>1</v>
      </c>
      <c r="B225" s="163"/>
      <c r="C225" s="140"/>
      <c r="D225" s="140"/>
      <c r="E225" s="139"/>
      <c r="F225" s="462"/>
      <c r="G225" s="148"/>
      <c r="H225" s="155"/>
      <c r="I225" s="155"/>
      <c r="J225" s="155"/>
      <c r="K225" s="155"/>
      <c r="L225" s="155"/>
      <c r="M225" s="155"/>
      <c r="N225" s="155"/>
      <c r="O225" s="155"/>
      <c r="P225" s="155"/>
      <c r="Q225" s="155"/>
    </row>
    <row r="226" spans="1:17" x14ac:dyDescent="0.25">
      <c r="A226" s="143">
        <v>1</v>
      </c>
      <c r="B226" s="163"/>
      <c r="C226" s="140"/>
      <c r="D226" s="140"/>
      <c r="E226" s="139"/>
      <c r="F226" s="462"/>
      <c r="G226" s="148"/>
      <c r="H226" s="155"/>
      <c r="I226" s="155"/>
      <c r="J226" s="155"/>
      <c r="K226" s="155"/>
      <c r="L226" s="155"/>
      <c r="M226" s="155"/>
      <c r="N226" s="155"/>
      <c r="O226" s="155"/>
      <c r="P226" s="155"/>
      <c r="Q226" s="155"/>
    </row>
    <row r="227" spans="1:17" x14ac:dyDescent="0.25">
      <c r="A227" s="143">
        <v>1</v>
      </c>
      <c r="B227" s="163" t="s">
        <v>831</v>
      </c>
      <c r="C227" s="140"/>
      <c r="D227" s="140">
        <v>4118</v>
      </c>
      <c r="E227" s="153"/>
      <c r="F227" s="462">
        <v>0.4572</v>
      </c>
      <c r="G227" s="464"/>
      <c r="H227" s="345"/>
      <c r="I227" s="345"/>
      <c r="J227" s="345"/>
      <c r="K227" s="345"/>
      <c r="L227" s="345"/>
      <c r="M227" s="345"/>
      <c r="N227" s="345"/>
      <c r="O227" s="345"/>
      <c r="P227" s="345"/>
      <c r="Q227" s="345"/>
    </row>
    <row r="228" spans="1:17" x14ac:dyDescent="0.25">
      <c r="A228" s="143">
        <v>1</v>
      </c>
      <c r="B228" s="163" t="s">
        <v>1739</v>
      </c>
      <c r="C228" s="140"/>
      <c r="D228" s="140">
        <v>4117</v>
      </c>
      <c r="E228" s="153"/>
      <c r="F228" s="462">
        <v>14.54</v>
      </c>
      <c r="G228" s="464"/>
      <c r="H228" s="345"/>
      <c r="I228" s="345"/>
      <c r="J228" s="345"/>
      <c r="K228" s="345"/>
      <c r="L228" s="345"/>
      <c r="M228" s="345"/>
      <c r="N228" s="345"/>
      <c r="O228" s="345"/>
      <c r="P228" s="345"/>
      <c r="Q228" s="345"/>
    </row>
    <row r="229" spans="1:17" x14ac:dyDescent="0.25">
      <c r="A229" s="143">
        <v>1</v>
      </c>
      <c r="B229" s="438"/>
      <c r="C229" s="139" t="s">
        <v>1626</v>
      </c>
      <c r="D229" s="140">
        <v>4118</v>
      </c>
      <c r="E229" s="139"/>
      <c r="F229" s="462">
        <v>15.0502</v>
      </c>
      <c r="G229" s="458">
        <v>155.75350000000003</v>
      </c>
      <c r="H229" s="155">
        <v>533145.01786854456</v>
      </c>
      <c r="I229" s="155">
        <v>12671.250625912795</v>
      </c>
      <c r="J229" s="155">
        <v>212.99924821824462</v>
      </c>
      <c r="K229" s="155">
        <v>1687477.9846401915</v>
      </c>
      <c r="L229" s="155">
        <v>23115.35083749389</v>
      </c>
      <c r="M229" s="155">
        <v>1366381.6528258324</v>
      </c>
      <c r="N229" s="155">
        <v>0</v>
      </c>
      <c r="O229" s="155">
        <v>0</v>
      </c>
      <c r="P229" s="155">
        <v>17791.829654320674</v>
      </c>
      <c r="Q229" s="155">
        <v>3640796.0857005138</v>
      </c>
    </row>
    <row r="230" spans="1:17" x14ac:dyDescent="0.25">
      <c r="A230" s="143">
        <v>1</v>
      </c>
      <c r="B230" s="163"/>
      <c r="C230" s="140"/>
      <c r="D230" s="140"/>
      <c r="E230" s="139"/>
      <c r="F230" s="462"/>
      <c r="G230" s="148"/>
      <c r="H230" s="155"/>
      <c r="I230" s="155"/>
      <c r="J230" s="155"/>
      <c r="K230" s="155"/>
      <c r="L230" s="155"/>
      <c r="M230" s="155"/>
      <c r="N230" s="155"/>
      <c r="O230" s="155"/>
      <c r="P230" s="155"/>
      <c r="Q230" s="155"/>
    </row>
    <row r="231" spans="1:17" x14ac:dyDescent="0.25">
      <c r="A231" s="143">
        <v>1</v>
      </c>
      <c r="B231" s="163" t="s">
        <v>1627</v>
      </c>
      <c r="C231" s="140"/>
      <c r="D231" s="140">
        <v>4104</v>
      </c>
      <c r="E231" s="139"/>
      <c r="F231" s="462">
        <v>8.3015000000000008</v>
      </c>
      <c r="G231" s="458">
        <v>143.64699999999999</v>
      </c>
      <c r="H231" s="155">
        <v>76916.930252943013</v>
      </c>
      <c r="I231" s="155">
        <v>0</v>
      </c>
      <c r="J231" s="155">
        <v>0</v>
      </c>
      <c r="K231" s="155">
        <v>336028.03343425208</v>
      </c>
      <c r="L231" s="155">
        <v>10177.173667079718</v>
      </c>
      <c r="M231" s="155">
        <v>181041.3620337703</v>
      </c>
      <c r="N231" s="155">
        <v>0</v>
      </c>
      <c r="O231" s="155">
        <v>0</v>
      </c>
      <c r="P231" s="155">
        <v>13310.986137269163</v>
      </c>
      <c r="Q231" s="155">
        <v>617474.48552531435</v>
      </c>
    </row>
    <row r="232" spans="1:17" x14ac:dyDescent="0.25">
      <c r="A232" s="143">
        <v>1</v>
      </c>
      <c r="B232" s="163" t="s">
        <v>1627</v>
      </c>
      <c r="C232" s="140"/>
      <c r="D232" s="140">
        <v>4118</v>
      </c>
      <c r="E232" s="139"/>
      <c r="F232" s="463">
        <v>25.529499999999999</v>
      </c>
      <c r="G232" s="459">
        <v>155.75350000000003</v>
      </c>
      <c r="H232" s="337">
        <v>904368.42923516023</v>
      </c>
      <c r="I232" s="337">
        <v>21494.112560247751</v>
      </c>
      <c r="J232" s="337">
        <v>361.30844157470835</v>
      </c>
      <c r="K232" s="337">
        <v>2862451.6092059752</v>
      </c>
      <c r="L232" s="337">
        <v>39210.33270028307</v>
      </c>
      <c r="M232" s="337">
        <v>2317779.1926896046</v>
      </c>
      <c r="N232" s="337">
        <v>0</v>
      </c>
      <c r="O232" s="337">
        <v>0</v>
      </c>
      <c r="P232" s="337">
        <v>30180.098281749059</v>
      </c>
      <c r="Q232" s="337">
        <v>6175845.0831145942</v>
      </c>
    </row>
    <row r="233" spans="1:17" x14ac:dyDescent="0.25">
      <c r="A233" s="143">
        <v>1</v>
      </c>
      <c r="B233" s="163"/>
      <c r="C233" s="140" t="s">
        <v>1628</v>
      </c>
      <c r="D233" s="140"/>
      <c r="E233" s="139"/>
      <c r="F233" s="462">
        <v>33.831000000000003</v>
      </c>
      <c r="G233" s="157">
        <v>299.40050000000002</v>
      </c>
      <c r="H233" s="155">
        <v>981285.35948810331</v>
      </c>
      <c r="I233" s="155">
        <v>21494.112560247751</v>
      </c>
      <c r="J233" s="155">
        <v>361.30844157470835</v>
      </c>
      <c r="K233" s="155">
        <v>3198479.6426402275</v>
      </c>
      <c r="L233" s="155">
        <v>49387.506367362788</v>
      </c>
      <c r="M233" s="155">
        <v>2498820.554723375</v>
      </c>
      <c r="N233" s="155">
        <v>0</v>
      </c>
      <c r="O233" s="155">
        <v>0</v>
      </c>
      <c r="P233" s="155">
        <v>43491.084419018225</v>
      </c>
      <c r="Q233" s="155">
        <v>6793319.5686399089</v>
      </c>
    </row>
    <row r="234" spans="1:17" x14ac:dyDescent="0.25">
      <c r="A234" s="143">
        <v>1</v>
      </c>
      <c r="B234" s="163"/>
      <c r="C234" s="140"/>
      <c r="D234" s="140"/>
      <c r="E234" s="139"/>
      <c r="F234" s="462"/>
      <c r="G234" s="148"/>
      <c r="H234" s="155"/>
      <c r="I234" s="155"/>
      <c r="J234" s="155"/>
      <c r="K234" s="155"/>
      <c r="L234" s="155"/>
      <c r="M234" s="155"/>
      <c r="N234" s="155"/>
      <c r="O234" s="155"/>
      <c r="P234" s="155"/>
      <c r="Q234" s="155"/>
    </row>
    <row r="235" spans="1:17" x14ac:dyDescent="0.25">
      <c r="A235" s="143">
        <v>1</v>
      </c>
      <c r="B235" s="163" t="s">
        <v>1629</v>
      </c>
      <c r="C235" s="140"/>
      <c r="D235" s="140">
        <v>4118</v>
      </c>
      <c r="E235" s="139"/>
      <c r="F235" s="462">
        <v>15.322399999999998</v>
      </c>
      <c r="G235" s="458">
        <v>155.75350000000003</v>
      </c>
      <c r="H235" s="155">
        <v>542787.55244375404</v>
      </c>
      <c r="I235" s="155">
        <v>12900.424618309802</v>
      </c>
      <c r="J235" s="155">
        <v>216.85158209852568</v>
      </c>
      <c r="K235" s="155">
        <v>1717997.9450007884</v>
      </c>
      <c r="L235" s="155">
        <v>23533.418271678536</v>
      </c>
      <c r="M235" s="155">
        <v>1391094.2204926533</v>
      </c>
      <c r="N235" s="155">
        <v>0</v>
      </c>
      <c r="O235" s="155">
        <v>0</v>
      </c>
      <c r="P235" s="155">
        <v>18113.61514766336</v>
      </c>
      <c r="Q235" s="155">
        <v>3706644.0275569456</v>
      </c>
    </row>
    <row r="236" spans="1:17" x14ac:dyDescent="0.25">
      <c r="A236" s="143">
        <v>1</v>
      </c>
      <c r="B236" s="163"/>
      <c r="C236" s="140"/>
      <c r="D236" s="140"/>
      <c r="E236" s="139"/>
      <c r="F236" s="462"/>
      <c r="G236" s="148"/>
      <c r="H236" s="155"/>
      <c r="I236" s="155"/>
      <c r="J236" s="155"/>
      <c r="K236" s="155"/>
      <c r="L236" s="155"/>
      <c r="M236" s="155"/>
      <c r="N236" s="155"/>
      <c r="O236" s="155"/>
      <c r="P236" s="155"/>
      <c r="Q236" s="155"/>
    </row>
    <row r="237" spans="1:17" x14ac:dyDescent="0.25">
      <c r="A237" s="143">
        <v>1</v>
      </c>
      <c r="B237" s="163" t="s">
        <v>1630</v>
      </c>
      <c r="C237" s="140"/>
      <c r="D237" s="140">
        <v>4125</v>
      </c>
      <c r="E237" s="139"/>
      <c r="F237" s="462">
        <v>49.395899999999997</v>
      </c>
      <c r="G237" s="458">
        <v>414.74720000000002</v>
      </c>
      <c r="H237" s="155">
        <v>1359466.7557032448</v>
      </c>
      <c r="I237" s="155">
        <v>210777.66326984487</v>
      </c>
      <c r="J237" s="155">
        <v>228.44462783353327</v>
      </c>
      <c r="K237" s="155">
        <v>3728028.0774654555</v>
      </c>
      <c r="L237" s="155">
        <v>58611.262508397878</v>
      </c>
      <c r="M237" s="155">
        <v>1644289.3979653867</v>
      </c>
      <c r="N237" s="155">
        <v>0</v>
      </c>
      <c r="O237" s="155">
        <v>0</v>
      </c>
      <c r="P237" s="155">
        <v>212134.43101415993</v>
      </c>
      <c r="Q237" s="155">
        <v>7213536.0325543229</v>
      </c>
    </row>
    <row r="238" spans="1:17" x14ac:dyDescent="0.25">
      <c r="A238" s="143">
        <v>1</v>
      </c>
      <c r="B238" s="163"/>
      <c r="C238" s="140"/>
      <c r="D238" s="140"/>
      <c r="E238" s="139"/>
      <c r="F238" s="462"/>
      <c r="G238" s="148"/>
      <c r="H238" s="155"/>
      <c r="I238" s="155"/>
      <c r="J238" s="155"/>
      <c r="K238" s="155"/>
      <c r="L238" s="155"/>
      <c r="M238" s="155"/>
      <c r="N238" s="155"/>
      <c r="O238" s="155"/>
      <c r="P238" s="155"/>
      <c r="Q238" s="155"/>
    </row>
    <row r="239" spans="1:17" x14ac:dyDescent="0.25">
      <c r="A239" s="143">
        <v>1</v>
      </c>
      <c r="B239" s="163" t="s">
        <v>1631</v>
      </c>
      <c r="C239" s="140"/>
      <c r="D239" s="140">
        <v>4125</v>
      </c>
      <c r="E239" s="139"/>
      <c r="F239" s="462">
        <v>49.3932</v>
      </c>
      <c r="G239" s="458">
        <v>414.74720000000002</v>
      </c>
      <c r="H239" s="155">
        <v>1359392.4466970239</v>
      </c>
      <c r="I239" s="155">
        <v>210766.14207697607</v>
      </c>
      <c r="J239" s="155">
        <v>228.43214095719031</v>
      </c>
      <c r="K239" s="155">
        <v>3727824.3019332932</v>
      </c>
      <c r="L239" s="155">
        <v>58608.058792932177</v>
      </c>
      <c r="M239" s="155">
        <v>1644199.5204376061</v>
      </c>
      <c r="N239" s="155">
        <v>0</v>
      </c>
      <c r="O239" s="155">
        <v>0</v>
      </c>
      <c r="P239" s="155">
        <v>212122.83565981398</v>
      </c>
      <c r="Q239" s="155">
        <v>7213141.7377386028</v>
      </c>
    </row>
    <row r="240" spans="1:17" x14ac:dyDescent="0.25">
      <c r="A240" s="143">
        <v>1</v>
      </c>
      <c r="B240" s="163"/>
      <c r="C240" s="141"/>
      <c r="D240" s="140"/>
      <c r="E240" s="139"/>
      <c r="F240" s="462"/>
      <c r="G240" s="148"/>
      <c r="H240" s="155"/>
      <c r="I240" s="155"/>
      <c r="J240" s="155"/>
      <c r="K240" s="155"/>
      <c r="L240" s="155"/>
      <c r="M240" s="155"/>
      <c r="N240" s="155"/>
      <c r="O240" s="155"/>
      <c r="P240" s="155"/>
      <c r="Q240" s="155"/>
    </row>
    <row r="241" spans="1:17" x14ac:dyDescent="0.25">
      <c r="A241" s="143">
        <v>1</v>
      </c>
      <c r="B241" s="163" t="s">
        <v>1632</v>
      </c>
      <c r="C241" s="139"/>
      <c r="D241" s="140">
        <v>4114</v>
      </c>
      <c r="E241" s="139"/>
      <c r="F241" s="462">
        <v>8.6743000000000006</v>
      </c>
      <c r="G241" s="458">
        <v>129.55309999999997</v>
      </c>
      <c r="H241" s="155">
        <v>214966.61212590057</v>
      </c>
      <c r="I241" s="155">
        <v>36123.125050323004</v>
      </c>
      <c r="J241" s="155">
        <v>44269.793833655865</v>
      </c>
      <c r="K241" s="155">
        <v>906081.67823426879</v>
      </c>
      <c r="L241" s="155">
        <v>9904.0901278935089</v>
      </c>
      <c r="M241" s="155">
        <v>648269.46920210344</v>
      </c>
      <c r="N241" s="155">
        <v>0</v>
      </c>
      <c r="O241" s="155">
        <v>0</v>
      </c>
      <c r="P241" s="155">
        <v>20365.944151425178</v>
      </c>
      <c r="Q241" s="155">
        <v>1879980.7127255704</v>
      </c>
    </row>
    <row r="242" spans="1:17" x14ac:dyDescent="0.25">
      <c r="A242" s="143">
        <v>1</v>
      </c>
      <c r="B242" s="163"/>
      <c r="C242" s="139"/>
      <c r="D242" s="140"/>
      <c r="E242" s="139"/>
      <c r="F242" s="462"/>
      <c r="G242" s="148"/>
      <c r="H242" s="155"/>
      <c r="I242" s="155"/>
      <c r="J242" s="155"/>
      <c r="K242" s="155"/>
      <c r="L242" s="155"/>
      <c r="M242" s="155"/>
      <c r="N242" s="155"/>
      <c r="O242" s="155"/>
      <c r="P242" s="155"/>
      <c r="Q242" s="155"/>
    </row>
    <row r="243" spans="1:17" x14ac:dyDescent="0.25">
      <c r="A243" s="143">
        <v>1</v>
      </c>
      <c r="B243" s="163" t="s">
        <v>1633</v>
      </c>
      <c r="C243" s="139"/>
      <c r="D243" s="140">
        <v>4114</v>
      </c>
      <c r="E243" s="139"/>
      <c r="F243" s="462">
        <v>13.9123</v>
      </c>
      <c r="G243" s="458">
        <v>129.55309999999997</v>
      </c>
      <c r="H243" s="155">
        <v>344774.79426341795</v>
      </c>
      <c r="I243" s="155">
        <v>57936.173828160048</v>
      </c>
      <c r="J243" s="155">
        <v>71002.231044807137</v>
      </c>
      <c r="K243" s="155">
        <v>1453221.6008321843</v>
      </c>
      <c r="L243" s="155">
        <v>15884.70229140021</v>
      </c>
      <c r="M243" s="155">
        <v>1039728.7776973845</v>
      </c>
      <c r="N243" s="155">
        <v>0</v>
      </c>
      <c r="O243" s="155">
        <v>0</v>
      </c>
      <c r="P243" s="155">
        <v>32663.975746500862</v>
      </c>
      <c r="Q243" s="155">
        <v>3015212.2557038548</v>
      </c>
    </row>
    <row r="244" spans="1:17" x14ac:dyDescent="0.25">
      <c r="A244" s="143">
        <v>1</v>
      </c>
      <c r="B244" s="163"/>
      <c r="C244" s="139"/>
      <c r="D244" s="140"/>
      <c r="E244" s="139"/>
      <c r="F244" s="462"/>
      <c r="G244" s="148"/>
      <c r="H244" s="155"/>
      <c r="I244" s="155"/>
      <c r="J244" s="155"/>
      <c r="K244" s="155"/>
      <c r="L244" s="155"/>
      <c r="M244" s="155"/>
      <c r="N244" s="155"/>
      <c r="O244" s="155"/>
      <c r="P244" s="155"/>
      <c r="Q244" s="155"/>
    </row>
    <row r="245" spans="1:17" x14ac:dyDescent="0.25">
      <c r="A245" s="143">
        <v>1</v>
      </c>
      <c r="B245" s="163" t="s">
        <v>1634</v>
      </c>
      <c r="C245" s="139"/>
      <c r="D245" s="140">
        <v>4101</v>
      </c>
      <c r="E245" s="139"/>
      <c r="F245" s="462">
        <v>27.420200000000001</v>
      </c>
      <c r="G245" s="458">
        <v>354.28050000000002</v>
      </c>
      <c r="H245" s="155">
        <v>112902.36633119239</v>
      </c>
      <c r="I245" s="155">
        <v>21530.364367415081</v>
      </c>
      <c r="J245" s="155">
        <v>7621.6400190188288</v>
      </c>
      <c r="K245" s="155">
        <v>1725957.8822101189</v>
      </c>
      <c r="L245" s="155">
        <v>106966.64054946291</v>
      </c>
      <c r="M245" s="155">
        <v>2356212.3554489734</v>
      </c>
      <c r="N245" s="155">
        <v>0</v>
      </c>
      <c r="O245" s="155">
        <v>0</v>
      </c>
      <c r="P245" s="155">
        <v>90344.483507091121</v>
      </c>
      <c r="Q245" s="155">
        <v>4421535.7324332725</v>
      </c>
    </row>
    <row r="246" spans="1:17" x14ac:dyDescent="0.25">
      <c r="A246" s="143">
        <v>1</v>
      </c>
      <c r="B246" s="163"/>
      <c r="C246" s="139"/>
      <c r="D246" s="140"/>
      <c r="E246" s="139"/>
      <c r="F246" s="462"/>
      <c r="G246" s="148"/>
      <c r="H246" s="155"/>
      <c r="I246" s="155"/>
      <c r="J246" s="155"/>
      <c r="K246" s="155"/>
      <c r="L246" s="155"/>
      <c r="M246" s="155"/>
      <c r="N246" s="155"/>
      <c r="O246" s="155"/>
      <c r="P246" s="155"/>
      <c r="Q246" s="155"/>
    </row>
    <row r="247" spans="1:17" x14ac:dyDescent="0.25">
      <c r="A247" s="143">
        <v>1</v>
      </c>
      <c r="B247" s="163" t="s">
        <v>1635</v>
      </c>
      <c r="C247" s="139"/>
      <c r="D247" s="140">
        <v>4102</v>
      </c>
      <c r="E247" s="139"/>
      <c r="F247" s="462">
        <v>3.0156999999999998</v>
      </c>
      <c r="G247" s="458">
        <v>8.4268000000000001</v>
      </c>
      <c r="H247" s="155">
        <v>524683.25133834907</v>
      </c>
      <c r="I247" s="155">
        <v>0</v>
      </c>
      <c r="J247" s="155">
        <v>0</v>
      </c>
      <c r="K247" s="155">
        <v>746196.51543337922</v>
      </c>
      <c r="L247" s="155">
        <v>179110.17375124601</v>
      </c>
      <c r="M247" s="155">
        <v>497825.65646152751</v>
      </c>
      <c r="N247" s="155">
        <v>0</v>
      </c>
      <c r="O247" s="155">
        <v>0</v>
      </c>
      <c r="P247" s="155">
        <v>0</v>
      </c>
      <c r="Q247" s="155">
        <v>1947815.5969845017</v>
      </c>
    </row>
    <row r="248" spans="1:17" x14ac:dyDescent="0.25">
      <c r="A248" s="143">
        <v>1</v>
      </c>
      <c r="B248" s="163"/>
      <c r="C248" s="139"/>
      <c r="D248" s="140"/>
      <c r="E248" s="139"/>
      <c r="F248" s="462"/>
      <c r="G248" s="148"/>
      <c r="H248" s="155"/>
      <c r="I248" s="155"/>
      <c r="J248" s="155"/>
      <c r="K248" s="155"/>
      <c r="L248" s="155"/>
      <c r="M248" s="155"/>
      <c r="N248" s="155"/>
      <c r="O248" s="155"/>
      <c r="P248" s="155"/>
      <c r="Q248" s="155"/>
    </row>
    <row r="249" spans="1:17" x14ac:dyDescent="0.25">
      <c r="A249" s="143">
        <v>1</v>
      </c>
      <c r="B249" s="163" t="s">
        <v>1636</v>
      </c>
      <c r="C249" s="139"/>
      <c r="D249" s="140">
        <v>4102</v>
      </c>
      <c r="E249" s="139"/>
      <c r="F249" s="462">
        <v>1.1515</v>
      </c>
      <c r="G249" s="458">
        <v>8.4268000000000001</v>
      </c>
      <c r="H249" s="155">
        <v>200342.46241871172</v>
      </c>
      <c r="I249" s="155">
        <v>0</v>
      </c>
      <c r="J249" s="155">
        <v>0</v>
      </c>
      <c r="K249" s="155">
        <v>284923.99360730051</v>
      </c>
      <c r="L249" s="155">
        <v>68390.544508591629</v>
      </c>
      <c r="M249" s="155">
        <v>190087.29098234206</v>
      </c>
      <c r="N249" s="155">
        <v>0</v>
      </c>
      <c r="O249" s="155">
        <v>0</v>
      </c>
      <c r="P249" s="155">
        <v>0</v>
      </c>
      <c r="Q249" s="155">
        <v>743744.29151694593</v>
      </c>
    </row>
    <row r="250" spans="1:17" x14ac:dyDescent="0.25">
      <c r="A250" s="143">
        <v>1</v>
      </c>
      <c r="B250" s="163"/>
      <c r="C250" s="139"/>
      <c r="D250" s="140"/>
      <c r="E250" s="139"/>
      <c r="F250" s="462"/>
      <c r="G250" s="148"/>
      <c r="H250" s="155"/>
      <c r="I250" s="155"/>
      <c r="J250" s="155"/>
      <c r="K250" s="155"/>
      <c r="L250" s="155"/>
      <c r="M250" s="155"/>
      <c r="N250" s="155"/>
      <c r="O250" s="155"/>
      <c r="P250" s="155"/>
      <c r="Q250" s="155"/>
    </row>
    <row r="251" spans="1:17" x14ac:dyDescent="0.25">
      <c r="A251" s="143">
        <v>1</v>
      </c>
      <c r="B251" s="163" t="s">
        <v>1637</v>
      </c>
      <c r="C251" s="139"/>
      <c r="D251" s="140">
        <v>4115</v>
      </c>
      <c r="E251" s="139"/>
      <c r="F251" s="462">
        <v>5.2325999999999997</v>
      </c>
      <c r="G251" s="458">
        <v>27.066800000000001</v>
      </c>
      <c r="H251" s="155">
        <v>310672.6511801912</v>
      </c>
      <c r="I251" s="155">
        <v>102776.55324818596</v>
      </c>
      <c r="J251" s="155">
        <v>415.38648706164003</v>
      </c>
      <c r="K251" s="155">
        <v>695790.9962412254</v>
      </c>
      <c r="L251" s="155">
        <v>76285.917417500401</v>
      </c>
      <c r="M251" s="155">
        <v>405249.24187314347</v>
      </c>
      <c r="N251" s="155">
        <v>0</v>
      </c>
      <c r="O251" s="155">
        <v>0</v>
      </c>
      <c r="P251" s="155">
        <v>5300.3205942335262</v>
      </c>
      <c r="Q251" s="155">
        <v>1596491.0670415414</v>
      </c>
    </row>
    <row r="252" spans="1:17" x14ac:dyDescent="0.25">
      <c r="A252" s="143">
        <v>1</v>
      </c>
      <c r="B252" s="163" t="s">
        <v>1637</v>
      </c>
      <c r="C252" s="139"/>
      <c r="D252" s="140">
        <v>4116</v>
      </c>
      <c r="E252" s="139"/>
      <c r="F252" s="463">
        <v>8.8285999999999998</v>
      </c>
      <c r="G252" s="459">
        <v>90.452699999999993</v>
      </c>
      <c r="H252" s="337">
        <v>347195.15517362778</v>
      </c>
      <c r="I252" s="337">
        <v>16894.13638263864</v>
      </c>
      <c r="J252" s="337">
        <v>199.44524783573817</v>
      </c>
      <c r="K252" s="337">
        <v>313956.96846464509</v>
      </c>
      <c r="L252" s="337">
        <v>989176.45757603704</v>
      </c>
      <c r="M252" s="337">
        <v>661596.16150111612</v>
      </c>
      <c r="N252" s="337">
        <v>0</v>
      </c>
      <c r="O252" s="337">
        <v>0</v>
      </c>
      <c r="P252" s="337">
        <v>1309.5280651778401</v>
      </c>
      <c r="Q252" s="337">
        <v>2330327.8524110778</v>
      </c>
    </row>
    <row r="253" spans="1:17" x14ac:dyDescent="0.25">
      <c r="A253" s="143">
        <v>1</v>
      </c>
      <c r="B253" s="163"/>
      <c r="C253" s="139" t="s">
        <v>1638</v>
      </c>
      <c r="D253" s="140"/>
      <c r="E253" s="139"/>
      <c r="F253" s="462">
        <v>14.061199999999999</v>
      </c>
      <c r="G253" s="157">
        <v>117.51949999999999</v>
      </c>
      <c r="H253" s="155">
        <v>657867.80635381897</v>
      </c>
      <c r="I253" s="155">
        <v>119670.68963082459</v>
      </c>
      <c r="J253" s="155">
        <v>614.83173489737817</v>
      </c>
      <c r="K253" s="155">
        <v>1009747.9647058705</v>
      </c>
      <c r="L253" s="155">
        <v>1065462.3749935376</v>
      </c>
      <c r="M253" s="155">
        <v>1066845.4033742596</v>
      </c>
      <c r="N253" s="155">
        <v>0</v>
      </c>
      <c r="O253" s="155">
        <v>0</v>
      </c>
      <c r="P253" s="155">
        <v>6609.8486594113665</v>
      </c>
      <c r="Q253" s="155">
        <v>3926818.9194526193</v>
      </c>
    </row>
    <row r="254" spans="1:17" x14ac:dyDescent="0.25">
      <c r="A254" s="143">
        <v>1</v>
      </c>
      <c r="B254" s="163"/>
      <c r="C254" s="139"/>
      <c r="D254" s="140"/>
      <c r="E254" s="139"/>
      <c r="F254" s="462"/>
      <c r="G254" s="148"/>
      <c r="H254" s="155"/>
      <c r="I254" s="155"/>
      <c r="J254" s="155"/>
      <c r="K254" s="155"/>
      <c r="L254" s="155"/>
      <c r="M254" s="155"/>
      <c r="N254" s="155"/>
      <c r="O254" s="155"/>
      <c r="P254" s="155"/>
      <c r="Q254" s="155"/>
    </row>
    <row r="255" spans="1:17" x14ac:dyDescent="0.25">
      <c r="A255" s="143">
        <v>1</v>
      </c>
      <c r="B255" s="163" t="s">
        <v>1639</v>
      </c>
      <c r="C255" s="139"/>
      <c r="D255" s="140">
        <v>4115</v>
      </c>
      <c r="E255" s="139"/>
      <c r="F255" s="462">
        <v>6.3531000000000004</v>
      </c>
      <c r="G255" s="458">
        <v>27.066800000000001</v>
      </c>
      <c r="H255" s="155">
        <v>377199.56048864301</v>
      </c>
      <c r="I255" s="155">
        <v>124784.94829359214</v>
      </c>
      <c r="J255" s="155">
        <v>504.33663779981379</v>
      </c>
      <c r="K255" s="155">
        <v>844786.4882123858</v>
      </c>
      <c r="L255" s="155">
        <v>92621.653087398576</v>
      </c>
      <c r="M255" s="155">
        <v>492028.6202928311</v>
      </c>
      <c r="N255" s="155">
        <v>0</v>
      </c>
      <c r="O255" s="155">
        <v>0</v>
      </c>
      <c r="P255" s="155">
        <v>6435.322166270118</v>
      </c>
      <c r="Q255" s="155">
        <v>1938360.9291789206</v>
      </c>
    </row>
    <row r="256" spans="1:17" x14ac:dyDescent="0.25">
      <c r="A256" s="143">
        <v>1</v>
      </c>
      <c r="B256" s="163"/>
      <c r="C256" s="139"/>
      <c r="D256" s="140"/>
      <c r="E256" s="139"/>
      <c r="F256" s="462"/>
      <c r="G256" s="148"/>
      <c r="H256" s="155"/>
      <c r="I256" s="155"/>
      <c r="J256" s="155"/>
      <c r="K256" s="155"/>
      <c r="L256" s="155"/>
      <c r="M256" s="155"/>
      <c r="N256" s="155"/>
      <c r="O256" s="155"/>
      <c r="P256" s="155"/>
      <c r="Q256" s="155"/>
    </row>
    <row r="257" spans="1:17" x14ac:dyDescent="0.25">
      <c r="A257" s="143">
        <v>1</v>
      </c>
      <c r="B257" s="163" t="s">
        <v>1640</v>
      </c>
      <c r="C257" s="139"/>
      <c r="D257" s="140">
        <v>4127</v>
      </c>
      <c r="E257" s="139"/>
      <c r="F257" s="462">
        <v>15.722000000000001</v>
      </c>
      <c r="G257" s="458">
        <v>85.088799999999992</v>
      </c>
      <c r="H257" s="155">
        <v>3666.326394778162</v>
      </c>
      <c r="I257" s="155">
        <v>0</v>
      </c>
      <c r="J257" s="155">
        <v>0</v>
      </c>
      <c r="K257" s="155">
        <v>119668.33167185343</v>
      </c>
      <c r="L257" s="155">
        <v>0</v>
      </c>
      <c r="M257" s="155">
        <v>101587.97993578475</v>
      </c>
      <c r="N257" s="155">
        <v>0</v>
      </c>
      <c r="O257" s="155">
        <v>0</v>
      </c>
      <c r="P257" s="155">
        <v>961.81416637677364</v>
      </c>
      <c r="Q257" s="155">
        <v>225884.45216879313</v>
      </c>
    </row>
    <row r="258" spans="1:17" x14ac:dyDescent="0.25">
      <c r="A258" s="143">
        <v>1</v>
      </c>
      <c r="B258" s="163"/>
      <c r="C258" s="139"/>
      <c r="D258" s="140"/>
      <c r="E258" s="139"/>
      <c r="F258" s="462"/>
      <c r="G258" s="148"/>
      <c r="H258" s="155"/>
      <c r="I258" s="155"/>
      <c r="J258" s="155"/>
      <c r="K258" s="155"/>
      <c r="L258" s="155"/>
      <c r="M258" s="155"/>
      <c r="N258" s="155"/>
      <c r="O258" s="155"/>
      <c r="P258" s="155"/>
      <c r="Q258" s="341"/>
    </row>
    <row r="259" spans="1:17" x14ac:dyDescent="0.25">
      <c r="A259" s="143">
        <v>1</v>
      </c>
      <c r="B259" s="163" t="s">
        <v>1641</v>
      </c>
      <c r="C259" s="139"/>
      <c r="D259" s="140">
        <v>4127</v>
      </c>
      <c r="E259" s="139"/>
      <c r="F259" s="462">
        <v>15.4147</v>
      </c>
      <c r="G259" s="458">
        <v>85.088799999999992</v>
      </c>
      <c r="H259" s="155">
        <v>3594.6648948980369</v>
      </c>
      <c r="I259" s="155">
        <v>0</v>
      </c>
      <c r="J259" s="155">
        <v>0</v>
      </c>
      <c r="K259" s="155">
        <v>117329.31129767963</v>
      </c>
      <c r="L259" s="155">
        <v>0</v>
      </c>
      <c r="M259" s="155">
        <v>99602.355572836852</v>
      </c>
      <c r="N259" s="155">
        <v>0</v>
      </c>
      <c r="O259" s="155">
        <v>0</v>
      </c>
      <c r="P259" s="155">
        <v>943.01468200280192</v>
      </c>
      <c r="Q259" s="155">
        <v>221469.34644741731</v>
      </c>
    </row>
    <row r="260" spans="1:17" x14ac:dyDescent="0.25">
      <c r="A260" s="143">
        <v>1</v>
      </c>
      <c r="B260" s="163"/>
      <c r="C260" s="139"/>
      <c r="D260" s="140"/>
      <c r="E260" s="139"/>
      <c r="F260" s="462"/>
      <c r="G260" s="148"/>
      <c r="H260" s="155"/>
      <c r="I260" s="155"/>
      <c r="J260" s="155"/>
      <c r="K260" s="155"/>
      <c r="L260" s="155"/>
      <c r="M260" s="155"/>
      <c r="N260" s="155"/>
      <c r="O260" s="155"/>
      <c r="P260" s="155"/>
      <c r="Q260" s="155"/>
    </row>
    <row r="261" spans="1:17" x14ac:dyDescent="0.25">
      <c r="A261" s="143">
        <v>1</v>
      </c>
      <c r="B261" s="163" t="s">
        <v>1642</v>
      </c>
      <c r="C261" s="139"/>
      <c r="D261" s="140">
        <v>4156</v>
      </c>
      <c r="E261" s="139"/>
      <c r="F261" s="462">
        <v>8.3410000000000011</v>
      </c>
      <c r="G261" s="458">
        <v>29.492999999999999</v>
      </c>
      <c r="H261" s="155">
        <v>3400906.801852983</v>
      </c>
      <c r="I261" s="155">
        <v>0</v>
      </c>
      <c r="J261" s="155">
        <v>0</v>
      </c>
      <c r="K261" s="155">
        <v>639920.67156138748</v>
      </c>
      <c r="L261" s="155">
        <v>1831727.8856674468</v>
      </c>
      <c r="M261" s="155">
        <v>840329.16276201152</v>
      </c>
      <c r="N261" s="155">
        <v>0</v>
      </c>
      <c r="O261" s="155">
        <v>0</v>
      </c>
      <c r="P261" s="155">
        <v>10821.01151764826</v>
      </c>
      <c r="Q261" s="155">
        <v>6723705.5333614768</v>
      </c>
    </row>
    <row r="262" spans="1:17" x14ac:dyDescent="0.25">
      <c r="A262" s="143">
        <v>1</v>
      </c>
      <c r="B262" s="163"/>
      <c r="C262" s="139"/>
      <c r="D262" s="140"/>
      <c r="E262" s="139"/>
      <c r="F262" s="462"/>
      <c r="G262" s="148"/>
      <c r="H262" s="155"/>
      <c r="I262" s="155"/>
      <c r="J262" s="155"/>
      <c r="K262" s="155"/>
      <c r="L262" s="155"/>
      <c r="M262" s="155"/>
      <c r="N262" s="155"/>
      <c r="O262" s="155"/>
      <c r="P262" s="155"/>
      <c r="Q262" s="155"/>
    </row>
    <row r="263" spans="1:17" x14ac:dyDescent="0.25">
      <c r="A263" s="143">
        <v>1</v>
      </c>
      <c r="B263" s="163" t="s">
        <v>1643</v>
      </c>
      <c r="C263" s="139"/>
      <c r="D263" s="140">
        <v>4104</v>
      </c>
      <c r="E263" s="139"/>
      <c r="F263" s="462">
        <v>46.817500000000003</v>
      </c>
      <c r="G263" s="458">
        <v>143.64699999999999</v>
      </c>
      <c r="H263" s="155">
        <v>433784.06096695282</v>
      </c>
      <c r="I263" s="155">
        <v>0</v>
      </c>
      <c r="J263" s="155">
        <v>0</v>
      </c>
      <c r="K263" s="155">
        <v>1895078.2937189781</v>
      </c>
      <c r="L263" s="155">
        <v>57395.630688249679</v>
      </c>
      <c r="M263" s="155">
        <v>1021008.7293881878</v>
      </c>
      <c r="N263" s="155">
        <v>0</v>
      </c>
      <c r="O263" s="155">
        <v>0</v>
      </c>
      <c r="P263" s="155">
        <v>75069.21562146589</v>
      </c>
      <c r="Q263" s="155">
        <v>3482335.9303838341</v>
      </c>
    </row>
    <row r="264" spans="1:17" x14ac:dyDescent="0.25">
      <c r="A264" s="143">
        <v>1</v>
      </c>
      <c r="B264" s="163"/>
      <c r="C264" s="139"/>
      <c r="D264" s="140"/>
      <c r="E264" s="139"/>
      <c r="F264" s="462"/>
      <c r="G264" s="148"/>
      <c r="H264" s="155"/>
      <c r="I264" s="155"/>
      <c r="J264" s="155"/>
      <c r="K264" s="155"/>
      <c r="L264" s="155"/>
      <c r="M264" s="155"/>
      <c r="N264" s="155"/>
      <c r="O264" s="155"/>
      <c r="P264" s="155"/>
      <c r="Q264" s="155"/>
    </row>
    <row r="265" spans="1:17" x14ac:dyDescent="0.25">
      <c r="A265" s="143">
        <v>1</v>
      </c>
      <c r="B265" s="163" t="s">
        <v>1644</v>
      </c>
      <c r="C265" s="139"/>
      <c r="D265" s="140">
        <v>4135</v>
      </c>
      <c r="E265" s="139"/>
      <c r="F265" s="462">
        <v>47.863399999999999</v>
      </c>
      <c r="G265" s="458">
        <v>206.1454</v>
      </c>
      <c r="H265" s="155">
        <v>414168.6635209521</v>
      </c>
      <c r="I265" s="155">
        <v>0</v>
      </c>
      <c r="J265" s="155">
        <v>0</v>
      </c>
      <c r="K265" s="155">
        <v>2135368.5476519396</v>
      </c>
      <c r="L265" s="155">
        <v>558700.340530316</v>
      </c>
      <c r="M265" s="155">
        <v>1552239.43563181</v>
      </c>
      <c r="N265" s="155">
        <v>0</v>
      </c>
      <c r="O265" s="155">
        <v>0</v>
      </c>
      <c r="P265" s="155">
        <v>22702.836098539559</v>
      </c>
      <c r="Q265" s="155">
        <v>4683179.8234335575</v>
      </c>
    </row>
    <row r="266" spans="1:17" x14ac:dyDescent="0.25">
      <c r="A266" s="143">
        <v>1</v>
      </c>
      <c r="B266" s="163"/>
      <c r="C266" s="139"/>
      <c r="D266" s="140"/>
      <c r="E266" s="139"/>
      <c r="F266" s="462"/>
      <c r="G266" s="148"/>
      <c r="H266" s="155"/>
      <c r="I266" s="155"/>
      <c r="J266" s="155"/>
      <c r="K266" s="155"/>
      <c r="L266" s="155"/>
      <c r="M266" s="155"/>
      <c r="N266" s="155"/>
      <c r="O266" s="155"/>
      <c r="P266" s="155"/>
      <c r="Q266" s="155"/>
    </row>
    <row r="267" spans="1:17" x14ac:dyDescent="0.25">
      <c r="A267" s="143">
        <v>1</v>
      </c>
      <c r="B267" s="163" t="s">
        <v>1645</v>
      </c>
      <c r="C267" s="139"/>
      <c r="D267" s="140">
        <v>4135</v>
      </c>
      <c r="E267" s="139"/>
      <c r="F267" s="462">
        <v>47.855899999999998</v>
      </c>
      <c r="G267" s="458">
        <v>206.1454</v>
      </c>
      <c r="H267" s="155">
        <v>414103.76497683686</v>
      </c>
      <c r="I267" s="155">
        <v>0</v>
      </c>
      <c r="J267" s="155">
        <v>0</v>
      </c>
      <c r="K267" s="155">
        <v>2135033.9440903999</v>
      </c>
      <c r="L267" s="155">
        <v>558612.79446058464</v>
      </c>
      <c r="M267" s="155">
        <v>1551996.2060290813</v>
      </c>
      <c r="N267" s="155">
        <v>0</v>
      </c>
      <c r="O267" s="155">
        <v>0</v>
      </c>
      <c r="P267" s="155">
        <v>22699.278656512062</v>
      </c>
      <c r="Q267" s="155">
        <v>4682445.9882134143</v>
      </c>
    </row>
    <row r="268" spans="1:17" x14ac:dyDescent="0.25">
      <c r="A268" s="143">
        <v>1</v>
      </c>
      <c r="B268" s="163"/>
      <c r="C268" s="147"/>
      <c r="D268" s="140"/>
      <c r="E268" s="139"/>
      <c r="F268" s="462"/>
      <c r="G268" s="148"/>
      <c r="H268" s="155"/>
      <c r="I268" s="155"/>
      <c r="J268" s="155"/>
      <c r="K268" s="155"/>
      <c r="L268" s="155"/>
      <c r="M268" s="155"/>
      <c r="N268" s="155"/>
      <c r="O268" s="155"/>
      <c r="P268" s="155"/>
      <c r="Q268" s="155"/>
    </row>
    <row r="269" spans="1:17" x14ac:dyDescent="0.25">
      <c r="A269" s="143">
        <v>1</v>
      </c>
      <c r="B269" s="163" t="s">
        <v>1646</v>
      </c>
      <c r="C269" s="139"/>
      <c r="D269" s="140">
        <v>4116</v>
      </c>
      <c r="E269" s="139"/>
      <c r="F269" s="462">
        <v>11.887400000000001</v>
      </c>
      <c r="G269" s="458">
        <v>90.452699999999993</v>
      </c>
      <c r="H269" s="155">
        <v>467486.08925661858</v>
      </c>
      <c r="I269" s="155">
        <v>22747.361624150897</v>
      </c>
      <c r="J269" s="155">
        <v>268.54602531800674</v>
      </c>
      <c r="K269" s="155">
        <v>422732.03757409129</v>
      </c>
      <c r="L269" s="155">
        <v>1331891.3782241109</v>
      </c>
      <c r="M269" s="155">
        <v>890816.00822648755</v>
      </c>
      <c r="N269" s="155">
        <v>0</v>
      </c>
      <c r="O269" s="155">
        <v>0</v>
      </c>
      <c r="P269" s="155">
        <v>1763.2335729328611</v>
      </c>
      <c r="Q269" s="155">
        <v>3137704.6545037106</v>
      </c>
    </row>
    <row r="270" spans="1:17" x14ac:dyDescent="0.25">
      <c r="A270" s="143">
        <v>1</v>
      </c>
      <c r="B270" s="163"/>
      <c r="C270" s="139"/>
      <c r="D270" s="140"/>
      <c r="E270" s="139"/>
      <c r="F270" s="462"/>
      <c r="G270" s="148"/>
      <c r="H270" s="155"/>
      <c r="I270" s="155"/>
      <c r="J270" s="155"/>
      <c r="K270" s="155"/>
      <c r="L270" s="155"/>
      <c r="M270" s="155"/>
      <c r="N270" s="155"/>
      <c r="O270" s="155"/>
      <c r="P270" s="155"/>
      <c r="Q270" s="155"/>
    </row>
    <row r="271" spans="1:17" x14ac:dyDescent="0.25">
      <c r="A271" s="143">
        <v>1</v>
      </c>
      <c r="B271" s="163" t="s">
        <v>1647</v>
      </c>
      <c r="C271" s="139"/>
      <c r="D271" s="140">
        <v>4114</v>
      </c>
      <c r="E271" s="139"/>
      <c r="F271" s="462">
        <v>7.0994999999999999</v>
      </c>
      <c r="G271" s="458">
        <v>129.55309999999997</v>
      </c>
      <c r="H271" s="155">
        <v>175939.89864171529</v>
      </c>
      <c r="I271" s="155">
        <v>29565.051507875927</v>
      </c>
      <c r="J271" s="155">
        <v>36232.710572846205</v>
      </c>
      <c r="K271" s="155">
        <v>741584.55144786218</v>
      </c>
      <c r="L271" s="155">
        <v>8106.0244472729746</v>
      </c>
      <c r="M271" s="155">
        <v>530577.57935514476</v>
      </c>
      <c r="N271" s="155">
        <v>0</v>
      </c>
      <c r="O271" s="155">
        <v>0</v>
      </c>
      <c r="P271" s="155">
        <v>16668.55198725465</v>
      </c>
      <c r="Q271" s="155">
        <v>1538674.3679599722</v>
      </c>
    </row>
    <row r="272" spans="1:17" x14ac:dyDescent="0.25">
      <c r="A272" s="143">
        <v>1</v>
      </c>
      <c r="B272" s="163" t="s">
        <v>1647</v>
      </c>
      <c r="C272" s="139"/>
      <c r="D272" s="140">
        <v>4116</v>
      </c>
      <c r="E272" s="139"/>
      <c r="F272" s="463">
        <v>9.7577999999999996</v>
      </c>
      <c r="G272" s="459">
        <v>90.452699999999993</v>
      </c>
      <c r="H272" s="337">
        <v>383737.04609487636</v>
      </c>
      <c r="I272" s="337">
        <v>18672.224814184734</v>
      </c>
      <c r="J272" s="337">
        <v>220.43663087370209</v>
      </c>
      <c r="K272" s="337">
        <v>347000.57844780758</v>
      </c>
      <c r="L272" s="337">
        <v>1093286.1425067908</v>
      </c>
      <c r="M272" s="337">
        <v>731228.39688009315</v>
      </c>
      <c r="N272" s="337">
        <v>0</v>
      </c>
      <c r="O272" s="337">
        <v>0</v>
      </c>
      <c r="P272" s="337">
        <v>1447.3543885092004</v>
      </c>
      <c r="Q272" s="337">
        <v>2575592.1797631355</v>
      </c>
    </row>
    <row r="273" spans="1:17" x14ac:dyDescent="0.25">
      <c r="A273" s="143">
        <v>1</v>
      </c>
      <c r="B273" s="163"/>
      <c r="C273" s="139" t="s">
        <v>1648</v>
      </c>
      <c r="D273" s="140"/>
      <c r="E273" s="139"/>
      <c r="F273" s="462">
        <v>16.857299999999999</v>
      </c>
      <c r="G273" s="157">
        <v>220.00579999999997</v>
      </c>
      <c r="H273" s="155">
        <v>559676.94473659166</v>
      </c>
      <c r="I273" s="155">
        <v>48237.276322060658</v>
      </c>
      <c r="J273" s="155">
        <v>36453.147203719906</v>
      </c>
      <c r="K273" s="155">
        <v>1088585.1298956699</v>
      </c>
      <c r="L273" s="155">
        <v>1101392.1669540638</v>
      </c>
      <c r="M273" s="155">
        <v>1261805.9762352379</v>
      </c>
      <c r="N273" s="155">
        <v>0</v>
      </c>
      <c r="O273" s="155">
        <v>0</v>
      </c>
      <c r="P273" s="155">
        <v>18115.906375763851</v>
      </c>
      <c r="Q273" s="155">
        <v>4114266.547723108</v>
      </c>
    </row>
    <row r="274" spans="1:17" x14ac:dyDescent="0.25">
      <c r="A274" s="143">
        <v>1</v>
      </c>
      <c r="B274" s="163"/>
      <c r="C274" s="139"/>
      <c r="D274" s="140"/>
      <c r="E274" s="139"/>
      <c r="F274" s="462"/>
      <c r="G274" s="148"/>
      <c r="H274" s="155"/>
      <c r="I274" s="155"/>
      <c r="J274" s="155"/>
      <c r="K274" s="155"/>
      <c r="L274" s="155"/>
      <c r="M274" s="155"/>
      <c r="N274" s="155"/>
      <c r="O274" s="155"/>
      <c r="P274" s="155"/>
      <c r="Q274" s="155"/>
    </row>
    <row r="275" spans="1:17" x14ac:dyDescent="0.25">
      <c r="A275" s="143">
        <v>1</v>
      </c>
      <c r="B275" s="163" t="s">
        <v>1649</v>
      </c>
      <c r="C275" s="139"/>
      <c r="D275" s="140">
        <v>4116</v>
      </c>
      <c r="E275" s="139"/>
      <c r="F275" s="462">
        <v>4.5289999999999999</v>
      </c>
      <c r="G275" s="458">
        <v>90.452699999999993</v>
      </c>
      <c r="H275" s="155">
        <v>178108.290984002</v>
      </c>
      <c r="I275" s="155">
        <v>8666.5545700304028</v>
      </c>
      <c r="J275" s="155">
        <v>102.31379011939133</v>
      </c>
      <c r="K275" s="155">
        <v>161057.37151715762</v>
      </c>
      <c r="L275" s="155">
        <v>507439.47810093011</v>
      </c>
      <c r="M275" s="155">
        <v>339393.4503135893</v>
      </c>
      <c r="N275" s="155">
        <v>0</v>
      </c>
      <c r="O275" s="155">
        <v>0</v>
      </c>
      <c r="P275" s="155">
        <v>671.77724749002527</v>
      </c>
      <c r="Q275" s="155">
        <v>1195439.2365233188</v>
      </c>
    </row>
    <row r="276" spans="1:17" x14ac:dyDescent="0.25">
      <c r="A276" s="143">
        <v>1</v>
      </c>
      <c r="B276" s="163"/>
      <c r="C276" s="139"/>
      <c r="D276" s="140"/>
      <c r="E276" s="139"/>
      <c r="F276" s="462"/>
      <c r="G276" s="148"/>
      <c r="H276" s="155"/>
      <c r="I276" s="155"/>
      <c r="J276" s="155"/>
      <c r="K276" s="155"/>
      <c r="L276" s="155"/>
      <c r="M276" s="155"/>
      <c r="N276" s="155"/>
      <c r="O276" s="155"/>
      <c r="P276" s="155"/>
      <c r="Q276" s="155"/>
    </row>
    <row r="277" spans="1:17" x14ac:dyDescent="0.25">
      <c r="A277" s="143">
        <v>1</v>
      </c>
      <c r="B277" s="163" t="s">
        <v>1650</v>
      </c>
      <c r="C277" s="139"/>
      <c r="D277" s="140">
        <v>4116</v>
      </c>
      <c r="E277" s="139"/>
      <c r="F277" s="462">
        <v>4.5295000000000005</v>
      </c>
      <c r="G277" s="458">
        <v>90.452699999999993</v>
      </c>
      <c r="H277" s="155">
        <v>178127.95407640477</v>
      </c>
      <c r="I277" s="155">
        <v>8667.5113545932236</v>
      </c>
      <c r="J277" s="155">
        <v>102.32508552567521</v>
      </c>
      <c r="K277" s="155">
        <v>161075.15219407497</v>
      </c>
      <c r="L277" s="155">
        <v>507495.49924004491</v>
      </c>
      <c r="M277" s="155">
        <v>339430.91923060344</v>
      </c>
      <c r="N277" s="155">
        <v>0</v>
      </c>
      <c r="O277" s="155">
        <v>0</v>
      </c>
      <c r="P277" s="155">
        <v>671.85141146082344</v>
      </c>
      <c r="Q277" s="155">
        <v>1195571.2125927077</v>
      </c>
    </row>
    <row r="278" spans="1:17" x14ac:dyDescent="0.25">
      <c r="A278" s="143">
        <v>1</v>
      </c>
      <c r="B278" s="163"/>
      <c r="C278" s="139"/>
      <c r="D278" s="140"/>
      <c r="E278" s="139"/>
      <c r="F278" s="462"/>
      <c r="G278" s="148"/>
      <c r="H278" s="155"/>
      <c r="I278" s="155"/>
      <c r="J278" s="155"/>
      <c r="K278" s="155"/>
      <c r="L278" s="155"/>
      <c r="M278" s="155"/>
      <c r="N278" s="155"/>
      <c r="O278" s="155"/>
      <c r="P278" s="155"/>
      <c r="Q278" s="155"/>
    </row>
    <row r="279" spans="1:17" x14ac:dyDescent="0.25">
      <c r="A279" s="143">
        <v>1</v>
      </c>
      <c r="B279" s="163" t="s">
        <v>1651</v>
      </c>
      <c r="C279" s="139"/>
      <c r="D279" s="140">
        <v>4114</v>
      </c>
      <c r="E279" s="139"/>
      <c r="F279" s="462">
        <v>16.043600000000001</v>
      </c>
      <c r="G279" s="458">
        <v>129.55309999999997</v>
      </c>
      <c r="H279" s="155">
        <v>397592.69777424098</v>
      </c>
      <c r="I279" s="155">
        <v>66811.727638813754</v>
      </c>
      <c r="J279" s="155">
        <v>81879.444375873703</v>
      </c>
      <c r="K279" s="155">
        <v>1675848.4272989538</v>
      </c>
      <c r="L279" s="155">
        <v>18318.165197868682</v>
      </c>
      <c r="M279" s="155">
        <v>1199010.4165282347</v>
      </c>
      <c r="N279" s="155">
        <v>0</v>
      </c>
      <c r="O279" s="155">
        <v>0</v>
      </c>
      <c r="P279" s="155">
        <v>37667.945723321187</v>
      </c>
      <c r="Q279" s="155">
        <v>3477128.824537307</v>
      </c>
    </row>
    <row r="280" spans="1:17" x14ac:dyDescent="0.25">
      <c r="A280" s="143">
        <v>1</v>
      </c>
      <c r="B280" s="163"/>
      <c r="C280" s="139"/>
      <c r="D280" s="140"/>
      <c r="E280" s="139"/>
      <c r="F280" s="462"/>
      <c r="G280" s="148"/>
      <c r="H280" s="155"/>
      <c r="I280" s="155"/>
      <c r="J280" s="155"/>
      <c r="K280" s="155"/>
      <c r="L280" s="155"/>
      <c r="M280" s="155"/>
      <c r="N280" s="155"/>
      <c r="O280" s="155"/>
      <c r="P280" s="155"/>
      <c r="Q280" s="155"/>
    </row>
    <row r="281" spans="1:17" x14ac:dyDescent="0.25">
      <c r="A281" s="143">
        <v>1</v>
      </c>
      <c r="B281" s="163" t="s">
        <v>1652</v>
      </c>
      <c r="C281" s="139"/>
      <c r="D281" s="140">
        <v>4114</v>
      </c>
      <c r="E281" s="139"/>
      <c r="F281" s="462">
        <v>2.4922000000000004</v>
      </c>
      <c r="G281" s="458">
        <v>129.55309999999997</v>
      </c>
      <c r="H281" s="155">
        <v>61761.731867720679</v>
      </c>
      <c r="I281" s="155">
        <v>10378.480367339727</v>
      </c>
      <c r="J281" s="155">
        <v>12719.087441319432</v>
      </c>
      <c r="K281" s="155">
        <v>260324.95515435768</v>
      </c>
      <c r="L281" s="155">
        <v>2845.529139727264</v>
      </c>
      <c r="M281" s="155">
        <v>186253.31970827412</v>
      </c>
      <c r="N281" s="155">
        <v>0</v>
      </c>
      <c r="O281" s="155">
        <v>0</v>
      </c>
      <c r="P281" s="155">
        <v>5851.3085798487282</v>
      </c>
      <c r="Q281" s="155">
        <v>540134.41225858754</v>
      </c>
    </row>
    <row r="282" spans="1:17" x14ac:dyDescent="0.25">
      <c r="A282" s="143">
        <v>1</v>
      </c>
      <c r="B282" s="163"/>
      <c r="C282" s="139"/>
      <c r="D282" s="140"/>
      <c r="E282" s="139"/>
      <c r="F282" s="462"/>
      <c r="G282" s="148"/>
      <c r="H282" s="155"/>
      <c r="I282" s="155"/>
      <c r="J282" s="155"/>
      <c r="K282" s="155"/>
      <c r="L282" s="155"/>
      <c r="M282" s="155"/>
      <c r="N282" s="155"/>
      <c r="O282" s="155"/>
      <c r="P282" s="155"/>
      <c r="Q282" s="155"/>
    </row>
    <row r="283" spans="1:17" x14ac:dyDescent="0.25">
      <c r="A283" s="143">
        <v>1</v>
      </c>
      <c r="B283" s="163" t="s">
        <v>1653</v>
      </c>
      <c r="C283" s="139"/>
      <c r="D283" s="140">
        <v>4118</v>
      </c>
      <c r="E283" s="139"/>
      <c r="F283" s="462">
        <v>7.3176000000000005</v>
      </c>
      <c r="G283" s="458">
        <v>155.75350000000003</v>
      </c>
      <c r="H283" s="155">
        <v>259221.93610416222</v>
      </c>
      <c r="I283" s="155">
        <v>6160.9243452033506</v>
      </c>
      <c r="J283" s="155">
        <v>103.56296253616742</v>
      </c>
      <c r="K283" s="155">
        <v>820473.4090180241</v>
      </c>
      <c r="L283" s="155">
        <v>11238.979634054383</v>
      </c>
      <c r="M283" s="155">
        <v>664352.25995125051</v>
      </c>
      <c r="N283" s="155">
        <v>0</v>
      </c>
      <c r="O283" s="155">
        <v>0</v>
      </c>
      <c r="P283" s="155">
        <v>8650.6154521838234</v>
      </c>
      <c r="Q283" s="155">
        <v>1770201.6874674149</v>
      </c>
    </row>
    <row r="284" spans="1:17" x14ac:dyDescent="0.25">
      <c r="A284" s="143">
        <v>1</v>
      </c>
      <c r="B284" s="163"/>
      <c r="C284" s="139"/>
      <c r="D284" s="140"/>
      <c r="E284" s="139"/>
      <c r="F284" s="462"/>
      <c r="G284" s="148"/>
      <c r="H284" s="155"/>
      <c r="I284" s="155"/>
      <c r="J284" s="155"/>
      <c r="K284" s="155"/>
      <c r="L284" s="155"/>
      <c r="M284" s="155"/>
      <c r="N284" s="155"/>
      <c r="O284" s="155"/>
      <c r="P284" s="155"/>
      <c r="Q284" s="155"/>
    </row>
    <row r="285" spans="1:17" x14ac:dyDescent="0.25">
      <c r="A285" s="143">
        <v>1</v>
      </c>
      <c r="B285" s="163" t="s">
        <v>1654</v>
      </c>
      <c r="C285" s="139"/>
      <c r="D285" s="140">
        <v>4118</v>
      </c>
      <c r="E285" s="139"/>
      <c r="F285" s="462">
        <v>7.2975000000000003</v>
      </c>
      <c r="G285" s="458">
        <v>155.75350000000003</v>
      </c>
      <c r="H285" s="155">
        <v>258509.90471194428</v>
      </c>
      <c r="I285" s="155">
        <v>6144.0015044716101</v>
      </c>
      <c r="J285" s="155">
        <v>103.27849555970288</v>
      </c>
      <c r="K285" s="155">
        <v>818219.73082828126</v>
      </c>
      <c r="L285" s="155">
        <v>11208.108379729947</v>
      </c>
      <c r="M285" s="155">
        <v>662527.41568195191</v>
      </c>
      <c r="N285" s="155">
        <v>0</v>
      </c>
      <c r="O285" s="155">
        <v>0</v>
      </c>
      <c r="P285" s="155">
        <v>8626.8539223668213</v>
      </c>
      <c r="Q285" s="155">
        <v>1765339.2935243056</v>
      </c>
    </row>
    <row r="286" spans="1:17" x14ac:dyDescent="0.25">
      <c r="A286" s="143">
        <v>1</v>
      </c>
      <c r="B286" s="163"/>
      <c r="C286" s="139"/>
      <c r="D286" s="140"/>
      <c r="E286" s="139"/>
      <c r="F286" s="462"/>
      <c r="G286" s="148"/>
      <c r="H286" s="155"/>
      <c r="I286" s="155"/>
      <c r="J286" s="155"/>
      <c r="K286" s="155"/>
      <c r="L286" s="155"/>
      <c r="M286" s="155"/>
      <c r="N286" s="155"/>
      <c r="O286" s="155"/>
      <c r="P286" s="155"/>
      <c r="Q286" s="155"/>
    </row>
    <row r="287" spans="1:17" x14ac:dyDescent="0.25">
      <c r="A287" s="143">
        <v>1</v>
      </c>
      <c r="B287" s="163" t="s">
        <v>1655</v>
      </c>
      <c r="C287" s="139"/>
      <c r="D287" s="140">
        <v>4118</v>
      </c>
      <c r="E287" s="139"/>
      <c r="F287" s="462">
        <v>4.0153999999999996</v>
      </c>
      <c r="G287" s="458">
        <v>155.75350000000003</v>
      </c>
      <c r="H287" s="155">
        <v>142243.32598565824</v>
      </c>
      <c r="I287" s="155">
        <v>3380.6952574245015</v>
      </c>
      <c r="J287" s="155">
        <v>56.828293397797985</v>
      </c>
      <c r="K287" s="155">
        <v>450219.87080066872</v>
      </c>
      <c r="L287" s="155">
        <v>6167.1858017084796</v>
      </c>
      <c r="M287" s="155">
        <v>364551.22780805879</v>
      </c>
      <c r="N287" s="155">
        <v>0</v>
      </c>
      <c r="O287" s="155">
        <v>0</v>
      </c>
      <c r="P287" s="155">
        <v>4746.8680013527546</v>
      </c>
      <c r="Q287" s="155">
        <v>971366.00194826932</v>
      </c>
    </row>
    <row r="288" spans="1:17" x14ac:dyDescent="0.25">
      <c r="A288" s="143">
        <v>1</v>
      </c>
      <c r="B288" s="163"/>
      <c r="C288" s="139"/>
      <c r="D288" s="140"/>
      <c r="E288" s="139"/>
      <c r="F288" s="462"/>
      <c r="G288" s="148"/>
      <c r="H288" s="155"/>
      <c r="I288" s="155"/>
      <c r="J288" s="155"/>
      <c r="K288" s="155"/>
      <c r="L288" s="155"/>
      <c r="M288" s="155"/>
      <c r="N288" s="155"/>
      <c r="O288" s="155"/>
      <c r="P288" s="155"/>
      <c r="Q288" s="155"/>
    </row>
    <row r="289" spans="1:17" x14ac:dyDescent="0.25">
      <c r="A289" s="143">
        <v>1</v>
      </c>
      <c r="B289" s="163" t="s">
        <v>1656</v>
      </c>
      <c r="C289" s="139"/>
      <c r="D289" s="140">
        <v>4115</v>
      </c>
      <c r="E289" s="139"/>
      <c r="F289" s="462">
        <v>9.4371000000000009</v>
      </c>
      <c r="G289" s="458">
        <v>27.066800000000001</v>
      </c>
      <c r="H289" s="155">
        <v>560304.41395340429</v>
      </c>
      <c r="I289" s="155">
        <v>185359.5938268654</v>
      </c>
      <c r="J289" s="155">
        <v>749.15793621706291</v>
      </c>
      <c r="K289" s="155">
        <v>1254873.1434904386</v>
      </c>
      <c r="L289" s="155">
        <v>137583.19597536468</v>
      </c>
      <c r="M289" s="155">
        <v>730875.2093569244</v>
      </c>
      <c r="N289" s="155">
        <v>0</v>
      </c>
      <c r="O289" s="155">
        <v>0</v>
      </c>
      <c r="P289" s="155">
        <v>9559.235462263734</v>
      </c>
      <c r="Q289" s="155">
        <v>2879303.9500014782</v>
      </c>
    </row>
    <row r="290" spans="1:17" x14ac:dyDescent="0.25">
      <c r="A290" s="143">
        <v>1</v>
      </c>
      <c r="B290" s="163"/>
      <c r="C290" s="139"/>
      <c r="D290" s="140"/>
      <c r="E290" s="139"/>
      <c r="F290" s="462"/>
      <c r="G290" s="148"/>
      <c r="H290" s="155"/>
      <c r="I290" s="155"/>
      <c r="J290" s="155"/>
      <c r="K290" s="155"/>
      <c r="L290" s="155"/>
      <c r="M290" s="155"/>
      <c r="N290" s="155"/>
      <c r="O290" s="155"/>
      <c r="P290" s="155"/>
      <c r="Q290" s="155"/>
    </row>
    <row r="291" spans="1:17" x14ac:dyDescent="0.25">
      <c r="A291" s="143">
        <v>1</v>
      </c>
      <c r="B291" s="163" t="s">
        <v>1657</v>
      </c>
      <c r="C291" s="139"/>
      <c r="D291" s="140">
        <v>4114</v>
      </c>
      <c r="E291" s="139"/>
      <c r="F291" s="462">
        <v>12.178700000000001</v>
      </c>
      <c r="G291" s="458">
        <v>129.55309999999997</v>
      </c>
      <c r="H291" s="155">
        <v>301812.69717414718</v>
      </c>
      <c r="I291" s="155">
        <v>50716.795943231016</v>
      </c>
      <c r="J291" s="155">
        <v>62154.702761253895</v>
      </c>
      <c r="K291" s="155">
        <v>1272136.8795997014</v>
      </c>
      <c r="L291" s="155">
        <v>13905.322901049845</v>
      </c>
      <c r="M291" s="155">
        <v>910169.04932636139</v>
      </c>
      <c r="N291" s="155">
        <v>0</v>
      </c>
      <c r="O291" s="155">
        <v>0</v>
      </c>
      <c r="P291" s="155">
        <v>28593.745205602962</v>
      </c>
      <c r="Q291" s="155">
        <v>2639489.1929113478</v>
      </c>
    </row>
    <row r="292" spans="1:17" x14ac:dyDescent="0.25">
      <c r="A292" s="143">
        <v>1</v>
      </c>
      <c r="B292" s="163"/>
      <c r="C292" s="139"/>
      <c r="D292" s="140"/>
      <c r="E292" s="139"/>
      <c r="F292" s="462"/>
      <c r="G292" s="148"/>
      <c r="H292" s="155"/>
      <c r="I292" s="155"/>
      <c r="J292" s="155"/>
      <c r="K292" s="155"/>
      <c r="L292" s="155"/>
      <c r="M292" s="155"/>
      <c r="N292" s="155"/>
      <c r="O292" s="155"/>
      <c r="P292" s="155"/>
      <c r="Q292" s="155"/>
    </row>
    <row r="293" spans="1:17" x14ac:dyDescent="0.25">
      <c r="A293" s="143">
        <v>1</v>
      </c>
      <c r="B293" s="163" t="s">
        <v>1658</v>
      </c>
      <c r="C293" s="139"/>
      <c r="D293" s="140">
        <v>4116</v>
      </c>
      <c r="E293" s="139"/>
      <c r="F293" s="462">
        <v>14.2136</v>
      </c>
      <c r="G293" s="458">
        <v>90.452699999999993</v>
      </c>
      <c r="H293" s="155">
        <v>558966.66035111737</v>
      </c>
      <c r="I293" s="155">
        <v>27198.706124218177</v>
      </c>
      <c r="J293" s="155">
        <v>321.09677351313326</v>
      </c>
      <c r="K293" s="155">
        <v>505454.85886426835</v>
      </c>
      <c r="L293" s="155">
        <v>1592524.1258413293</v>
      </c>
      <c r="M293" s="155">
        <v>1065136.3977428204</v>
      </c>
      <c r="N293" s="155">
        <v>0</v>
      </c>
      <c r="O293" s="155">
        <v>0</v>
      </c>
      <c r="P293" s="155">
        <v>2108.2740306743704</v>
      </c>
      <c r="Q293" s="155">
        <v>3751710.1197279408</v>
      </c>
    </row>
    <row r="294" spans="1:17" x14ac:dyDescent="0.25">
      <c r="A294" s="143">
        <v>1</v>
      </c>
      <c r="B294" s="163"/>
      <c r="C294" s="139"/>
      <c r="D294" s="140"/>
      <c r="E294" s="139"/>
      <c r="F294" s="462"/>
      <c r="G294" s="148"/>
      <c r="H294" s="155"/>
      <c r="I294" s="155"/>
      <c r="J294" s="155"/>
      <c r="K294" s="155"/>
      <c r="L294" s="155"/>
      <c r="M294" s="155"/>
      <c r="N294" s="155"/>
      <c r="O294" s="155"/>
      <c r="P294" s="155"/>
      <c r="Q294" s="155"/>
    </row>
    <row r="295" spans="1:17" x14ac:dyDescent="0.25">
      <c r="A295" s="143">
        <v>1</v>
      </c>
      <c r="B295" s="163" t="s">
        <v>1659</v>
      </c>
      <c r="C295" s="139"/>
      <c r="D295" s="140">
        <v>4117</v>
      </c>
      <c r="E295" s="139"/>
      <c r="F295" s="462">
        <v>65.66</v>
      </c>
      <c r="G295" s="458">
        <v>305.18490000000003</v>
      </c>
      <c r="H295" s="155">
        <v>216333.47663793323</v>
      </c>
      <c r="I295" s="155">
        <v>1524.1016629590781</v>
      </c>
      <c r="J295" s="155">
        <v>2766.2020480043407</v>
      </c>
      <c r="K295" s="155">
        <v>3298866.314924493</v>
      </c>
      <c r="L295" s="155">
        <v>149202.15299446334</v>
      </c>
      <c r="M295" s="155">
        <v>4264056.6044047382</v>
      </c>
      <c r="N295" s="155">
        <v>0</v>
      </c>
      <c r="O295" s="155">
        <v>0</v>
      </c>
      <c r="P295" s="155">
        <v>32522.198142830788</v>
      </c>
      <c r="Q295" s="155">
        <v>7965271.0508154221</v>
      </c>
    </row>
    <row r="296" spans="1:17" x14ac:dyDescent="0.25">
      <c r="A296" s="143">
        <v>1</v>
      </c>
      <c r="B296" s="163"/>
      <c r="C296" s="139"/>
      <c r="D296" s="140"/>
      <c r="E296" s="139"/>
      <c r="F296" s="462"/>
      <c r="G296" s="148"/>
      <c r="H296" s="155"/>
      <c r="I296" s="155"/>
      <c r="J296" s="155"/>
      <c r="K296" s="155"/>
      <c r="L296" s="155"/>
      <c r="M296" s="155"/>
      <c r="N296" s="155"/>
      <c r="O296" s="155"/>
      <c r="P296" s="155"/>
      <c r="Q296" s="155"/>
    </row>
    <row r="297" spans="1:17" x14ac:dyDescent="0.25">
      <c r="A297" s="143">
        <v>1</v>
      </c>
      <c r="B297" s="163" t="s">
        <v>1660</v>
      </c>
      <c r="C297" s="139"/>
      <c r="D297" s="140">
        <v>4117</v>
      </c>
      <c r="E297" s="139"/>
      <c r="F297" s="462">
        <v>65.129599999999996</v>
      </c>
      <c r="G297" s="458">
        <v>305.18490000000003</v>
      </c>
      <c r="H297" s="155">
        <v>214585.93968988632</v>
      </c>
      <c r="I297" s="155">
        <v>1511.7900040794939</v>
      </c>
      <c r="J297" s="155">
        <v>2743.8567302117499</v>
      </c>
      <c r="K297" s="155">
        <v>3272218.1471901657</v>
      </c>
      <c r="L297" s="155">
        <v>147996.90136564421</v>
      </c>
      <c r="M297" s="155">
        <v>4229611.651267725</v>
      </c>
      <c r="N297" s="155">
        <v>0</v>
      </c>
      <c r="O297" s="155">
        <v>0</v>
      </c>
      <c r="P297" s="155">
        <v>32259.484559295037</v>
      </c>
      <c r="Q297" s="155">
        <v>7900927.7708070073</v>
      </c>
    </row>
    <row r="298" spans="1:17" x14ac:dyDescent="0.25">
      <c r="A298" s="143">
        <v>1</v>
      </c>
      <c r="B298" s="163"/>
      <c r="C298" s="139"/>
      <c r="D298" s="140"/>
      <c r="E298" s="139"/>
      <c r="F298" s="478"/>
      <c r="G298" s="148"/>
      <c r="H298" s="155"/>
      <c r="I298" s="155"/>
      <c r="J298" s="155"/>
      <c r="K298" s="155"/>
      <c r="L298" s="155"/>
      <c r="M298" s="155"/>
      <c r="N298" s="155"/>
      <c r="O298" s="155"/>
      <c r="P298" s="155"/>
      <c r="Q298" s="155"/>
    </row>
    <row r="299" spans="1:17" x14ac:dyDescent="0.25">
      <c r="A299" s="143">
        <v>1</v>
      </c>
      <c r="B299" s="163" t="s">
        <v>1661</v>
      </c>
      <c r="C299" s="139"/>
      <c r="D299" s="140">
        <v>4135</v>
      </c>
      <c r="E299" s="139"/>
      <c r="F299" s="462">
        <v>10.844099999999999</v>
      </c>
      <c r="G299" s="458">
        <v>206.1454</v>
      </c>
      <c r="H299" s="155">
        <v>93835.506965396446</v>
      </c>
      <c r="I299" s="155">
        <v>0</v>
      </c>
      <c r="J299" s="155">
        <v>0</v>
      </c>
      <c r="K299" s="155">
        <v>483796.59755872755</v>
      </c>
      <c r="L299" s="155">
        <v>126581.11130310006</v>
      </c>
      <c r="M299" s="155">
        <v>351680.81799318286</v>
      </c>
      <c r="N299" s="155">
        <v>0</v>
      </c>
      <c r="O299" s="155">
        <v>0</v>
      </c>
      <c r="P299" s="155">
        <v>5143.6342787217964</v>
      </c>
      <c r="Q299" s="155">
        <v>1061037.6680991286</v>
      </c>
    </row>
    <row r="300" spans="1:17" x14ac:dyDescent="0.25">
      <c r="A300" s="143">
        <v>1</v>
      </c>
      <c r="B300" s="163"/>
      <c r="C300" s="139"/>
      <c r="D300" s="140"/>
      <c r="E300" s="139"/>
      <c r="F300" s="462"/>
      <c r="G300" s="148"/>
      <c r="H300" s="155"/>
      <c r="I300" s="155"/>
      <c r="J300" s="155"/>
      <c r="K300" s="155"/>
      <c r="L300" s="155"/>
      <c r="M300" s="155"/>
      <c r="N300" s="155"/>
      <c r="O300" s="155"/>
      <c r="P300" s="155"/>
      <c r="Q300" s="155"/>
    </row>
    <row r="301" spans="1:17" x14ac:dyDescent="0.25">
      <c r="A301" s="143">
        <v>1</v>
      </c>
      <c r="B301" s="163" t="s">
        <v>1662</v>
      </c>
      <c r="C301" s="139"/>
      <c r="D301" s="140">
        <v>4135</v>
      </c>
      <c r="E301" s="139"/>
      <c r="F301" s="462">
        <v>10.855</v>
      </c>
      <c r="G301" s="458">
        <v>206.1454</v>
      </c>
      <c r="H301" s="155">
        <v>93929.826182844001</v>
      </c>
      <c r="I301" s="155">
        <v>0</v>
      </c>
      <c r="J301" s="155">
        <v>0</v>
      </c>
      <c r="K301" s="155">
        <v>484282.88806816499</v>
      </c>
      <c r="L301" s="155">
        <v>126708.34492444288</v>
      </c>
      <c r="M301" s="155">
        <v>352034.31168248178</v>
      </c>
      <c r="N301" s="155">
        <v>0</v>
      </c>
      <c r="O301" s="155">
        <v>0</v>
      </c>
      <c r="P301" s="155">
        <v>5148.8044278017633</v>
      </c>
      <c r="Q301" s="155">
        <v>1062104.1752857356</v>
      </c>
    </row>
    <row r="302" spans="1:17" x14ac:dyDescent="0.25">
      <c r="A302" s="143">
        <v>1</v>
      </c>
      <c r="B302" s="163"/>
      <c r="C302" s="139"/>
      <c r="D302" s="140"/>
      <c r="E302" s="139"/>
      <c r="F302" s="462"/>
      <c r="G302" s="148"/>
      <c r="H302" s="155"/>
      <c r="I302" s="155"/>
      <c r="J302" s="155"/>
      <c r="K302" s="155"/>
      <c r="L302" s="155"/>
      <c r="M302" s="155"/>
      <c r="N302" s="155"/>
      <c r="O302" s="155"/>
      <c r="P302" s="155"/>
      <c r="Q302" s="155"/>
    </row>
    <row r="303" spans="1:17" x14ac:dyDescent="0.25">
      <c r="A303" s="143">
        <v>1</v>
      </c>
      <c r="B303" s="163" t="s">
        <v>1663</v>
      </c>
      <c r="C303" s="139"/>
      <c r="D303" s="140">
        <v>4101</v>
      </c>
      <c r="E303" s="139"/>
      <c r="F303" s="462">
        <v>29.859100000000002</v>
      </c>
      <c r="G303" s="458">
        <v>354.28050000000002</v>
      </c>
      <c r="H303" s="155">
        <v>122944.50975994726</v>
      </c>
      <c r="I303" s="155">
        <v>23445.39072228079</v>
      </c>
      <c r="J303" s="155">
        <v>8299.5496565263966</v>
      </c>
      <c r="K303" s="155">
        <v>1879473.8550667085</v>
      </c>
      <c r="L303" s="155">
        <v>116480.82861651148</v>
      </c>
      <c r="M303" s="155">
        <v>2565786.5494265701</v>
      </c>
      <c r="N303" s="155">
        <v>0</v>
      </c>
      <c r="O303" s="155">
        <v>0</v>
      </c>
      <c r="P303" s="155">
        <v>98380.207565465767</v>
      </c>
      <c r="Q303" s="155">
        <v>4814810.8908140101</v>
      </c>
    </row>
    <row r="304" spans="1:17" x14ac:dyDescent="0.25">
      <c r="A304" s="143">
        <v>1</v>
      </c>
      <c r="B304" s="163"/>
      <c r="C304" s="139"/>
      <c r="D304" s="140"/>
      <c r="E304" s="139"/>
      <c r="F304" s="462"/>
      <c r="G304" s="148"/>
      <c r="H304" s="155"/>
      <c r="I304" s="155"/>
      <c r="J304" s="155"/>
      <c r="K304" s="155"/>
      <c r="L304" s="155"/>
      <c r="M304" s="155"/>
      <c r="N304" s="155"/>
      <c r="O304" s="155"/>
      <c r="P304" s="155"/>
      <c r="Q304" s="155"/>
    </row>
    <row r="305" spans="1:17" x14ac:dyDescent="0.25">
      <c r="A305" s="143">
        <v>1</v>
      </c>
      <c r="B305" s="163" t="s">
        <v>1664</v>
      </c>
      <c r="C305" s="139"/>
      <c r="D305" s="140">
        <v>4101</v>
      </c>
      <c r="E305" s="139"/>
      <c r="F305" s="462">
        <v>29.859100000000002</v>
      </c>
      <c r="G305" s="458">
        <v>354.28050000000002</v>
      </c>
      <c r="H305" s="155">
        <v>122944.50975994726</v>
      </c>
      <c r="I305" s="155">
        <v>23445.39072228079</v>
      </c>
      <c r="J305" s="155">
        <v>8299.5496565263966</v>
      </c>
      <c r="K305" s="155">
        <v>1879473.8550667085</v>
      </c>
      <c r="L305" s="155">
        <v>116480.82861651148</v>
      </c>
      <c r="M305" s="155">
        <v>2565786.5494265701</v>
      </c>
      <c r="N305" s="155">
        <v>0</v>
      </c>
      <c r="O305" s="155">
        <v>0</v>
      </c>
      <c r="P305" s="155">
        <v>98380.207565465767</v>
      </c>
      <c r="Q305" s="155">
        <v>4814810.8908140101</v>
      </c>
    </row>
    <row r="306" spans="1:17" x14ac:dyDescent="0.25">
      <c r="A306" s="143">
        <v>1</v>
      </c>
      <c r="B306" s="163"/>
      <c r="C306" s="139"/>
      <c r="D306" s="140"/>
      <c r="E306" s="139"/>
      <c r="F306" s="478"/>
      <c r="G306" s="148"/>
      <c r="H306" s="155"/>
      <c r="I306" s="155"/>
      <c r="J306" s="155"/>
      <c r="K306" s="155"/>
      <c r="L306" s="155"/>
      <c r="M306" s="155"/>
      <c r="N306" s="155"/>
      <c r="O306" s="155"/>
      <c r="P306" s="155"/>
      <c r="Q306" s="155"/>
    </row>
    <row r="307" spans="1:17" x14ac:dyDescent="0.25">
      <c r="A307" s="143">
        <v>1</v>
      </c>
      <c r="B307" s="163" t="s">
        <v>1665</v>
      </c>
      <c r="C307" s="139"/>
      <c r="D307" s="140">
        <v>4101</v>
      </c>
      <c r="E307" s="139"/>
      <c r="F307" s="462">
        <v>29.872699999999998</v>
      </c>
      <c r="G307" s="458">
        <v>354.28050000000002</v>
      </c>
      <c r="H307" s="155">
        <v>123000.50760759621</v>
      </c>
      <c r="I307" s="155">
        <v>23456.069453850829</v>
      </c>
      <c r="J307" s="155">
        <v>8303.3298734562013</v>
      </c>
      <c r="K307" s="155">
        <v>1880329.9037898416</v>
      </c>
      <c r="L307" s="155">
        <v>116533.88243491808</v>
      </c>
      <c r="M307" s="155">
        <v>2566955.1947330995</v>
      </c>
      <c r="N307" s="155">
        <v>0</v>
      </c>
      <c r="O307" s="155">
        <v>0</v>
      </c>
      <c r="P307" s="155">
        <v>98425.017048098875</v>
      </c>
      <c r="Q307" s="155">
        <v>4817003.9049408613</v>
      </c>
    </row>
    <row r="308" spans="1:17" x14ac:dyDescent="0.25">
      <c r="A308" s="143">
        <v>1</v>
      </c>
      <c r="B308" s="163"/>
      <c r="C308" s="139"/>
      <c r="D308" s="140"/>
      <c r="E308" s="139"/>
      <c r="F308" s="462"/>
      <c r="G308" s="148"/>
      <c r="H308" s="155"/>
      <c r="I308" s="155"/>
      <c r="J308" s="155"/>
      <c r="K308" s="155"/>
      <c r="L308" s="155"/>
      <c r="M308" s="155"/>
      <c r="N308" s="155"/>
      <c r="O308" s="155"/>
      <c r="P308" s="155"/>
      <c r="Q308" s="155"/>
    </row>
    <row r="309" spans="1:17" x14ac:dyDescent="0.25">
      <c r="A309" s="143">
        <v>1</v>
      </c>
      <c r="B309" s="163" t="s">
        <v>1666</v>
      </c>
      <c r="C309" s="139"/>
      <c r="D309" s="140">
        <v>4113</v>
      </c>
      <c r="E309" s="139"/>
      <c r="F309" s="462">
        <v>51.618299999999998</v>
      </c>
      <c r="G309" s="458">
        <v>129.55309999999997</v>
      </c>
      <c r="H309" s="155">
        <v>348578.23076632677</v>
      </c>
      <c r="I309" s="155">
        <v>0</v>
      </c>
      <c r="J309" s="155">
        <v>0</v>
      </c>
      <c r="K309" s="155">
        <v>733614.06259987608</v>
      </c>
      <c r="L309" s="155">
        <v>82148.405321462793</v>
      </c>
      <c r="M309" s="155">
        <v>856811.07919592049</v>
      </c>
      <c r="N309" s="155">
        <v>0</v>
      </c>
      <c r="O309" s="155">
        <v>0</v>
      </c>
      <c r="P309" s="155">
        <v>251418.67455626305</v>
      </c>
      <c r="Q309" s="155">
        <v>2272570.4524398493</v>
      </c>
    </row>
    <row r="310" spans="1:17" x14ac:dyDescent="0.25">
      <c r="A310" s="143">
        <v>1</v>
      </c>
      <c r="B310" s="163"/>
      <c r="C310" s="139"/>
      <c r="D310" s="140"/>
      <c r="E310" s="139"/>
      <c r="F310" s="462"/>
      <c r="G310" s="148"/>
      <c r="H310" s="155"/>
      <c r="I310" s="155"/>
      <c r="J310" s="155"/>
      <c r="K310" s="155"/>
      <c r="L310" s="155"/>
      <c r="M310" s="155"/>
      <c r="N310" s="155"/>
      <c r="O310" s="155"/>
      <c r="P310" s="155"/>
      <c r="Q310" s="155"/>
    </row>
    <row r="311" spans="1:17" x14ac:dyDescent="0.25">
      <c r="A311" s="143">
        <v>1</v>
      </c>
      <c r="B311" s="163" t="s">
        <v>1667</v>
      </c>
      <c r="C311" s="139"/>
      <c r="D311" s="140">
        <v>4121</v>
      </c>
      <c r="E311" s="139"/>
      <c r="F311" s="462">
        <v>51.893299999999996</v>
      </c>
      <c r="G311" s="458">
        <v>135.41370000000001</v>
      </c>
      <c r="H311" s="155">
        <v>135632.63002377897</v>
      </c>
      <c r="I311" s="155">
        <v>0</v>
      </c>
      <c r="J311" s="155">
        <v>0</v>
      </c>
      <c r="K311" s="155">
        <v>766889.6651838033</v>
      </c>
      <c r="L311" s="155">
        <v>71366.026706042292</v>
      </c>
      <c r="M311" s="155">
        <v>786525.22226203105</v>
      </c>
      <c r="N311" s="155">
        <v>0</v>
      </c>
      <c r="O311" s="155">
        <v>0</v>
      </c>
      <c r="P311" s="155">
        <v>55067.790964178661</v>
      </c>
      <c r="Q311" s="155">
        <v>1815481.3351398343</v>
      </c>
    </row>
    <row r="312" spans="1:17" x14ac:dyDescent="0.25">
      <c r="A312" s="143">
        <v>1</v>
      </c>
      <c r="B312" s="163"/>
      <c r="C312" s="139"/>
      <c r="D312" s="140"/>
      <c r="E312" s="139"/>
      <c r="F312" s="462"/>
      <c r="G312" s="148"/>
      <c r="H312" s="155"/>
      <c r="I312" s="155"/>
      <c r="J312" s="155"/>
      <c r="K312" s="155"/>
      <c r="L312" s="155"/>
      <c r="M312" s="155"/>
      <c r="N312" s="155"/>
      <c r="O312" s="155"/>
      <c r="P312" s="155"/>
      <c r="Q312" s="155"/>
    </row>
    <row r="313" spans="1:17" x14ac:dyDescent="0.25">
      <c r="A313" s="143">
        <v>1</v>
      </c>
      <c r="B313" s="163" t="s">
        <v>1668</v>
      </c>
      <c r="C313" s="139"/>
      <c r="D313" s="140">
        <v>4169</v>
      </c>
      <c r="E313" s="139"/>
      <c r="F313" s="462">
        <v>35.611499999999999</v>
      </c>
      <c r="G313" s="458">
        <v>297.62279999999993</v>
      </c>
      <c r="H313" s="155">
        <v>426609.14132571506</v>
      </c>
      <c r="I313" s="155">
        <v>0</v>
      </c>
      <c r="J313" s="155">
        <v>323.22618307468389</v>
      </c>
      <c r="K313" s="155">
        <v>1043974.1925809617</v>
      </c>
      <c r="L313" s="155">
        <v>47675.281685828515</v>
      </c>
      <c r="M313" s="155">
        <v>725808.41922554327</v>
      </c>
      <c r="N313" s="155">
        <v>0</v>
      </c>
      <c r="O313" s="155">
        <v>0</v>
      </c>
      <c r="P313" s="155">
        <v>12701.42638497454</v>
      </c>
      <c r="Q313" s="155">
        <v>2257091.6873860979</v>
      </c>
    </row>
    <row r="314" spans="1:17" x14ac:dyDescent="0.25">
      <c r="A314" s="143">
        <v>1</v>
      </c>
      <c r="B314" s="163"/>
      <c r="C314" s="139"/>
      <c r="D314" s="140"/>
      <c r="E314" s="139"/>
      <c r="F314" s="462"/>
      <c r="G314" s="148"/>
      <c r="H314" s="155"/>
      <c r="I314" s="155"/>
      <c r="J314" s="155"/>
      <c r="K314" s="155"/>
      <c r="L314" s="155"/>
      <c r="M314" s="155"/>
      <c r="N314" s="155"/>
      <c r="O314" s="155"/>
      <c r="P314" s="155"/>
      <c r="Q314" s="155"/>
    </row>
    <row r="315" spans="1:17" x14ac:dyDescent="0.25">
      <c r="A315" s="143">
        <v>1</v>
      </c>
      <c r="B315" s="163" t="s">
        <v>1669</v>
      </c>
      <c r="C315" s="139"/>
      <c r="D315" s="140">
        <v>4169</v>
      </c>
      <c r="E315" s="139"/>
      <c r="F315" s="462">
        <v>35.616399999999999</v>
      </c>
      <c r="G315" s="458">
        <v>297.62279999999993</v>
      </c>
      <c r="H315" s="155">
        <v>426667.84103767597</v>
      </c>
      <c r="I315" s="155">
        <v>0</v>
      </c>
      <c r="J315" s="155">
        <v>323.27065770498774</v>
      </c>
      <c r="K315" s="155">
        <v>1044117.8392553126</v>
      </c>
      <c r="L315" s="155">
        <v>47681.841613948942</v>
      </c>
      <c r="M315" s="155">
        <v>725908.28756173269</v>
      </c>
      <c r="N315" s="155">
        <v>0</v>
      </c>
      <c r="O315" s="155">
        <v>0</v>
      </c>
      <c r="P315" s="155">
        <v>12703.174050455815</v>
      </c>
      <c r="Q315" s="155">
        <v>2257402.2541768313</v>
      </c>
    </row>
    <row r="316" spans="1:17" x14ac:dyDescent="0.25">
      <c r="A316" s="143">
        <v>1</v>
      </c>
      <c r="B316" s="163"/>
      <c r="C316" s="139"/>
      <c r="D316" s="140"/>
      <c r="E316" s="139"/>
      <c r="F316" s="462"/>
      <c r="G316" s="148"/>
      <c r="H316" s="155"/>
      <c r="I316" s="155"/>
      <c r="J316" s="155"/>
      <c r="K316" s="155"/>
      <c r="L316" s="155"/>
      <c r="M316" s="155"/>
      <c r="N316" s="155"/>
      <c r="O316" s="155"/>
      <c r="P316" s="155"/>
      <c r="Q316" s="155"/>
    </row>
    <row r="317" spans="1:17" x14ac:dyDescent="0.25">
      <c r="A317" s="143">
        <v>1</v>
      </c>
      <c r="B317" s="163" t="s">
        <v>1670</v>
      </c>
      <c r="C317" s="139"/>
      <c r="D317" s="140">
        <v>4114</v>
      </c>
      <c r="E317" s="139"/>
      <c r="F317" s="462">
        <v>12.0899</v>
      </c>
      <c r="G317" s="458">
        <v>129.55309999999997</v>
      </c>
      <c r="H317" s="155">
        <v>299612.0544529155</v>
      </c>
      <c r="I317" s="155">
        <v>50346.998552724719</v>
      </c>
      <c r="J317" s="155">
        <v>61701.506803951444</v>
      </c>
      <c r="K317" s="155">
        <v>1262861.1970631042</v>
      </c>
      <c r="L317" s="155">
        <v>13803.933370671952</v>
      </c>
      <c r="M317" s="155">
        <v>903532.6257688239</v>
      </c>
      <c r="N317" s="155">
        <v>0</v>
      </c>
      <c r="O317" s="155">
        <v>0</v>
      </c>
      <c r="P317" s="155">
        <v>28385.256239271781</v>
      </c>
      <c r="Q317" s="155">
        <v>2620243.5722514633</v>
      </c>
    </row>
    <row r="318" spans="1:17" x14ac:dyDescent="0.25">
      <c r="A318" s="143">
        <v>1</v>
      </c>
      <c r="B318" s="163" t="s">
        <v>1670</v>
      </c>
      <c r="C318" s="139"/>
      <c r="D318" s="140">
        <v>4116</v>
      </c>
      <c r="E318" s="139"/>
      <c r="F318" s="463">
        <v>14.2151</v>
      </c>
      <c r="G318" s="459">
        <v>90.452699999999993</v>
      </c>
      <c r="H318" s="337">
        <v>559025.64962832571</v>
      </c>
      <c r="I318" s="337">
        <v>27201.576477906638</v>
      </c>
      <c r="J318" s="337">
        <v>321.13065973198491</v>
      </c>
      <c r="K318" s="337">
        <v>505508.20089502027</v>
      </c>
      <c r="L318" s="337">
        <v>1592692.1892586732</v>
      </c>
      <c r="M318" s="337">
        <v>1065248.8044938627</v>
      </c>
      <c r="N318" s="337">
        <v>0</v>
      </c>
      <c r="O318" s="337">
        <v>0</v>
      </c>
      <c r="P318" s="337">
        <v>2108.496522586765</v>
      </c>
      <c r="Q318" s="337">
        <v>3752106.0479361075</v>
      </c>
    </row>
    <row r="319" spans="1:17" x14ac:dyDescent="0.25">
      <c r="A319" s="143">
        <v>1</v>
      </c>
      <c r="B319" s="163"/>
      <c r="C319" s="139" t="s">
        <v>1671</v>
      </c>
      <c r="D319" s="140"/>
      <c r="E319" s="139"/>
      <c r="F319" s="462">
        <v>26.305</v>
      </c>
      <c r="G319" s="157">
        <v>220.00579999999997</v>
      </c>
      <c r="H319" s="155">
        <v>858637.70408124127</v>
      </c>
      <c r="I319" s="155">
        <v>77548.575030631357</v>
      </c>
      <c r="J319" s="155">
        <v>62022.63746368343</v>
      </c>
      <c r="K319" s="155">
        <v>1768369.3979581245</v>
      </c>
      <c r="L319" s="155">
        <v>1606496.1226293452</v>
      </c>
      <c r="M319" s="155">
        <v>1968781.4302626867</v>
      </c>
      <c r="N319" s="155">
        <v>0</v>
      </c>
      <c r="O319" s="155">
        <v>0</v>
      </c>
      <c r="P319" s="155">
        <v>30493.752761858545</v>
      </c>
      <c r="Q319" s="155">
        <v>6372349.6201875713</v>
      </c>
    </row>
    <row r="320" spans="1:17" x14ac:dyDescent="0.25">
      <c r="A320" s="143">
        <v>1</v>
      </c>
      <c r="B320" s="163"/>
      <c r="C320" s="139"/>
      <c r="D320" s="140"/>
      <c r="E320" s="139"/>
      <c r="F320" s="462"/>
      <c r="G320" s="148"/>
      <c r="H320" s="155"/>
      <c r="I320" s="155"/>
      <c r="J320" s="155"/>
      <c r="K320" s="155"/>
      <c r="L320" s="155"/>
      <c r="M320" s="155"/>
      <c r="N320" s="155"/>
      <c r="O320" s="155"/>
      <c r="P320" s="155"/>
      <c r="Q320" s="155"/>
    </row>
    <row r="321" spans="1:17" x14ac:dyDescent="0.25">
      <c r="A321" s="143">
        <v>1</v>
      </c>
      <c r="B321" s="163" t="s">
        <v>1672</v>
      </c>
      <c r="C321" s="139"/>
      <c r="D321" s="140">
        <v>4107</v>
      </c>
      <c r="E321" s="139"/>
      <c r="F321" s="462">
        <v>10.9291</v>
      </c>
      <c r="G321" s="458">
        <v>270.78870000000006</v>
      </c>
      <c r="H321" s="155">
        <v>106536.7676106462</v>
      </c>
      <c r="I321" s="155">
        <v>13176.732935779815</v>
      </c>
      <c r="J321" s="155">
        <v>0</v>
      </c>
      <c r="K321" s="155">
        <v>358740.83505729784</v>
      </c>
      <c r="L321" s="155">
        <v>0</v>
      </c>
      <c r="M321" s="155">
        <v>275003.36801155971</v>
      </c>
      <c r="N321" s="155">
        <v>0</v>
      </c>
      <c r="O321" s="155">
        <v>0</v>
      </c>
      <c r="P321" s="155">
        <v>33759.184943038585</v>
      </c>
      <c r="Q321" s="155">
        <v>787216.88855832221</v>
      </c>
    </row>
    <row r="322" spans="1:17" x14ac:dyDescent="0.25">
      <c r="A322" s="143">
        <v>1</v>
      </c>
      <c r="B322" s="163"/>
      <c r="C322" s="139"/>
      <c r="D322" s="140"/>
      <c r="E322" s="139"/>
      <c r="F322" s="462"/>
      <c r="G322" s="148"/>
      <c r="H322" s="155"/>
      <c r="I322" s="155"/>
      <c r="J322" s="155"/>
      <c r="K322" s="155"/>
      <c r="L322" s="155"/>
      <c r="M322" s="155"/>
      <c r="N322" s="155"/>
      <c r="O322" s="155"/>
      <c r="P322" s="155"/>
      <c r="Q322" s="155"/>
    </row>
    <row r="323" spans="1:17" x14ac:dyDescent="0.25">
      <c r="A323" s="143">
        <v>1</v>
      </c>
      <c r="B323" s="163" t="s">
        <v>1673</v>
      </c>
      <c r="C323" s="139"/>
      <c r="D323" s="140">
        <v>4107</v>
      </c>
      <c r="E323" s="139"/>
      <c r="F323" s="462">
        <v>18.813700000000001</v>
      </c>
      <c r="G323" s="458">
        <v>270.78870000000006</v>
      </c>
      <c r="H323" s="155">
        <v>183395.77685229477</v>
      </c>
      <c r="I323" s="155">
        <v>22682.846751688674</v>
      </c>
      <c r="J323" s="155">
        <v>0</v>
      </c>
      <c r="K323" s="155">
        <v>617547.87205876829</v>
      </c>
      <c r="L323" s="155">
        <v>0</v>
      </c>
      <c r="M323" s="155">
        <v>473399.53562133032</v>
      </c>
      <c r="N323" s="155">
        <v>0</v>
      </c>
      <c r="O323" s="155">
        <v>0</v>
      </c>
      <c r="P323" s="155">
        <v>58114.133621510009</v>
      </c>
      <c r="Q323" s="155">
        <v>1355140.1649055921</v>
      </c>
    </row>
    <row r="324" spans="1:17" x14ac:dyDescent="0.25">
      <c r="A324" s="143">
        <v>1</v>
      </c>
      <c r="B324" s="163" t="s">
        <v>1673</v>
      </c>
      <c r="C324" s="139"/>
      <c r="D324" s="140">
        <v>4114</v>
      </c>
      <c r="E324" s="139"/>
      <c r="F324" s="463">
        <v>17.479199999999999</v>
      </c>
      <c r="G324" s="459">
        <v>129.55309999999997</v>
      </c>
      <c r="H324" s="337">
        <v>433169.75510081975</v>
      </c>
      <c r="I324" s="337">
        <v>72790.118785332044</v>
      </c>
      <c r="J324" s="337">
        <v>89206.112352263284</v>
      </c>
      <c r="K324" s="337">
        <v>1825805.2949739376</v>
      </c>
      <c r="L324" s="337">
        <v>19957.295938977921</v>
      </c>
      <c r="M324" s="337">
        <v>1306299.264041756</v>
      </c>
      <c r="N324" s="337">
        <v>0</v>
      </c>
      <c r="O324" s="337">
        <v>0</v>
      </c>
      <c r="P324" s="337">
        <v>41038.51734567526</v>
      </c>
      <c r="Q324" s="337">
        <v>3788266.3585387617</v>
      </c>
    </row>
    <row r="325" spans="1:17" x14ac:dyDescent="0.25">
      <c r="A325" s="143">
        <v>1</v>
      </c>
      <c r="B325" s="163"/>
      <c r="C325" s="139" t="s">
        <v>1674</v>
      </c>
      <c r="D325" s="140"/>
      <c r="E325" s="139"/>
      <c r="F325" s="462">
        <v>36.292900000000003</v>
      </c>
      <c r="G325" s="157">
        <v>400.34180000000003</v>
      </c>
      <c r="H325" s="155">
        <v>616565.53195311455</v>
      </c>
      <c r="I325" s="155">
        <v>95472.965537020718</v>
      </c>
      <c r="J325" s="155">
        <v>89206.112352263284</v>
      </c>
      <c r="K325" s="155">
        <v>2443353.1670327056</v>
      </c>
      <c r="L325" s="155">
        <v>19957.295938977921</v>
      </c>
      <c r="M325" s="155">
        <v>1779698.7996630864</v>
      </c>
      <c r="N325" s="155">
        <v>0</v>
      </c>
      <c r="O325" s="155">
        <v>0</v>
      </c>
      <c r="P325" s="155">
        <v>99152.650967185269</v>
      </c>
      <c r="Q325" s="155">
        <v>5143406.5234443536</v>
      </c>
    </row>
    <row r="326" spans="1:17" x14ac:dyDescent="0.25">
      <c r="A326" s="143">
        <v>1</v>
      </c>
      <c r="B326" s="163"/>
      <c r="C326" s="139"/>
      <c r="D326" s="140"/>
      <c r="E326" s="139"/>
      <c r="F326" s="462"/>
      <c r="G326" s="148"/>
      <c r="H326" s="155"/>
      <c r="I326" s="155"/>
      <c r="J326" s="155"/>
      <c r="K326" s="155"/>
      <c r="L326" s="155"/>
      <c r="M326" s="155"/>
      <c r="N326" s="155"/>
      <c r="O326" s="155"/>
      <c r="P326" s="155"/>
      <c r="Q326" s="155"/>
    </row>
    <row r="327" spans="1:17" x14ac:dyDescent="0.25">
      <c r="A327" s="143">
        <v>1</v>
      </c>
      <c r="B327" s="163" t="s">
        <v>1675</v>
      </c>
      <c r="C327" s="139"/>
      <c r="D327" s="140">
        <v>4119</v>
      </c>
      <c r="E327" s="139"/>
      <c r="F327" s="462">
        <v>13.733700000000001</v>
      </c>
      <c r="G327" s="458">
        <v>137.6463</v>
      </c>
      <c r="H327" s="155">
        <v>209506.11717486774</v>
      </c>
      <c r="I327" s="155">
        <v>7169.8176791166925</v>
      </c>
      <c r="J327" s="155">
        <v>10.066329374636297</v>
      </c>
      <c r="K327" s="155">
        <v>791063.99652171554</v>
      </c>
      <c r="L327" s="155">
        <v>8498.4863520632225</v>
      </c>
      <c r="M327" s="155">
        <v>1481328.3154504481</v>
      </c>
      <c r="N327" s="155">
        <v>0</v>
      </c>
      <c r="O327" s="155">
        <v>0</v>
      </c>
      <c r="P327" s="155">
        <v>5231.2805058617641</v>
      </c>
      <c r="Q327" s="155">
        <v>2502808.0800134474</v>
      </c>
    </row>
    <row r="328" spans="1:17" x14ac:dyDescent="0.25">
      <c r="A328" s="143">
        <v>1</v>
      </c>
      <c r="B328" s="163"/>
      <c r="C328" s="139"/>
      <c r="D328" s="140"/>
      <c r="E328" s="139"/>
      <c r="F328" s="462"/>
      <c r="G328" s="148"/>
      <c r="H328" s="155"/>
      <c r="I328" s="155"/>
      <c r="J328" s="155"/>
      <c r="K328" s="155"/>
      <c r="L328" s="155"/>
      <c r="M328" s="155"/>
      <c r="N328" s="155"/>
      <c r="O328" s="155"/>
      <c r="P328" s="155"/>
      <c r="Q328" s="155"/>
    </row>
    <row r="329" spans="1:17" x14ac:dyDescent="0.25">
      <c r="A329" s="143">
        <v>1</v>
      </c>
      <c r="B329" s="163" t="s">
        <v>1676</v>
      </c>
      <c r="C329" s="139"/>
      <c r="D329" s="140">
        <v>4119</v>
      </c>
      <c r="E329" s="139"/>
      <c r="F329" s="462">
        <v>24.971599999999999</v>
      </c>
      <c r="G329" s="458">
        <v>137.6463</v>
      </c>
      <c r="H329" s="155">
        <v>380939.07363958197</v>
      </c>
      <c r="I329" s="155">
        <v>13036.677600051726</v>
      </c>
      <c r="J329" s="155">
        <v>18.303323256782058</v>
      </c>
      <c r="K329" s="155">
        <v>1438369.3902984387</v>
      </c>
      <c r="L329" s="155">
        <v>15452.558435758896</v>
      </c>
      <c r="M329" s="155">
        <v>2693457.565121009</v>
      </c>
      <c r="N329" s="155">
        <v>0</v>
      </c>
      <c r="O329" s="155">
        <v>0</v>
      </c>
      <c r="P329" s="155">
        <v>9511.8900427545086</v>
      </c>
      <c r="Q329" s="155">
        <v>4550785.4584608516</v>
      </c>
    </row>
    <row r="330" spans="1:17" x14ac:dyDescent="0.25">
      <c r="A330" s="143">
        <v>1</v>
      </c>
      <c r="B330" s="163"/>
      <c r="C330" s="139"/>
      <c r="D330" s="140"/>
      <c r="E330" s="139"/>
      <c r="F330" s="462"/>
      <c r="G330" s="148"/>
      <c r="H330" s="155"/>
      <c r="I330" s="155"/>
      <c r="J330" s="155"/>
      <c r="K330" s="155"/>
      <c r="L330" s="155"/>
      <c r="M330" s="155"/>
      <c r="N330" s="155"/>
      <c r="O330" s="155"/>
      <c r="P330" s="155"/>
      <c r="Q330" s="155"/>
    </row>
    <row r="331" spans="1:17" x14ac:dyDescent="0.25">
      <c r="A331" s="143">
        <v>1</v>
      </c>
      <c r="B331" s="163" t="s">
        <v>1677</v>
      </c>
      <c r="C331" s="139"/>
      <c r="D331" s="140">
        <v>4118</v>
      </c>
      <c r="E331" s="139"/>
      <c r="F331" s="462">
        <v>14.7781</v>
      </c>
      <c r="G331" s="458">
        <v>155.75350000000003</v>
      </c>
      <c r="H331" s="155">
        <v>523506.02573807247</v>
      </c>
      <c r="I331" s="155">
        <v>12442.160826753257</v>
      </c>
      <c r="J331" s="155">
        <v>209.14832959655294</v>
      </c>
      <c r="K331" s="155">
        <v>1656969.2366088964</v>
      </c>
      <c r="L331" s="155">
        <v>22697.43699163921</v>
      </c>
      <c r="M331" s="155">
        <v>1341678.1639862217</v>
      </c>
      <c r="N331" s="155">
        <v>0</v>
      </c>
      <c r="O331" s="155">
        <v>0</v>
      </c>
      <c r="P331" s="155">
        <v>17470.162377544242</v>
      </c>
      <c r="Q331" s="155">
        <v>3574972.3348587244</v>
      </c>
    </row>
    <row r="332" spans="1:17" x14ac:dyDescent="0.25">
      <c r="A332" s="143">
        <v>1</v>
      </c>
      <c r="B332" s="163" t="s">
        <v>1677</v>
      </c>
      <c r="C332" s="139"/>
      <c r="D332" s="140">
        <v>4119</v>
      </c>
      <c r="E332" s="139"/>
      <c r="F332" s="463">
        <v>6.7678000000000003</v>
      </c>
      <c r="G332" s="459">
        <v>137.6463</v>
      </c>
      <c r="H332" s="337">
        <v>103242.06148496545</v>
      </c>
      <c r="I332" s="337">
        <v>3533.1987802796007</v>
      </c>
      <c r="J332" s="337">
        <v>4.9605644467014374</v>
      </c>
      <c r="K332" s="337">
        <v>389826.69751484791</v>
      </c>
      <c r="L332" s="337">
        <v>4187.9505110417058</v>
      </c>
      <c r="M332" s="337">
        <v>729980.54226505186</v>
      </c>
      <c r="N332" s="337">
        <v>0</v>
      </c>
      <c r="O332" s="337">
        <v>0</v>
      </c>
      <c r="P332" s="337">
        <v>2577.9112844733208</v>
      </c>
      <c r="Q332" s="337">
        <v>1233353.3224051064</v>
      </c>
    </row>
    <row r="333" spans="1:17" x14ac:dyDescent="0.25">
      <c r="A333" s="143">
        <v>1</v>
      </c>
      <c r="B333" s="163"/>
      <c r="C333" s="139" t="s">
        <v>1678</v>
      </c>
      <c r="D333" s="140"/>
      <c r="E333" s="139"/>
      <c r="F333" s="462">
        <v>21.5459</v>
      </c>
      <c r="G333" s="157">
        <v>293.39980000000003</v>
      </c>
      <c r="H333" s="155">
        <v>626748.08722303796</v>
      </c>
      <c r="I333" s="155">
        <v>15975.359607032859</v>
      </c>
      <c r="J333" s="155">
        <v>214.10889404325437</v>
      </c>
      <c r="K333" s="155">
        <v>2046795.9341237443</v>
      </c>
      <c r="L333" s="155">
        <v>26885.387502680915</v>
      </c>
      <c r="M333" s="155">
        <v>2071658.7062512734</v>
      </c>
      <c r="N333" s="155">
        <v>0</v>
      </c>
      <c r="O333" s="155">
        <v>0</v>
      </c>
      <c r="P333" s="155">
        <v>20048.073662017563</v>
      </c>
      <c r="Q333" s="155">
        <v>4808325.6572638303</v>
      </c>
    </row>
    <row r="334" spans="1:17" x14ac:dyDescent="0.25">
      <c r="A334" s="143">
        <v>1</v>
      </c>
      <c r="B334" s="163"/>
      <c r="C334" s="139"/>
      <c r="D334" s="140"/>
      <c r="E334" s="139"/>
      <c r="F334" s="462"/>
      <c r="G334" s="148"/>
      <c r="H334" s="155"/>
      <c r="I334" s="155"/>
      <c r="J334" s="155"/>
      <c r="K334" s="155"/>
      <c r="L334" s="155"/>
      <c r="M334" s="155"/>
      <c r="N334" s="155"/>
      <c r="O334" s="155"/>
      <c r="P334" s="155"/>
      <c r="Q334" s="155"/>
    </row>
    <row r="335" spans="1:17" x14ac:dyDescent="0.25">
      <c r="A335" s="143">
        <v>1</v>
      </c>
      <c r="B335" s="163" t="s">
        <v>1679</v>
      </c>
      <c r="C335" s="139"/>
      <c r="D335" s="140">
        <v>4118</v>
      </c>
      <c r="E335" s="139"/>
      <c r="F335" s="462">
        <v>15.6296</v>
      </c>
      <c r="G335" s="458">
        <v>155.75350000000003</v>
      </c>
      <c r="H335" s="155">
        <v>553669.94267705444</v>
      </c>
      <c r="I335" s="155">
        <v>13159.066243821784</v>
      </c>
      <c r="J335" s="155">
        <v>221.19925648508831</v>
      </c>
      <c r="K335" s="155">
        <v>1752442.2206171569</v>
      </c>
      <c r="L335" s="155">
        <v>24005.2416213535</v>
      </c>
      <c r="M335" s="155">
        <v>1418984.3776831292</v>
      </c>
      <c r="N335" s="155">
        <v>0</v>
      </c>
      <c r="O335" s="155">
        <v>0</v>
      </c>
      <c r="P335" s="155">
        <v>18476.776439194855</v>
      </c>
      <c r="Q335" s="155">
        <v>3780958.824538196</v>
      </c>
    </row>
    <row r="336" spans="1:17" x14ac:dyDescent="0.25">
      <c r="A336" s="143">
        <v>1</v>
      </c>
      <c r="B336" s="163"/>
      <c r="C336" s="139"/>
      <c r="D336" s="140"/>
      <c r="E336" s="139"/>
      <c r="F336" s="462"/>
      <c r="G336" s="148"/>
      <c r="H336" s="155"/>
      <c r="I336" s="155"/>
      <c r="J336" s="155"/>
      <c r="K336" s="155"/>
      <c r="L336" s="155"/>
      <c r="M336" s="155"/>
      <c r="N336" s="155"/>
      <c r="O336" s="155"/>
      <c r="P336" s="155"/>
      <c r="Q336" s="155"/>
    </row>
    <row r="337" spans="1:17" x14ac:dyDescent="0.25">
      <c r="A337" s="143">
        <v>1</v>
      </c>
      <c r="B337" s="163" t="s">
        <v>1680</v>
      </c>
      <c r="C337" s="139"/>
      <c r="D337" s="140">
        <v>4118</v>
      </c>
      <c r="E337" s="139"/>
      <c r="F337" s="462">
        <v>15.4693</v>
      </c>
      <c r="G337" s="458">
        <v>155.75350000000003</v>
      </c>
      <c r="H337" s="155">
        <v>547991.40376299829</v>
      </c>
      <c r="I337" s="155">
        <v>13024.104484155214</v>
      </c>
      <c r="J337" s="155">
        <v>218.9305969663188</v>
      </c>
      <c r="K337" s="155">
        <v>1734468.8567457253</v>
      </c>
      <c r="L337" s="155">
        <v>23759.039528407877</v>
      </c>
      <c r="M337" s="155">
        <v>1404431.0176647918</v>
      </c>
      <c r="N337" s="155">
        <v>0</v>
      </c>
      <c r="O337" s="155">
        <v>0</v>
      </c>
      <c r="P337" s="155">
        <v>18287.275283490108</v>
      </c>
      <c r="Q337" s="155">
        <v>3742180.6280665351</v>
      </c>
    </row>
    <row r="338" spans="1:17" x14ac:dyDescent="0.25">
      <c r="A338" s="143">
        <v>1</v>
      </c>
      <c r="B338" s="163"/>
      <c r="C338" s="139"/>
      <c r="D338" s="140"/>
      <c r="E338" s="139"/>
      <c r="F338" s="462"/>
      <c r="G338" s="148"/>
      <c r="H338" s="155"/>
      <c r="I338" s="155"/>
      <c r="J338" s="155"/>
      <c r="K338" s="155"/>
      <c r="L338" s="155"/>
      <c r="M338" s="155"/>
      <c r="N338" s="155"/>
      <c r="O338" s="155"/>
      <c r="P338" s="155"/>
      <c r="Q338" s="155"/>
    </row>
    <row r="339" spans="1:17" x14ac:dyDescent="0.25">
      <c r="A339" s="143">
        <v>1</v>
      </c>
      <c r="B339" s="163" t="s">
        <v>1681</v>
      </c>
      <c r="C339" s="139"/>
      <c r="D339" s="140">
        <v>4119</v>
      </c>
      <c r="E339" s="139"/>
      <c r="F339" s="462">
        <v>27.652399999999997</v>
      </c>
      <c r="G339" s="458">
        <v>137.6463</v>
      </c>
      <c r="H339" s="155">
        <v>421834.38946287689</v>
      </c>
      <c r="I339" s="155">
        <v>14436.216488637905</v>
      </c>
      <c r="J339" s="155">
        <v>20.268257381418895</v>
      </c>
      <c r="K339" s="155">
        <v>1592784.0317916572</v>
      </c>
      <c r="L339" s="155">
        <v>17111.451684672957</v>
      </c>
      <c r="M339" s="155">
        <v>2982610.8849153514</v>
      </c>
      <c r="N339" s="155">
        <v>0</v>
      </c>
      <c r="O339" s="155">
        <v>0</v>
      </c>
      <c r="P339" s="155">
        <v>10533.029049731085</v>
      </c>
      <c r="Q339" s="155">
        <v>5039330.2716503087</v>
      </c>
    </row>
    <row r="340" spans="1:17" x14ac:dyDescent="0.25">
      <c r="A340" s="143">
        <v>1</v>
      </c>
      <c r="B340" s="163"/>
      <c r="C340" s="139"/>
      <c r="D340" s="140"/>
      <c r="E340" s="139"/>
      <c r="F340" s="462"/>
      <c r="G340" s="148"/>
      <c r="H340" s="155"/>
      <c r="I340" s="155"/>
      <c r="J340" s="155"/>
      <c r="K340" s="155"/>
      <c r="L340" s="155"/>
      <c r="M340" s="155"/>
      <c r="N340" s="155"/>
      <c r="O340" s="155"/>
      <c r="P340" s="155"/>
      <c r="Q340" s="155"/>
    </row>
    <row r="341" spans="1:17" x14ac:dyDescent="0.25">
      <c r="A341" s="143">
        <v>1</v>
      </c>
      <c r="B341" s="163" t="s">
        <v>1682</v>
      </c>
      <c r="C341" s="139"/>
      <c r="D341" s="140" t="s">
        <v>1540</v>
      </c>
      <c r="E341" s="139"/>
      <c r="F341" s="462" t="s">
        <v>1540</v>
      </c>
      <c r="G341" s="148"/>
      <c r="H341" s="155"/>
      <c r="I341" s="155"/>
      <c r="J341" s="155"/>
      <c r="K341" s="155"/>
      <c r="L341" s="155"/>
      <c r="M341" s="155"/>
      <c r="N341" s="155"/>
      <c r="O341" s="155"/>
      <c r="P341" s="155"/>
      <c r="Q341" s="341" t="s">
        <v>1540</v>
      </c>
    </row>
    <row r="342" spans="1:17" x14ac:dyDescent="0.25">
      <c r="A342" s="143">
        <v>1</v>
      </c>
      <c r="B342" s="163"/>
      <c r="C342" s="139"/>
      <c r="D342" s="140"/>
      <c r="E342" s="139"/>
      <c r="F342" s="462"/>
      <c r="G342" s="148"/>
      <c r="H342" s="155"/>
      <c r="I342" s="155"/>
      <c r="J342" s="155"/>
      <c r="K342" s="155"/>
      <c r="L342" s="155"/>
      <c r="M342" s="155"/>
      <c r="N342" s="155"/>
      <c r="O342" s="155"/>
      <c r="P342" s="155"/>
      <c r="Q342" s="155"/>
    </row>
    <row r="343" spans="1:17" x14ac:dyDescent="0.25">
      <c r="A343" s="143">
        <v>1</v>
      </c>
      <c r="B343" s="163" t="s">
        <v>1683</v>
      </c>
      <c r="C343" s="139"/>
      <c r="D343" s="140">
        <v>4125</v>
      </c>
      <c r="E343" s="139"/>
      <c r="F343" s="462">
        <v>25.9572</v>
      </c>
      <c r="G343" s="458">
        <v>414.74720000000002</v>
      </c>
      <c r="H343" s="155">
        <v>714390.27269753709</v>
      </c>
      <c r="I343" s="155">
        <v>110762.18797568254</v>
      </c>
      <c r="J343" s="155">
        <v>120.04605430006521</v>
      </c>
      <c r="K343" s="155">
        <v>1959052.6827608433</v>
      </c>
      <c r="L343" s="155">
        <v>30799.808550567672</v>
      </c>
      <c r="M343" s="155">
        <v>864062.57930045086</v>
      </c>
      <c r="N343" s="155">
        <v>0</v>
      </c>
      <c r="O343" s="155">
        <v>0</v>
      </c>
      <c r="P343" s="155">
        <v>111475.15993677112</v>
      </c>
      <c r="Q343" s="155">
        <v>3790662.7372761532</v>
      </c>
    </row>
    <row r="344" spans="1:17" x14ac:dyDescent="0.25">
      <c r="A344" s="143">
        <v>1</v>
      </c>
      <c r="B344" s="163"/>
      <c r="C344" s="139"/>
      <c r="D344" s="140"/>
      <c r="E344" s="139"/>
      <c r="F344" s="462"/>
      <c r="G344" s="148"/>
      <c r="H344" s="155"/>
      <c r="I344" s="155"/>
      <c r="J344" s="155"/>
      <c r="K344" s="155"/>
      <c r="L344" s="155"/>
      <c r="M344" s="155"/>
      <c r="N344" s="155"/>
      <c r="O344" s="155"/>
      <c r="P344" s="155"/>
      <c r="Q344" s="155"/>
    </row>
    <row r="345" spans="1:17" x14ac:dyDescent="0.25">
      <c r="A345" s="143">
        <v>1</v>
      </c>
      <c r="B345" s="163" t="s">
        <v>1684</v>
      </c>
      <c r="C345" s="139"/>
      <c r="D345" s="140">
        <v>4125</v>
      </c>
      <c r="E345" s="139"/>
      <c r="F345" s="462">
        <v>25.9909</v>
      </c>
      <c r="G345" s="458">
        <v>414.74720000000002</v>
      </c>
      <c r="H345" s="155">
        <v>715317.75918259355</v>
      </c>
      <c r="I345" s="155">
        <v>110905.98953111921</v>
      </c>
      <c r="J345" s="155">
        <v>120.20190901590173</v>
      </c>
      <c r="K345" s="155">
        <v>1961596.1032919111</v>
      </c>
      <c r="L345" s="155">
        <v>30839.79566582487</v>
      </c>
      <c r="M345" s="155">
        <v>865184.38399904792</v>
      </c>
      <c r="N345" s="155">
        <v>0</v>
      </c>
      <c r="O345" s="155">
        <v>0</v>
      </c>
      <c r="P345" s="155">
        <v>111619.88713731158</v>
      </c>
      <c r="Q345" s="155">
        <v>3795584.1207168237</v>
      </c>
    </row>
    <row r="346" spans="1:17" x14ac:dyDescent="0.25">
      <c r="A346" s="143">
        <v>1</v>
      </c>
      <c r="B346" s="163"/>
      <c r="C346" s="139"/>
      <c r="D346" s="140"/>
      <c r="E346" s="139"/>
      <c r="F346" s="478"/>
      <c r="G346" s="148"/>
      <c r="H346" s="155"/>
      <c r="I346" s="155"/>
      <c r="J346" s="155"/>
      <c r="K346" s="155"/>
      <c r="L346" s="155"/>
      <c r="M346" s="155"/>
      <c r="N346" s="155"/>
      <c r="O346" s="155"/>
      <c r="P346" s="155"/>
      <c r="Q346" s="155"/>
    </row>
    <row r="347" spans="1:17" x14ac:dyDescent="0.25">
      <c r="A347" s="143">
        <v>1</v>
      </c>
      <c r="B347" s="163" t="s">
        <v>1685</v>
      </c>
      <c r="C347" s="139"/>
      <c r="D347" s="140">
        <v>4125</v>
      </c>
      <c r="E347" s="139"/>
      <c r="F347" s="462">
        <v>25.995799999999999</v>
      </c>
      <c r="G347" s="458">
        <v>414.74720000000002</v>
      </c>
      <c r="H347" s="155">
        <v>715452.61626795784</v>
      </c>
      <c r="I347" s="155">
        <v>110926.89836262185</v>
      </c>
      <c r="J347" s="155">
        <v>120.22457038407975</v>
      </c>
      <c r="K347" s="155">
        <v>1961965.9181465767</v>
      </c>
      <c r="L347" s="155">
        <v>30845.609816114491</v>
      </c>
      <c r="M347" s="155">
        <v>865347.49506798352</v>
      </c>
      <c r="N347" s="155">
        <v>0</v>
      </c>
      <c r="O347" s="155">
        <v>0</v>
      </c>
      <c r="P347" s="155">
        <v>111640.93055816169</v>
      </c>
      <c r="Q347" s="155">
        <v>3796299.6927898</v>
      </c>
    </row>
    <row r="348" spans="1:17" x14ac:dyDescent="0.25">
      <c r="A348" s="143">
        <v>1</v>
      </c>
      <c r="B348" s="163"/>
      <c r="C348" s="139"/>
      <c r="D348" s="140"/>
      <c r="E348" s="139"/>
      <c r="F348" s="462"/>
      <c r="G348" s="148"/>
      <c r="H348" s="155"/>
      <c r="I348" s="155"/>
      <c r="J348" s="155"/>
      <c r="K348" s="155"/>
      <c r="L348" s="155"/>
      <c r="M348" s="155"/>
      <c r="N348" s="155"/>
      <c r="O348" s="155"/>
      <c r="P348" s="155"/>
      <c r="Q348" s="155"/>
    </row>
    <row r="349" spans="1:17" x14ac:dyDescent="0.25">
      <c r="A349" s="143">
        <v>1</v>
      </c>
      <c r="B349" s="163" t="s">
        <v>1686</v>
      </c>
      <c r="C349" s="139"/>
      <c r="D349" s="140">
        <v>4125</v>
      </c>
      <c r="E349" s="139"/>
      <c r="F349" s="462">
        <v>25.569199999999999</v>
      </c>
      <c r="G349" s="458">
        <v>414.74720000000002</v>
      </c>
      <c r="H349" s="155">
        <v>703711.79328501783</v>
      </c>
      <c r="I349" s="155">
        <v>109106.54988934947</v>
      </c>
      <c r="J349" s="155">
        <v>118.25164392188783</v>
      </c>
      <c r="K349" s="155">
        <v>1929769.3840648665</v>
      </c>
      <c r="L349" s="155">
        <v>30339.422772532278</v>
      </c>
      <c r="M349" s="155">
        <v>851146.84567862051</v>
      </c>
      <c r="N349" s="155">
        <v>0</v>
      </c>
      <c r="O349" s="155">
        <v>0</v>
      </c>
      <c r="P349" s="155">
        <v>109808.86457149799</v>
      </c>
      <c r="Q349" s="155">
        <v>3734001.1119058062</v>
      </c>
    </row>
    <row r="350" spans="1:17" x14ac:dyDescent="0.25">
      <c r="A350" s="143">
        <v>1</v>
      </c>
      <c r="B350" s="163"/>
      <c r="C350" s="139"/>
      <c r="D350" s="140"/>
      <c r="E350" s="139"/>
      <c r="F350" s="462"/>
      <c r="G350" s="148"/>
      <c r="H350" s="155"/>
      <c r="I350" s="155"/>
      <c r="J350" s="155"/>
      <c r="K350" s="155"/>
      <c r="L350" s="155"/>
      <c r="M350" s="155"/>
      <c r="N350" s="155"/>
      <c r="O350" s="155"/>
      <c r="P350" s="155"/>
      <c r="Q350" s="155"/>
    </row>
    <row r="351" spans="1:17" x14ac:dyDescent="0.25">
      <c r="A351" s="143">
        <v>1</v>
      </c>
      <c r="B351" s="163" t="s">
        <v>1687</v>
      </c>
      <c r="C351" s="139"/>
      <c r="D351" s="140">
        <v>4125</v>
      </c>
      <c r="E351" s="139"/>
      <c r="F351" s="462">
        <v>25.688199999999998</v>
      </c>
      <c r="G351" s="458">
        <v>414.74720000000002</v>
      </c>
      <c r="H351" s="155">
        <v>706986.89392957906</v>
      </c>
      <c r="I351" s="155">
        <v>109614.3357972712</v>
      </c>
      <c r="J351" s="155">
        <v>118.80199143478244</v>
      </c>
      <c r="K351" s="155">
        <v>1938750.6019638903</v>
      </c>
      <c r="L351" s="155">
        <v>30480.623565280242</v>
      </c>
      <c r="M351" s="155">
        <v>855108.11449562514</v>
      </c>
      <c r="N351" s="155">
        <v>0</v>
      </c>
      <c r="O351" s="155">
        <v>0</v>
      </c>
      <c r="P351" s="155">
        <v>110319.91907785754</v>
      </c>
      <c r="Q351" s="155">
        <v>3751379.2908209385</v>
      </c>
    </row>
    <row r="352" spans="1:17" x14ac:dyDescent="0.25">
      <c r="A352" s="143">
        <v>1</v>
      </c>
      <c r="B352" s="163"/>
      <c r="C352" s="139"/>
      <c r="D352" s="140"/>
      <c r="E352" s="139"/>
      <c r="F352" s="462"/>
      <c r="G352" s="148"/>
      <c r="H352" s="155"/>
      <c r="I352" s="155"/>
      <c r="J352" s="155"/>
      <c r="K352" s="155"/>
      <c r="L352" s="155"/>
      <c r="M352" s="155"/>
      <c r="N352" s="155"/>
      <c r="O352" s="155"/>
      <c r="P352" s="155"/>
      <c r="Q352" s="155"/>
    </row>
    <row r="353" spans="1:17" x14ac:dyDescent="0.25">
      <c r="A353" s="143">
        <v>1</v>
      </c>
      <c r="B353" s="163" t="s">
        <v>1688</v>
      </c>
      <c r="C353" s="139"/>
      <c r="D353" s="140">
        <v>4119</v>
      </c>
      <c r="E353" s="139"/>
      <c r="F353" s="462">
        <v>6.4142999999999999</v>
      </c>
      <c r="G353" s="458">
        <v>137.6463</v>
      </c>
      <c r="H353" s="155">
        <v>97849.456984989767</v>
      </c>
      <c r="I353" s="155">
        <v>3348.6505121823106</v>
      </c>
      <c r="J353" s="155">
        <v>4.7014611144651184</v>
      </c>
      <c r="K353" s="155">
        <v>369465.02347431786</v>
      </c>
      <c r="L353" s="155">
        <v>3969.2028374028209</v>
      </c>
      <c r="M353" s="155">
        <v>691851.73797256453</v>
      </c>
      <c r="N353" s="155">
        <v>0</v>
      </c>
      <c r="O353" s="155">
        <v>0</v>
      </c>
      <c r="P353" s="155">
        <v>2443.2601956318476</v>
      </c>
      <c r="Q353" s="155">
        <v>1168932.0334382036</v>
      </c>
    </row>
    <row r="354" spans="1:17" x14ac:dyDescent="0.25">
      <c r="A354" s="143">
        <v>1</v>
      </c>
      <c r="B354" s="163"/>
      <c r="C354" s="139"/>
      <c r="D354" s="140"/>
      <c r="E354" s="139"/>
      <c r="F354" s="462"/>
      <c r="G354" s="148"/>
      <c r="H354" s="155"/>
      <c r="I354" s="155"/>
      <c r="J354" s="155"/>
      <c r="K354" s="155"/>
      <c r="L354" s="155"/>
      <c r="M354" s="155"/>
      <c r="N354" s="155"/>
      <c r="O354" s="155"/>
      <c r="P354" s="155"/>
      <c r="Q354" s="155"/>
    </row>
    <row r="355" spans="1:17" x14ac:dyDescent="0.25">
      <c r="A355" s="143">
        <v>1</v>
      </c>
      <c r="B355" s="163" t="s">
        <v>1689</v>
      </c>
      <c r="C355" s="139"/>
      <c r="D355" s="140">
        <v>4101</v>
      </c>
      <c r="E355" s="139"/>
      <c r="F355" s="462">
        <v>38.767699999999998</v>
      </c>
      <c r="G355" s="458">
        <v>354.28050000000002</v>
      </c>
      <c r="H355" s="155">
        <v>159625.57046329955</v>
      </c>
      <c r="I355" s="155">
        <v>30440.431021168246</v>
      </c>
      <c r="J355" s="155">
        <v>10775.758519825393</v>
      </c>
      <c r="K355" s="155">
        <v>2440223.5355744017</v>
      </c>
      <c r="L355" s="155">
        <v>151233.42028247108</v>
      </c>
      <c r="M355" s="155">
        <v>3331300.7830847027</v>
      </c>
      <c r="N355" s="155">
        <v>0</v>
      </c>
      <c r="O355" s="155">
        <v>0</v>
      </c>
      <c r="P355" s="155">
        <v>127732.39557909338</v>
      </c>
      <c r="Q355" s="155">
        <v>6251331.8945249617</v>
      </c>
    </row>
    <row r="356" spans="1:17" x14ac:dyDescent="0.25">
      <c r="A356" s="143">
        <v>1</v>
      </c>
      <c r="B356" s="163"/>
      <c r="C356" s="139"/>
      <c r="D356" s="140"/>
      <c r="E356" s="139"/>
      <c r="F356" s="462"/>
      <c r="G356" s="148"/>
      <c r="H356" s="155"/>
      <c r="I356" s="155"/>
      <c r="J356" s="155"/>
      <c r="K356" s="155"/>
      <c r="L356" s="155"/>
      <c r="M356" s="155"/>
      <c r="N356" s="155"/>
      <c r="O356" s="155"/>
      <c r="P356" s="155"/>
      <c r="Q356" s="155"/>
    </row>
    <row r="357" spans="1:17" x14ac:dyDescent="0.25">
      <c r="A357" s="143">
        <v>1</v>
      </c>
      <c r="B357" s="163" t="s">
        <v>1690</v>
      </c>
      <c r="C357" s="139"/>
      <c r="D357" s="140">
        <v>4101</v>
      </c>
      <c r="E357" s="139" t="s">
        <v>1691</v>
      </c>
      <c r="F357" s="478">
        <v>38.4602</v>
      </c>
      <c r="G357" s="458">
        <v>354.28050000000002</v>
      </c>
      <c r="H357" s="155">
        <v>158359.44265800121</v>
      </c>
      <c r="I357" s="155">
        <v>30198.981759566213</v>
      </c>
      <c r="J357" s="155">
        <v>10690.286703213978</v>
      </c>
      <c r="K357" s="155">
        <v>2420868.0221653236</v>
      </c>
      <c r="L357" s="155">
        <v>150033.85784423357</v>
      </c>
      <c r="M357" s="155">
        <v>3304877.368984858</v>
      </c>
      <c r="N357" s="155">
        <v>0</v>
      </c>
      <c r="O357" s="155">
        <v>0</v>
      </c>
      <c r="P357" s="155">
        <v>126719.23999749914</v>
      </c>
      <c r="Q357" s="155">
        <v>6201747.2001126949</v>
      </c>
    </row>
    <row r="358" spans="1:17" x14ac:dyDescent="0.25">
      <c r="A358" s="143">
        <v>1</v>
      </c>
      <c r="B358" s="163"/>
      <c r="C358" s="139"/>
      <c r="D358" s="140"/>
      <c r="E358" s="139"/>
      <c r="F358" s="462"/>
      <c r="G358" s="148"/>
      <c r="H358" s="155"/>
      <c r="I358" s="155"/>
      <c r="J358" s="155"/>
      <c r="K358" s="155"/>
      <c r="L358" s="155"/>
      <c r="M358" s="155"/>
      <c r="N358" s="155"/>
      <c r="O358" s="155"/>
      <c r="P358" s="155"/>
      <c r="Q358" s="155"/>
    </row>
    <row r="359" spans="1:17" x14ac:dyDescent="0.25">
      <c r="A359" s="143">
        <v>1</v>
      </c>
      <c r="B359" s="163" t="s">
        <v>1692</v>
      </c>
      <c r="C359" s="139"/>
      <c r="D359" s="140">
        <v>4125</v>
      </c>
      <c r="E359" s="139"/>
      <c r="F359" s="462">
        <v>40.310299999999998</v>
      </c>
      <c r="G359" s="458">
        <v>414.74720000000002</v>
      </c>
      <c r="H359" s="155">
        <v>1109414.1975836966</v>
      </c>
      <c r="I359" s="155">
        <v>172008.42255544342</v>
      </c>
      <c r="J359" s="155">
        <v>186.42582646248124</v>
      </c>
      <c r="K359" s="155">
        <v>3042315.8644959549</v>
      </c>
      <c r="L359" s="155">
        <v>47830.641310154708</v>
      </c>
      <c r="M359" s="155">
        <v>1341848.1881857428</v>
      </c>
      <c r="N359" s="155">
        <v>0</v>
      </c>
      <c r="O359" s="155">
        <v>0</v>
      </c>
      <c r="P359" s="155">
        <v>173115.63418239349</v>
      </c>
      <c r="Q359" s="155">
        <v>5886719.3741398482</v>
      </c>
    </row>
    <row r="360" spans="1:17" x14ac:dyDescent="0.25">
      <c r="A360" s="143">
        <v>1</v>
      </c>
      <c r="B360" s="163"/>
      <c r="C360" s="139"/>
      <c r="D360" s="140"/>
      <c r="E360" s="139"/>
      <c r="F360" s="462"/>
      <c r="G360" s="148"/>
      <c r="H360" s="155"/>
      <c r="I360" s="155"/>
      <c r="J360" s="155"/>
      <c r="K360" s="155"/>
      <c r="L360" s="155"/>
      <c r="M360" s="155"/>
      <c r="N360" s="155"/>
      <c r="O360" s="155"/>
      <c r="P360" s="155"/>
      <c r="Q360" s="155"/>
    </row>
    <row r="361" spans="1:17" x14ac:dyDescent="0.25">
      <c r="A361" s="143">
        <v>1</v>
      </c>
      <c r="B361" s="163" t="s">
        <v>1693</v>
      </c>
      <c r="C361" s="139"/>
      <c r="D361" s="140">
        <v>4045</v>
      </c>
      <c r="E361" s="139"/>
      <c r="F361" s="462">
        <v>6.4972000000000003</v>
      </c>
      <c r="G361" s="458">
        <v>12.996300000000002</v>
      </c>
      <c r="H361" s="155">
        <v>89552.500917030222</v>
      </c>
      <c r="I361" s="155">
        <v>0</v>
      </c>
      <c r="J361" s="155">
        <v>0</v>
      </c>
      <c r="K361" s="155">
        <v>350752.34410347563</v>
      </c>
      <c r="L361" s="155">
        <v>0</v>
      </c>
      <c r="M361" s="155">
        <v>226562.83769965297</v>
      </c>
      <c r="N361" s="155">
        <v>0</v>
      </c>
      <c r="O361" s="155">
        <v>0</v>
      </c>
      <c r="P361" s="155">
        <v>19000.026876264783</v>
      </c>
      <c r="Q361" s="155">
        <v>685867.70959642367</v>
      </c>
    </row>
    <row r="362" spans="1:17" x14ac:dyDescent="0.25">
      <c r="A362" s="143">
        <v>1</v>
      </c>
      <c r="B362" s="163" t="s">
        <v>1693</v>
      </c>
      <c r="C362" s="139"/>
      <c r="D362" s="140">
        <v>4101</v>
      </c>
      <c r="E362" s="139"/>
      <c r="F362" s="463">
        <v>4.9855999999999998</v>
      </c>
      <c r="G362" s="459">
        <v>354.28050000000002</v>
      </c>
      <c r="H362" s="337">
        <v>20528.152149903817</v>
      </c>
      <c r="I362" s="337">
        <v>3914.6973614410049</v>
      </c>
      <c r="J362" s="337">
        <v>1385.7830533263896</v>
      </c>
      <c r="K362" s="337">
        <v>313817.39073919109</v>
      </c>
      <c r="L362" s="337">
        <v>19448.905665290637</v>
      </c>
      <c r="M362" s="337">
        <v>428411.62060548062</v>
      </c>
      <c r="N362" s="337">
        <v>0</v>
      </c>
      <c r="O362" s="337">
        <v>0</v>
      </c>
      <c r="P362" s="337">
        <v>16426.629162914694</v>
      </c>
      <c r="Q362" s="337">
        <v>803933.1787375483</v>
      </c>
    </row>
    <row r="363" spans="1:17" x14ac:dyDescent="0.25">
      <c r="A363" s="143">
        <v>1</v>
      </c>
      <c r="B363" s="163"/>
      <c r="C363" s="139" t="s">
        <v>1694</v>
      </c>
      <c r="D363" s="140"/>
      <c r="E363" s="139"/>
      <c r="F363" s="462">
        <v>11.482800000000001</v>
      </c>
      <c r="G363" s="157">
        <v>367.27680000000004</v>
      </c>
      <c r="H363" s="155">
        <v>110080.65306693404</v>
      </c>
      <c r="I363" s="155">
        <v>3914.6973614410049</v>
      </c>
      <c r="J363" s="155">
        <v>1385.7830533263896</v>
      </c>
      <c r="K363" s="155">
        <v>664569.73484266666</v>
      </c>
      <c r="L363" s="155">
        <v>19448.905665290637</v>
      </c>
      <c r="M363" s="155">
        <v>654974.45830513362</v>
      </c>
      <c r="N363" s="155">
        <v>0</v>
      </c>
      <c r="O363" s="155">
        <v>0</v>
      </c>
      <c r="P363" s="155">
        <v>35426.656039179477</v>
      </c>
      <c r="Q363" s="155">
        <v>1489800.8883339721</v>
      </c>
    </row>
    <row r="364" spans="1:17" x14ac:dyDescent="0.25">
      <c r="A364" s="143">
        <v>1</v>
      </c>
      <c r="B364" s="163"/>
      <c r="C364" s="139"/>
      <c r="D364" s="140"/>
      <c r="E364" s="139"/>
      <c r="F364" s="462"/>
      <c r="G364" s="148"/>
      <c r="H364" s="155"/>
      <c r="I364" s="155"/>
      <c r="J364" s="155"/>
      <c r="K364" s="155"/>
      <c r="L364" s="155"/>
      <c r="M364" s="155"/>
      <c r="N364" s="155"/>
      <c r="O364" s="155"/>
      <c r="P364" s="155"/>
      <c r="Q364" s="155"/>
    </row>
    <row r="365" spans="1:17" x14ac:dyDescent="0.25">
      <c r="A365" s="143">
        <v>1</v>
      </c>
      <c r="B365" s="163" t="s">
        <v>1695</v>
      </c>
      <c r="C365" s="139"/>
      <c r="D365" s="140">
        <v>4045</v>
      </c>
      <c r="E365" s="139"/>
      <c r="F365" s="462">
        <v>6.4990999999999994</v>
      </c>
      <c r="G365" s="458">
        <v>12.996300000000002</v>
      </c>
      <c r="H365" s="155">
        <v>89578.689082969751</v>
      </c>
      <c r="I365" s="155">
        <v>0</v>
      </c>
      <c r="J365" s="155">
        <v>0</v>
      </c>
      <c r="K365" s="155">
        <v>350854.91589652438</v>
      </c>
      <c r="L365" s="155">
        <v>0</v>
      </c>
      <c r="M365" s="155">
        <v>226629.09230034697</v>
      </c>
      <c r="N365" s="155">
        <v>0</v>
      </c>
      <c r="O365" s="155">
        <v>0</v>
      </c>
      <c r="P365" s="155">
        <v>19005.583123735214</v>
      </c>
      <c r="Q365" s="155">
        <v>686068.28040357633</v>
      </c>
    </row>
    <row r="366" spans="1:17" x14ac:dyDescent="0.25">
      <c r="A366" s="143">
        <v>1</v>
      </c>
      <c r="B366" s="163" t="s">
        <v>1695</v>
      </c>
      <c r="C366" s="139"/>
      <c r="D366" s="140">
        <v>4101</v>
      </c>
      <c r="E366" s="139"/>
      <c r="F366" s="463">
        <v>4.9901999999999997</v>
      </c>
      <c r="G366" s="459">
        <v>354.28050000000002</v>
      </c>
      <c r="H366" s="337">
        <v>20547.092598373321</v>
      </c>
      <c r="I366" s="337">
        <v>3918.3092853544003</v>
      </c>
      <c r="J366" s="337">
        <v>1387.0616561114709</v>
      </c>
      <c r="K366" s="337">
        <v>314106.93663083913</v>
      </c>
      <c r="L366" s="337">
        <v>19466.850339163459</v>
      </c>
      <c r="M366" s="337">
        <v>428806.89769445389</v>
      </c>
      <c r="N366" s="337">
        <v>0</v>
      </c>
      <c r="O366" s="337">
        <v>0</v>
      </c>
      <c r="P366" s="337">
        <v>16441.785311452364</v>
      </c>
      <c r="Q366" s="337">
        <v>804674.93351574801</v>
      </c>
    </row>
    <row r="367" spans="1:17" x14ac:dyDescent="0.25">
      <c r="A367" s="143">
        <v>1</v>
      </c>
      <c r="B367" s="163"/>
      <c r="C367" s="139" t="s">
        <v>1696</v>
      </c>
      <c r="D367" s="140"/>
      <c r="E367" s="139"/>
      <c r="F367" s="462">
        <v>11.4893</v>
      </c>
      <c r="G367" s="157">
        <v>367.27680000000004</v>
      </c>
      <c r="H367" s="155">
        <v>110125.78168134307</v>
      </c>
      <c r="I367" s="155">
        <v>3918.3092853544003</v>
      </c>
      <c r="J367" s="155">
        <v>1387.0616561114709</v>
      </c>
      <c r="K367" s="155">
        <v>664961.85252736346</v>
      </c>
      <c r="L367" s="155">
        <v>19466.850339163459</v>
      </c>
      <c r="M367" s="155">
        <v>655435.98999480088</v>
      </c>
      <c r="N367" s="155">
        <v>0</v>
      </c>
      <c r="O367" s="155">
        <v>0</v>
      </c>
      <c r="P367" s="155">
        <v>35447.368435187578</v>
      </c>
      <c r="Q367" s="155">
        <v>1490743.2139193243</v>
      </c>
    </row>
    <row r="368" spans="1:17" x14ac:dyDescent="0.25">
      <c r="A368" s="143">
        <v>1</v>
      </c>
      <c r="B368" s="163"/>
      <c r="C368" s="139"/>
      <c r="D368" s="140"/>
      <c r="E368" s="139"/>
      <c r="F368" s="462"/>
      <c r="G368" s="148"/>
      <c r="H368" s="155"/>
      <c r="I368" s="155"/>
      <c r="J368" s="155"/>
      <c r="K368" s="155"/>
      <c r="L368" s="155"/>
      <c r="M368" s="155"/>
      <c r="N368" s="155"/>
      <c r="O368" s="155"/>
      <c r="P368" s="155"/>
      <c r="Q368" s="155"/>
    </row>
    <row r="369" spans="1:17" x14ac:dyDescent="0.25">
      <c r="A369" s="143">
        <v>1</v>
      </c>
      <c r="B369" s="163" t="s">
        <v>1697</v>
      </c>
      <c r="C369" s="139"/>
      <c r="D369" s="140">
        <v>4051</v>
      </c>
      <c r="E369" s="139"/>
      <c r="F369" s="462">
        <v>3.9227999999999996</v>
      </c>
      <c r="G369" s="458">
        <v>7.3538999999999994</v>
      </c>
      <c r="H369" s="155">
        <v>0</v>
      </c>
      <c r="I369" s="155">
        <v>0</v>
      </c>
      <c r="J369" s="155">
        <v>0</v>
      </c>
      <c r="K369" s="155">
        <v>168754.25888956882</v>
      </c>
      <c r="L369" s="155">
        <v>0</v>
      </c>
      <c r="M369" s="155">
        <v>109288.09632929465</v>
      </c>
      <c r="N369" s="155">
        <v>0</v>
      </c>
      <c r="O369" s="155">
        <v>0</v>
      </c>
      <c r="P369" s="155">
        <v>77516.851626483913</v>
      </c>
      <c r="Q369" s="155">
        <v>355559.20684534736</v>
      </c>
    </row>
    <row r="370" spans="1:17" x14ac:dyDescent="0.25">
      <c r="A370" s="143">
        <v>1</v>
      </c>
      <c r="B370" s="163" t="s">
        <v>1740</v>
      </c>
      <c r="C370" s="139"/>
      <c r="D370" s="140">
        <v>4051</v>
      </c>
      <c r="E370" s="139"/>
      <c r="F370" s="462">
        <v>3.4311000000000003</v>
      </c>
      <c r="G370" s="458">
        <v>7.3538999999999994</v>
      </c>
      <c r="H370" s="155">
        <v>0</v>
      </c>
      <c r="I370" s="155">
        <v>0</v>
      </c>
      <c r="J370" s="155">
        <v>0</v>
      </c>
      <c r="K370" s="155">
        <v>147601.90111043127</v>
      </c>
      <c r="L370" s="155">
        <v>0</v>
      </c>
      <c r="M370" s="155">
        <v>95589.473670705353</v>
      </c>
      <c r="N370" s="155">
        <v>0</v>
      </c>
      <c r="O370" s="155">
        <v>0</v>
      </c>
      <c r="P370" s="155">
        <v>67800.568373516115</v>
      </c>
      <c r="Q370" s="155">
        <v>310991.94315465272</v>
      </c>
    </row>
    <row r="371" spans="1:17" x14ac:dyDescent="0.25">
      <c r="A371" s="143">
        <v>1</v>
      </c>
      <c r="B371" s="163" t="s">
        <v>1697</v>
      </c>
      <c r="C371" s="139"/>
      <c r="D371" s="140">
        <v>4101</v>
      </c>
      <c r="E371" s="139"/>
      <c r="F371" s="473">
        <v>27.997499999999999</v>
      </c>
      <c r="G371" s="458">
        <v>354.28050000000002</v>
      </c>
      <c r="H371" s="150">
        <v>115279.39261411509</v>
      </c>
      <c r="I371" s="150">
        <v>21983.660818546319</v>
      </c>
      <c r="J371" s="150">
        <v>7782.1046685465335</v>
      </c>
      <c r="K371" s="150">
        <v>1762295.8916119428</v>
      </c>
      <c r="L371" s="150">
        <v>109218.69712050197</v>
      </c>
      <c r="M371" s="150">
        <v>2405819.6301151202</v>
      </c>
      <c r="N371" s="150">
        <v>0</v>
      </c>
      <c r="O371" s="150">
        <v>0</v>
      </c>
      <c r="P371" s="150">
        <v>92246.580148568712</v>
      </c>
      <c r="Q371" s="150">
        <v>4514625.9570973413</v>
      </c>
    </row>
    <row r="372" spans="1:17" x14ac:dyDescent="0.25">
      <c r="A372" s="143">
        <v>1</v>
      </c>
      <c r="B372" s="163" t="s">
        <v>1740</v>
      </c>
      <c r="C372" s="139"/>
      <c r="D372" s="140">
        <v>4101</v>
      </c>
      <c r="E372" s="139"/>
      <c r="F372" s="463">
        <v>0.13639999999999999</v>
      </c>
      <c r="G372" s="458">
        <v>354.28050000000002</v>
      </c>
      <c r="H372" s="150">
        <v>561.62547200876134</v>
      </c>
      <c r="I372" s="150">
        <v>107.10139604070784</v>
      </c>
      <c r="J372" s="150">
        <v>37.913352148932837</v>
      </c>
      <c r="K372" s="150">
        <v>8585.6651349538006</v>
      </c>
      <c r="L372" s="150">
        <v>532.09859048973897</v>
      </c>
      <c r="M372" s="150">
        <v>11720.824986077414</v>
      </c>
      <c r="N372" s="150">
        <v>0</v>
      </c>
      <c r="O372" s="150">
        <v>0</v>
      </c>
      <c r="P372" s="150">
        <v>449.4127522909107</v>
      </c>
      <c r="Q372" s="150">
        <v>21994.641684010268</v>
      </c>
    </row>
    <row r="373" spans="1:17" x14ac:dyDescent="0.25">
      <c r="A373" s="143">
        <v>1</v>
      </c>
      <c r="B373" s="163"/>
      <c r="C373" s="139" t="s">
        <v>1698</v>
      </c>
      <c r="D373" s="140"/>
      <c r="E373" s="139"/>
      <c r="F373" s="462">
        <v>35.4878</v>
      </c>
      <c r="G373" s="159">
        <v>361.63440000000003</v>
      </c>
      <c r="H373" s="346">
        <v>115841.01808612385</v>
      </c>
      <c r="I373" s="346">
        <v>22090.762214587026</v>
      </c>
      <c r="J373" s="346">
        <v>7820.0180206954665</v>
      </c>
      <c r="K373" s="346">
        <v>2087237.7167468967</v>
      </c>
      <c r="L373" s="346">
        <v>109750.7957109917</v>
      </c>
      <c r="M373" s="346">
        <v>2622418.0251011974</v>
      </c>
      <c r="N373" s="346">
        <v>0</v>
      </c>
      <c r="O373" s="346">
        <v>0</v>
      </c>
      <c r="P373" s="346">
        <v>238013.41290085966</v>
      </c>
      <c r="Q373" s="346">
        <v>5203171.7487813523</v>
      </c>
    </row>
    <row r="374" spans="1:17" x14ac:dyDescent="0.25">
      <c r="A374" s="143">
        <v>1</v>
      </c>
      <c r="B374" s="163"/>
      <c r="C374" s="139"/>
      <c r="D374" s="140"/>
      <c r="E374" s="139"/>
      <c r="F374" s="462"/>
      <c r="G374" s="148"/>
      <c r="H374" s="155"/>
      <c r="I374" s="155"/>
      <c r="J374" s="155"/>
      <c r="K374" s="155"/>
      <c r="L374" s="155"/>
      <c r="M374" s="155"/>
      <c r="N374" s="155"/>
      <c r="O374" s="155"/>
      <c r="P374" s="155"/>
      <c r="Q374" s="155"/>
    </row>
    <row r="375" spans="1:17" x14ac:dyDescent="0.25">
      <c r="A375" s="143">
        <v>1</v>
      </c>
      <c r="B375" s="163" t="s">
        <v>1699</v>
      </c>
      <c r="C375" s="139"/>
      <c r="D375" s="140">
        <v>4169</v>
      </c>
      <c r="E375" s="139"/>
      <c r="F375" s="462">
        <v>33.2042</v>
      </c>
      <c r="G375" s="458">
        <v>297.62279999999993</v>
      </c>
      <c r="H375" s="155">
        <v>397770.81140663294</v>
      </c>
      <c r="I375" s="155">
        <v>0</v>
      </c>
      <c r="J375" s="155">
        <v>301.37643255825844</v>
      </c>
      <c r="K375" s="155">
        <v>973402.63356771739</v>
      </c>
      <c r="L375" s="155">
        <v>44452.48271352196</v>
      </c>
      <c r="M375" s="155">
        <v>676744.53234625852</v>
      </c>
      <c r="N375" s="155">
        <v>0</v>
      </c>
      <c r="O375" s="155">
        <v>0</v>
      </c>
      <c r="P375" s="155">
        <v>11842.823300674547</v>
      </c>
      <c r="Q375" s="155">
        <v>2104514.6597673637</v>
      </c>
    </row>
    <row r="376" spans="1:17" x14ac:dyDescent="0.25">
      <c r="A376" s="143">
        <v>1</v>
      </c>
      <c r="B376" s="163"/>
      <c r="C376" s="139"/>
      <c r="D376" s="140"/>
      <c r="E376" s="139"/>
      <c r="F376" s="462"/>
      <c r="G376" s="148"/>
      <c r="H376" s="155"/>
      <c r="I376" s="155"/>
      <c r="J376" s="155"/>
      <c r="K376" s="155"/>
      <c r="L376" s="155"/>
      <c r="M376" s="155"/>
      <c r="N376" s="155"/>
      <c r="O376" s="155"/>
      <c r="P376" s="155"/>
      <c r="Q376" s="155"/>
    </row>
    <row r="377" spans="1:17" x14ac:dyDescent="0.25">
      <c r="A377" s="143">
        <v>1</v>
      </c>
      <c r="B377" s="163" t="s">
        <v>1700</v>
      </c>
      <c r="C377" s="139"/>
      <c r="D377" s="140">
        <v>4169</v>
      </c>
      <c r="E377" s="139"/>
      <c r="F377" s="462">
        <v>33.203099999999999</v>
      </c>
      <c r="G377" s="458">
        <v>297.62279999999993</v>
      </c>
      <c r="H377" s="155">
        <v>397757.63392027433</v>
      </c>
      <c r="I377" s="155">
        <v>0</v>
      </c>
      <c r="J377" s="155">
        <v>301.36644845757792</v>
      </c>
      <c r="K377" s="155">
        <v>973370.38635510812</v>
      </c>
      <c r="L377" s="155">
        <v>44451.010076596962</v>
      </c>
      <c r="M377" s="155">
        <v>676722.11292384868</v>
      </c>
      <c r="N377" s="155">
        <v>0</v>
      </c>
      <c r="O377" s="155">
        <v>0</v>
      </c>
      <c r="P377" s="155">
        <v>11842.430967607323</v>
      </c>
      <c r="Q377" s="155">
        <v>2104444.940691893</v>
      </c>
    </row>
    <row r="378" spans="1:17" x14ac:dyDescent="0.25">
      <c r="A378" s="143">
        <v>1</v>
      </c>
      <c r="B378" s="163"/>
      <c r="C378" s="139"/>
      <c r="D378" s="140"/>
      <c r="E378" s="139"/>
      <c r="F378" s="462"/>
      <c r="G378" s="148"/>
      <c r="H378" s="155"/>
      <c r="I378" s="155"/>
      <c r="J378" s="155"/>
      <c r="K378" s="155"/>
      <c r="L378" s="155"/>
      <c r="M378" s="155"/>
      <c r="N378" s="155"/>
      <c r="O378" s="155"/>
      <c r="P378" s="155"/>
      <c r="Q378" s="155"/>
    </row>
    <row r="379" spans="1:17" x14ac:dyDescent="0.25">
      <c r="A379" s="143">
        <v>1</v>
      </c>
      <c r="B379" s="163" t="s">
        <v>1701</v>
      </c>
      <c r="C379" s="139"/>
      <c r="D379" s="140">
        <v>4107</v>
      </c>
      <c r="E379" s="139"/>
      <c r="F379" s="462">
        <v>32.3628</v>
      </c>
      <c r="G379" s="458">
        <v>270.78870000000006</v>
      </c>
      <c r="H379" s="155">
        <v>315472.280684578</v>
      </c>
      <c r="I379" s="155">
        <v>39018.3979151124</v>
      </c>
      <c r="J379" s="155">
        <v>0</v>
      </c>
      <c r="K379" s="155">
        <v>1062288.559606218</v>
      </c>
      <c r="L379" s="155">
        <v>0</v>
      </c>
      <c r="M379" s="155">
        <v>814328.62708589947</v>
      </c>
      <c r="N379" s="155">
        <v>0</v>
      </c>
      <c r="O379" s="155">
        <v>0</v>
      </c>
      <c r="P379" s="155">
        <v>99966.3055946573</v>
      </c>
      <c r="Q379" s="155">
        <v>2331074.1708864649</v>
      </c>
    </row>
    <row r="380" spans="1:17" x14ac:dyDescent="0.25">
      <c r="A380" s="143">
        <v>1</v>
      </c>
      <c r="B380" s="163"/>
      <c r="C380" s="139"/>
      <c r="D380" s="140"/>
      <c r="E380" s="139"/>
      <c r="F380" s="462"/>
      <c r="G380" s="148"/>
      <c r="H380" s="155"/>
      <c r="I380" s="155"/>
      <c r="J380" s="155"/>
      <c r="K380" s="155"/>
      <c r="L380" s="155"/>
      <c r="M380" s="155"/>
      <c r="N380" s="155"/>
      <c r="O380" s="155"/>
      <c r="P380" s="155"/>
      <c r="Q380" s="155"/>
    </row>
    <row r="381" spans="1:17" x14ac:dyDescent="0.25">
      <c r="A381" s="143">
        <v>1</v>
      </c>
      <c r="B381" s="163" t="s">
        <v>1702</v>
      </c>
      <c r="C381" s="139"/>
      <c r="D381" s="140">
        <v>4070</v>
      </c>
      <c r="E381" s="139"/>
      <c r="F381" s="462">
        <v>4.4239999999999995</v>
      </c>
      <c r="G381" s="458">
        <v>4.4239999999999995</v>
      </c>
      <c r="H381" s="155">
        <v>61040.14</v>
      </c>
      <c r="I381" s="155">
        <v>0</v>
      </c>
      <c r="J381" s="155">
        <v>0</v>
      </c>
      <c r="K381" s="155">
        <v>344763.94</v>
      </c>
      <c r="L381" s="155">
        <v>0</v>
      </c>
      <c r="M381" s="155">
        <v>232145.83000000002</v>
      </c>
      <c r="N381" s="155">
        <v>0</v>
      </c>
      <c r="O381" s="155">
        <v>0</v>
      </c>
      <c r="P381" s="155">
        <v>11892.08</v>
      </c>
      <c r="Q381" s="155">
        <v>649841.99</v>
      </c>
    </row>
    <row r="382" spans="1:17" x14ac:dyDescent="0.25">
      <c r="A382" s="143">
        <v>1</v>
      </c>
      <c r="B382" s="163" t="s">
        <v>1702</v>
      </c>
      <c r="C382" s="139"/>
      <c r="D382" s="140">
        <v>4107</v>
      </c>
      <c r="E382" s="139"/>
      <c r="F382" s="462">
        <v>5.0347999999999997</v>
      </c>
      <c r="G382" s="458">
        <v>270.78870000000006</v>
      </c>
      <c r="H382" s="155">
        <v>49079.184705609929</v>
      </c>
      <c r="I382" s="155">
        <v>6070.2358826494592</v>
      </c>
      <c r="J382" s="155">
        <v>0</v>
      </c>
      <c r="K382" s="155">
        <v>165264.14401428142</v>
      </c>
      <c r="L382" s="155">
        <v>0</v>
      </c>
      <c r="M382" s="155">
        <v>126688.10398519557</v>
      </c>
      <c r="N382" s="155">
        <v>0</v>
      </c>
      <c r="O382" s="155">
        <v>0</v>
      </c>
      <c r="P382" s="155">
        <v>15552.126373737148</v>
      </c>
      <c r="Q382" s="155">
        <v>362653.79496147356</v>
      </c>
    </row>
    <row r="383" spans="1:17" x14ac:dyDescent="0.25">
      <c r="A383" s="143">
        <v>1</v>
      </c>
      <c r="B383" s="163" t="s">
        <v>1702</v>
      </c>
      <c r="C383" s="139"/>
      <c r="D383" s="140">
        <v>4157</v>
      </c>
      <c r="E383" s="139"/>
      <c r="F383" s="463">
        <v>20.572199999999999</v>
      </c>
      <c r="G383" s="459">
        <v>20.572199999999999</v>
      </c>
      <c r="H383" s="337">
        <v>105605.40000000001</v>
      </c>
      <c r="I383" s="337">
        <v>18610.490000000002</v>
      </c>
      <c r="J383" s="337">
        <v>0</v>
      </c>
      <c r="K383" s="337">
        <v>1994780.5100000002</v>
      </c>
      <c r="L383" s="337">
        <v>0</v>
      </c>
      <c r="M383" s="337">
        <v>3584786.21</v>
      </c>
      <c r="N383" s="337">
        <v>0</v>
      </c>
      <c r="O383" s="337">
        <v>0</v>
      </c>
      <c r="P383" s="337">
        <v>537026.46</v>
      </c>
      <c r="Q383" s="337">
        <v>6240809.0700000003</v>
      </c>
    </row>
    <row r="384" spans="1:17" x14ac:dyDescent="0.25">
      <c r="A384" s="143">
        <v>1</v>
      </c>
      <c r="B384" s="163"/>
      <c r="C384" s="139" t="s">
        <v>1703</v>
      </c>
      <c r="D384" s="140"/>
      <c r="E384" s="139"/>
      <c r="F384" s="462">
        <v>30.030999999999999</v>
      </c>
      <c r="G384" s="157">
        <v>295.78490000000005</v>
      </c>
      <c r="H384" s="155">
        <v>215724.72470560996</v>
      </c>
      <c r="I384" s="155">
        <v>24680.725882649462</v>
      </c>
      <c r="J384" s="155">
        <v>0</v>
      </c>
      <c r="K384" s="155">
        <v>2504808.5940142814</v>
      </c>
      <c r="L384" s="155">
        <v>0</v>
      </c>
      <c r="M384" s="155">
        <v>3943620.1439851956</v>
      </c>
      <c r="N384" s="155">
        <v>0</v>
      </c>
      <c r="O384" s="155">
        <v>0</v>
      </c>
      <c r="P384" s="155">
        <v>564470.66637373716</v>
      </c>
      <c r="Q384" s="155">
        <v>7253304.8549614735</v>
      </c>
    </row>
    <row r="385" spans="1:17" x14ac:dyDescent="0.25">
      <c r="A385" s="143">
        <v>1</v>
      </c>
      <c r="B385" s="163"/>
      <c r="C385" s="139"/>
      <c r="D385" s="140"/>
      <c r="E385" s="139"/>
      <c r="F385" s="462"/>
      <c r="G385" s="148"/>
      <c r="H385" s="155"/>
      <c r="I385" s="155"/>
      <c r="J385" s="155"/>
      <c r="K385" s="155"/>
      <c r="L385" s="155"/>
      <c r="M385" s="155"/>
      <c r="N385" s="155"/>
      <c r="O385" s="155"/>
      <c r="P385" s="155"/>
      <c r="Q385" s="155"/>
    </row>
    <row r="386" spans="1:17" x14ac:dyDescent="0.25">
      <c r="A386" s="143">
        <v>1</v>
      </c>
      <c r="B386" s="163" t="s">
        <v>1704</v>
      </c>
      <c r="C386" s="139"/>
      <c r="D386" s="140">
        <v>4104</v>
      </c>
      <c r="E386" s="139" t="s">
        <v>1583</v>
      </c>
      <c r="F386" s="462">
        <v>8.2454000000000001</v>
      </c>
      <c r="G386" s="458">
        <v>143.64699999999999</v>
      </c>
      <c r="H386" s="155">
        <v>76397.139879252703</v>
      </c>
      <c r="I386" s="155">
        <v>0</v>
      </c>
      <c r="J386" s="155">
        <v>0</v>
      </c>
      <c r="K386" s="155">
        <v>333757.21819897392</v>
      </c>
      <c r="L386" s="155">
        <v>10108.398211713438</v>
      </c>
      <c r="M386" s="155">
        <v>179817.91802845866</v>
      </c>
      <c r="N386" s="155">
        <v>0</v>
      </c>
      <c r="O386" s="155">
        <v>0</v>
      </c>
      <c r="P386" s="155">
        <v>13221.032957446143</v>
      </c>
      <c r="Q386" s="155">
        <v>613301.70727584488</v>
      </c>
    </row>
    <row r="387" spans="1:17" x14ac:dyDescent="0.25">
      <c r="A387" s="143">
        <v>1</v>
      </c>
      <c r="B387" s="163" t="s">
        <v>1741</v>
      </c>
      <c r="C387" s="139"/>
      <c r="D387" s="140">
        <v>4104</v>
      </c>
      <c r="E387" s="139" t="s">
        <v>1584</v>
      </c>
      <c r="F387" s="463">
        <v>4.1500000000000002E-2</v>
      </c>
      <c r="G387" s="459">
        <v>4.1500000000000002E-2</v>
      </c>
      <c r="H387" s="337">
        <v>384.51516057304519</v>
      </c>
      <c r="I387" s="337">
        <v>0</v>
      </c>
      <c r="J387" s="337">
        <v>0</v>
      </c>
      <c r="K387" s="337">
        <v>0</v>
      </c>
      <c r="L387" s="337">
        <v>0</v>
      </c>
      <c r="M387" s="337">
        <v>0</v>
      </c>
      <c r="N387" s="337">
        <v>1479.8600000000001</v>
      </c>
      <c r="O387" s="337">
        <v>260160.02000000005</v>
      </c>
      <c r="P387" s="337">
        <v>66.542904860166274</v>
      </c>
      <c r="Q387" s="337">
        <v>262090.93806543326</v>
      </c>
    </row>
    <row r="388" spans="1:17" x14ac:dyDescent="0.25">
      <c r="A388" s="143">
        <v>1</v>
      </c>
      <c r="B388" s="163"/>
      <c r="C388" s="139" t="s">
        <v>1705</v>
      </c>
      <c r="D388" s="140"/>
      <c r="E388" s="139"/>
      <c r="F388" s="462">
        <v>8.2868999999999993</v>
      </c>
      <c r="G388" s="157">
        <v>143.6885</v>
      </c>
      <c r="H388" s="155">
        <v>76781.655039825753</v>
      </c>
      <c r="I388" s="155">
        <v>0</v>
      </c>
      <c r="J388" s="155">
        <v>0</v>
      </c>
      <c r="K388" s="155">
        <v>333757.21819897392</v>
      </c>
      <c r="L388" s="155">
        <v>10108.398211713438</v>
      </c>
      <c r="M388" s="155">
        <v>179817.91802845866</v>
      </c>
      <c r="N388" s="155">
        <v>1479.8600000000001</v>
      </c>
      <c r="O388" s="155">
        <v>260160.02000000005</v>
      </c>
      <c r="P388" s="155">
        <v>13287.575862306308</v>
      </c>
      <c r="Q388" s="155">
        <v>875392.64534127817</v>
      </c>
    </row>
    <row r="389" spans="1:17" x14ac:dyDescent="0.25">
      <c r="A389" s="143">
        <v>1</v>
      </c>
      <c r="B389" s="163"/>
      <c r="C389" s="139"/>
      <c r="D389" s="140"/>
      <c r="E389" s="139"/>
      <c r="F389" s="462"/>
      <c r="G389" s="148"/>
      <c r="H389" s="155"/>
      <c r="I389" s="155"/>
      <c r="J389" s="155"/>
      <c r="K389" s="155"/>
      <c r="L389" s="155"/>
      <c r="M389" s="155"/>
      <c r="N389" s="155"/>
      <c r="O389" s="155"/>
      <c r="P389" s="155"/>
      <c r="Q389" s="155"/>
    </row>
    <row r="390" spans="1:17" x14ac:dyDescent="0.25">
      <c r="A390" s="143">
        <v>1</v>
      </c>
      <c r="B390" s="163" t="s">
        <v>1706</v>
      </c>
      <c r="C390" s="139"/>
      <c r="D390" s="140">
        <v>4108</v>
      </c>
      <c r="E390" s="139"/>
      <c r="F390" s="462">
        <v>28.360600000000002</v>
      </c>
      <c r="G390" s="458">
        <v>169.202</v>
      </c>
      <c r="H390" s="155">
        <v>1352307.0206541531</v>
      </c>
      <c r="I390" s="155">
        <v>508838.23295692727</v>
      </c>
      <c r="J390" s="155">
        <v>0</v>
      </c>
      <c r="K390" s="155">
        <v>2365828.7597391643</v>
      </c>
      <c r="L390" s="155">
        <v>261222.23864155269</v>
      </c>
      <c r="M390" s="155">
        <v>2371885.409395338</v>
      </c>
      <c r="N390" s="155">
        <v>17.753659838536187</v>
      </c>
      <c r="O390" s="155">
        <v>0</v>
      </c>
      <c r="P390" s="155">
        <v>76118.576869906989</v>
      </c>
      <c r="Q390" s="155">
        <v>6936217.9919168809</v>
      </c>
    </row>
    <row r="391" spans="1:17" x14ac:dyDescent="0.25">
      <c r="A391" s="143">
        <v>1</v>
      </c>
      <c r="B391" s="163"/>
      <c r="C391" s="139"/>
      <c r="D391" s="140"/>
      <c r="E391" s="139"/>
      <c r="F391" s="462"/>
      <c r="G391" s="148"/>
      <c r="H391" s="155"/>
      <c r="I391" s="155"/>
      <c r="J391" s="155"/>
      <c r="K391" s="155"/>
      <c r="L391" s="155"/>
      <c r="M391" s="155"/>
      <c r="N391" s="155"/>
      <c r="O391" s="155"/>
      <c r="P391" s="155"/>
      <c r="Q391" s="155"/>
    </row>
    <row r="392" spans="1:17" x14ac:dyDescent="0.25">
      <c r="A392" s="143">
        <v>1</v>
      </c>
      <c r="B392" s="163" t="s">
        <v>1707</v>
      </c>
      <c r="C392" s="139"/>
      <c r="D392" s="140">
        <v>4108</v>
      </c>
      <c r="E392" s="139"/>
      <c r="F392" s="462">
        <v>28.358000000000001</v>
      </c>
      <c r="G392" s="458">
        <v>169.202</v>
      </c>
      <c r="H392" s="155">
        <v>1352183.045905604</v>
      </c>
      <c r="I392" s="155">
        <v>508791.58445845795</v>
      </c>
      <c r="J392" s="155">
        <v>0</v>
      </c>
      <c r="K392" s="155">
        <v>2365611.8688844107</v>
      </c>
      <c r="L392" s="155">
        <v>261198.29070601999</v>
      </c>
      <c r="M392" s="155">
        <v>2371667.9632882592</v>
      </c>
      <c r="N392" s="155">
        <v>17.752032245481733</v>
      </c>
      <c r="O392" s="155">
        <v>0</v>
      </c>
      <c r="P392" s="155">
        <v>76111.598586659748</v>
      </c>
      <c r="Q392" s="155">
        <v>6935582.103861657</v>
      </c>
    </row>
    <row r="393" spans="1:17" x14ac:dyDescent="0.25">
      <c r="A393" s="143">
        <v>1</v>
      </c>
      <c r="B393" s="163"/>
      <c r="C393" s="139"/>
      <c r="D393" s="140"/>
      <c r="E393" s="139"/>
      <c r="F393" s="462"/>
      <c r="G393" s="148"/>
      <c r="H393" s="155"/>
      <c r="I393" s="155"/>
      <c r="J393" s="155"/>
      <c r="K393" s="155"/>
      <c r="L393" s="155"/>
      <c r="M393" s="155"/>
      <c r="N393" s="155"/>
      <c r="O393" s="155"/>
      <c r="P393" s="155"/>
      <c r="Q393" s="155"/>
    </row>
    <row r="394" spans="1:17" x14ac:dyDescent="0.25">
      <c r="A394" s="143">
        <v>1</v>
      </c>
      <c r="B394" s="163" t="s">
        <v>1708</v>
      </c>
      <c r="C394" s="139"/>
      <c r="D394" s="140">
        <v>4108</v>
      </c>
      <c r="E394" s="139"/>
      <c r="F394" s="462">
        <v>40.350300000000004</v>
      </c>
      <c r="G394" s="458">
        <v>169.202</v>
      </c>
      <c r="H394" s="155">
        <v>1924007.0370690776</v>
      </c>
      <c r="I394" s="155">
        <v>723954.19530200004</v>
      </c>
      <c r="J394" s="155">
        <v>0</v>
      </c>
      <c r="K394" s="155">
        <v>3366004.2525229794</v>
      </c>
      <c r="L394" s="155">
        <v>371656.30120160518</v>
      </c>
      <c r="M394" s="155">
        <v>3374621.4055670449</v>
      </c>
      <c r="N394" s="155">
        <v>25.259180009692557</v>
      </c>
      <c r="O394" s="155">
        <v>0</v>
      </c>
      <c r="P394" s="155">
        <v>108298.39327354879</v>
      </c>
      <c r="Q394" s="155">
        <v>9868566.8441162668</v>
      </c>
    </row>
    <row r="395" spans="1:17" x14ac:dyDescent="0.25">
      <c r="A395" s="143">
        <v>1</v>
      </c>
      <c r="B395" s="163"/>
      <c r="C395" s="139"/>
      <c r="D395" s="140"/>
      <c r="E395" s="139"/>
      <c r="F395" s="462"/>
      <c r="G395" s="148"/>
      <c r="H395" s="155"/>
      <c r="I395" s="155"/>
      <c r="J395" s="155"/>
      <c r="K395" s="155"/>
      <c r="L395" s="155"/>
      <c r="M395" s="155"/>
      <c r="N395" s="155"/>
      <c r="O395" s="155"/>
      <c r="P395" s="155"/>
      <c r="Q395" s="155"/>
    </row>
    <row r="396" spans="1:17" x14ac:dyDescent="0.25">
      <c r="A396" s="143">
        <v>1</v>
      </c>
      <c r="B396" s="163" t="s">
        <v>1709</v>
      </c>
      <c r="C396" s="139"/>
      <c r="D396" s="140">
        <v>4108</v>
      </c>
      <c r="E396" s="139"/>
      <c r="F396" s="462">
        <v>21.882841259999999</v>
      </c>
      <c r="G396" s="458">
        <v>169.202</v>
      </c>
      <c r="H396" s="155">
        <v>1043430.6702875952</v>
      </c>
      <c r="I396" s="155">
        <v>392616.03346950834</v>
      </c>
      <c r="J396" s="155">
        <v>0</v>
      </c>
      <c r="K396" s="155">
        <v>1825456.9789678215</v>
      </c>
      <c r="L396" s="155">
        <v>201557.2583716471</v>
      </c>
      <c r="M396" s="155">
        <v>1830130.2476219928</v>
      </c>
      <c r="N396" s="155">
        <v>13.698600171742649</v>
      </c>
      <c r="O396" s="155">
        <v>0</v>
      </c>
      <c r="P396" s="155">
        <v>58732.563294897918</v>
      </c>
      <c r="Q396" s="155">
        <v>5351937.4506136347</v>
      </c>
    </row>
    <row r="397" spans="1:17" x14ac:dyDescent="0.25">
      <c r="A397" s="143">
        <v>1</v>
      </c>
      <c r="B397" s="163"/>
      <c r="C397" s="139"/>
      <c r="D397" s="140"/>
      <c r="E397" s="139"/>
      <c r="F397" s="462"/>
      <c r="G397" s="148"/>
      <c r="H397" s="155"/>
      <c r="I397" s="155"/>
      <c r="J397" s="155"/>
      <c r="K397" s="155"/>
      <c r="L397" s="155"/>
      <c r="M397" s="155"/>
      <c r="N397" s="155"/>
      <c r="O397" s="155"/>
      <c r="P397" s="155"/>
      <c r="Q397" s="155"/>
    </row>
    <row r="398" spans="1:17" x14ac:dyDescent="0.25">
      <c r="A398" s="143">
        <v>1</v>
      </c>
      <c r="B398" s="163" t="s">
        <v>1710</v>
      </c>
      <c r="C398" s="139"/>
      <c r="D398" s="140">
        <v>4059</v>
      </c>
      <c r="E398" s="139"/>
      <c r="F398" s="473">
        <v>2.7389999999999999</v>
      </c>
      <c r="G398" s="458">
        <v>2.7390000000000003</v>
      </c>
      <c r="H398" s="155">
        <v>13001.63</v>
      </c>
      <c r="I398" s="155">
        <v>0</v>
      </c>
      <c r="J398" s="155">
        <v>0</v>
      </c>
      <c r="K398" s="155">
        <v>333663.37999999995</v>
      </c>
      <c r="L398" s="155">
        <v>0</v>
      </c>
      <c r="M398" s="155">
        <v>202342.83999999994</v>
      </c>
      <c r="N398" s="155">
        <v>0</v>
      </c>
      <c r="O398" s="155">
        <v>0</v>
      </c>
      <c r="P398" s="155">
        <v>20952.759999999998</v>
      </c>
      <c r="Q398" s="155">
        <v>569960.60999999987</v>
      </c>
    </row>
    <row r="399" spans="1:17" x14ac:dyDescent="0.25">
      <c r="A399" s="143">
        <v>1</v>
      </c>
      <c r="B399" s="163" t="s">
        <v>1710</v>
      </c>
      <c r="C399" s="139"/>
      <c r="D399" s="140">
        <v>4125</v>
      </c>
      <c r="E399" s="139"/>
      <c r="F399" s="462">
        <v>40.285900000000005</v>
      </c>
      <c r="G399" s="458">
        <v>414.74720000000002</v>
      </c>
      <c r="H399" s="155">
        <v>1108742.664342291</v>
      </c>
      <c r="I399" s="155">
        <v>171904.30510877716</v>
      </c>
      <c r="J399" s="155">
        <v>186.3129820984928</v>
      </c>
      <c r="K399" s="155">
        <v>3040474.3374645594</v>
      </c>
      <c r="L399" s="155">
        <v>47801.689214834973</v>
      </c>
      <c r="M399" s="155">
        <v>1341035.9616383908</v>
      </c>
      <c r="N399" s="155">
        <v>0</v>
      </c>
      <c r="O399" s="155">
        <v>0</v>
      </c>
      <c r="P399" s="155">
        <v>173010.8465357114</v>
      </c>
      <c r="Q399" s="155">
        <v>5883156.1172866635</v>
      </c>
    </row>
    <row r="400" spans="1:17" x14ac:dyDescent="0.25">
      <c r="A400" s="143">
        <v>1</v>
      </c>
      <c r="B400" s="163" t="s">
        <v>1710</v>
      </c>
      <c r="C400" s="139"/>
      <c r="D400" s="140">
        <v>4147</v>
      </c>
      <c r="E400" s="139"/>
      <c r="F400" s="463">
        <v>27.4832</v>
      </c>
      <c r="G400" s="459">
        <v>27.483199999999997</v>
      </c>
      <c r="H400" s="337">
        <v>3855187.6400000006</v>
      </c>
      <c r="I400" s="337">
        <v>0</v>
      </c>
      <c r="J400" s="337">
        <v>1880.0200000000004</v>
      </c>
      <c r="K400" s="337">
        <v>2767069.9200000004</v>
      </c>
      <c r="L400" s="337">
        <v>0</v>
      </c>
      <c r="M400" s="337">
        <v>1983886.9200000002</v>
      </c>
      <c r="N400" s="337">
        <v>0</v>
      </c>
      <c r="O400" s="337">
        <v>0</v>
      </c>
      <c r="P400" s="337">
        <v>145186.74</v>
      </c>
      <c r="Q400" s="337">
        <v>8753211.2400000021</v>
      </c>
    </row>
    <row r="401" spans="1:17" x14ac:dyDescent="0.25">
      <c r="A401" s="143">
        <v>1</v>
      </c>
      <c r="B401" s="163"/>
      <c r="C401" s="139" t="s">
        <v>1711</v>
      </c>
      <c r="D401" s="140"/>
      <c r="E401" s="139"/>
      <c r="F401" s="462">
        <v>70.508099999999999</v>
      </c>
      <c r="G401" s="157">
        <v>444.96940000000001</v>
      </c>
      <c r="H401" s="155">
        <v>4976931.9343422912</v>
      </c>
      <c r="I401" s="155">
        <v>171904.30510877716</v>
      </c>
      <c r="J401" s="155">
        <v>2066.3329820984932</v>
      </c>
      <c r="K401" s="155">
        <v>6141207.6374645596</v>
      </c>
      <c r="L401" s="155">
        <v>47801.689214834973</v>
      </c>
      <c r="M401" s="155">
        <v>3527265.7216383908</v>
      </c>
      <c r="N401" s="155">
        <v>0</v>
      </c>
      <c r="O401" s="155">
        <v>0</v>
      </c>
      <c r="P401" s="155">
        <v>339150.34653571143</v>
      </c>
      <c r="Q401" s="155">
        <v>15206327.967286665</v>
      </c>
    </row>
    <row r="402" spans="1:17" x14ac:dyDescent="0.25">
      <c r="A402" s="143">
        <v>1</v>
      </c>
      <c r="B402" s="163"/>
      <c r="C402" s="139"/>
      <c r="D402" s="140"/>
      <c r="E402" s="139"/>
      <c r="F402" s="462"/>
      <c r="G402" s="148"/>
      <c r="H402" s="155"/>
      <c r="I402" s="155"/>
      <c r="J402" s="155"/>
      <c r="K402" s="155"/>
      <c r="L402" s="155"/>
      <c r="M402" s="155"/>
      <c r="N402" s="155"/>
      <c r="O402" s="155"/>
      <c r="P402" s="155"/>
      <c r="Q402" s="155"/>
    </row>
    <row r="403" spans="1:17" x14ac:dyDescent="0.25">
      <c r="A403" s="143">
        <v>1</v>
      </c>
      <c r="B403" s="163" t="s">
        <v>1712</v>
      </c>
      <c r="C403" s="139"/>
      <c r="D403" s="140">
        <v>4189</v>
      </c>
      <c r="E403" s="139"/>
      <c r="F403" s="462">
        <v>3.2422</v>
      </c>
      <c r="G403" s="458">
        <v>6.4975000000000005</v>
      </c>
      <c r="H403" s="155">
        <v>39045.02993520585</v>
      </c>
      <c r="I403" s="155">
        <v>0</v>
      </c>
      <c r="J403" s="155">
        <v>0</v>
      </c>
      <c r="K403" s="155">
        <v>759195.37332050782</v>
      </c>
      <c r="L403" s="155">
        <v>0</v>
      </c>
      <c r="M403" s="155">
        <v>697163.3973762216</v>
      </c>
      <c r="N403" s="155">
        <v>0</v>
      </c>
      <c r="O403" s="155">
        <v>0</v>
      </c>
      <c r="P403" s="155">
        <v>0</v>
      </c>
      <c r="Q403" s="155">
        <v>1495403.8006319352</v>
      </c>
    </row>
    <row r="404" spans="1:17" x14ac:dyDescent="0.25">
      <c r="A404" s="143">
        <v>1</v>
      </c>
      <c r="B404" s="163"/>
      <c r="C404" s="139"/>
      <c r="D404" s="140"/>
      <c r="E404" s="139"/>
      <c r="F404" s="462"/>
      <c r="G404" s="148"/>
      <c r="H404" s="155"/>
      <c r="I404" s="155"/>
      <c r="J404" s="155"/>
      <c r="K404" s="155"/>
      <c r="L404" s="155"/>
      <c r="M404" s="155"/>
      <c r="N404" s="155"/>
      <c r="O404" s="155"/>
      <c r="P404" s="155"/>
      <c r="Q404" s="155"/>
    </row>
    <row r="405" spans="1:17" x14ac:dyDescent="0.25">
      <c r="A405" s="143">
        <v>1</v>
      </c>
      <c r="B405" s="163" t="s">
        <v>0</v>
      </c>
      <c r="C405" s="139"/>
      <c r="D405" s="187">
        <v>4189</v>
      </c>
      <c r="E405" s="139"/>
      <c r="F405" s="473">
        <v>3.2553000000000001</v>
      </c>
      <c r="G405" s="458">
        <v>6.4975000000000005</v>
      </c>
      <c r="H405" s="150">
        <v>39202.79006479415</v>
      </c>
      <c r="I405" s="150">
        <v>0</v>
      </c>
      <c r="J405" s="150">
        <v>0</v>
      </c>
      <c r="K405" s="150">
        <v>762262.87667949207</v>
      </c>
      <c r="L405" s="150">
        <v>0</v>
      </c>
      <c r="M405" s="150">
        <v>699980.26262377843</v>
      </c>
      <c r="N405" s="150">
        <v>0</v>
      </c>
      <c r="O405" s="150">
        <v>0</v>
      </c>
      <c r="P405" s="150">
        <v>0</v>
      </c>
      <c r="Q405" s="150">
        <v>1501445.9293680647</v>
      </c>
    </row>
    <row r="406" spans="1:17" x14ac:dyDescent="0.25">
      <c r="A406" s="143">
        <v>1</v>
      </c>
      <c r="B406" s="163"/>
      <c r="C406" s="139"/>
      <c r="D406" s="187"/>
      <c r="E406" s="139"/>
      <c r="F406" s="473"/>
      <c r="G406" s="458"/>
      <c r="H406" s="150"/>
      <c r="I406" s="150"/>
      <c r="J406" s="150"/>
      <c r="K406" s="150"/>
      <c r="L406" s="150"/>
      <c r="M406" s="150"/>
      <c r="N406" s="150"/>
      <c r="O406" s="150"/>
      <c r="P406" s="150"/>
      <c r="Q406" s="150"/>
    </row>
    <row r="407" spans="1:17" x14ac:dyDescent="0.25">
      <c r="A407" s="143">
        <v>1</v>
      </c>
      <c r="B407" s="438" t="s">
        <v>105</v>
      </c>
      <c r="C407" s="151"/>
      <c r="D407" s="140">
        <v>5015</v>
      </c>
      <c r="E407" s="143"/>
      <c r="F407" s="477"/>
      <c r="G407" s="458"/>
      <c r="H407" s="150" t="s">
        <v>1776</v>
      </c>
      <c r="I407" s="150" t="s">
        <v>1776</v>
      </c>
      <c r="J407" s="150" t="s">
        <v>1776</v>
      </c>
      <c r="K407" s="150">
        <v>0</v>
      </c>
      <c r="L407" s="150">
        <v>0</v>
      </c>
      <c r="M407" s="150">
        <v>0</v>
      </c>
      <c r="N407" s="150">
        <v>0</v>
      </c>
      <c r="O407" s="150">
        <v>0</v>
      </c>
      <c r="P407" s="150">
        <v>1417.6494560000001</v>
      </c>
      <c r="Q407" s="150">
        <v>1417.6494560000001</v>
      </c>
    </row>
    <row r="408" spans="1:17" x14ac:dyDescent="0.25">
      <c r="A408" s="143">
        <v>1</v>
      </c>
      <c r="B408" s="438"/>
      <c r="C408" s="151"/>
      <c r="D408" s="140"/>
      <c r="E408" s="143"/>
      <c r="F408" s="477"/>
      <c r="G408" s="458"/>
      <c r="H408" s="150"/>
      <c r="I408" s="150"/>
      <c r="J408" s="150"/>
      <c r="K408" s="150"/>
      <c r="L408" s="150"/>
      <c r="M408" s="150"/>
      <c r="N408" s="150"/>
      <c r="O408" s="150"/>
      <c r="P408" s="150"/>
      <c r="Q408" s="150"/>
    </row>
    <row r="409" spans="1:17" x14ac:dyDescent="0.25">
      <c r="A409" s="143">
        <v>1</v>
      </c>
      <c r="B409" s="438" t="s">
        <v>106</v>
      </c>
      <c r="C409" s="151"/>
      <c r="D409" s="140">
        <v>5053</v>
      </c>
      <c r="E409" s="143"/>
      <c r="F409" s="477"/>
      <c r="G409" s="458"/>
      <c r="H409" s="150" t="s">
        <v>1776</v>
      </c>
      <c r="I409" s="150" t="s">
        <v>1776</v>
      </c>
      <c r="J409" s="150" t="s">
        <v>1776</v>
      </c>
      <c r="K409" s="150">
        <v>0</v>
      </c>
      <c r="L409" s="150">
        <v>0</v>
      </c>
      <c r="M409" s="150">
        <v>0</v>
      </c>
      <c r="N409" s="150">
        <v>0</v>
      </c>
      <c r="O409" s="150">
        <v>0</v>
      </c>
      <c r="P409" s="150">
        <v>6071.3024160000004</v>
      </c>
      <c r="Q409" s="150">
        <v>6071.3024160000004</v>
      </c>
    </row>
    <row r="410" spans="1:17" x14ac:dyDescent="0.25">
      <c r="A410" s="143">
        <v>1</v>
      </c>
      <c r="B410" s="163"/>
      <c r="C410" s="139"/>
      <c r="D410" s="140"/>
      <c r="E410" s="139"/>
      <c r="F410" s="462"/>
      <c r="G410" s="148"/>
      <c r="H410" s="155"/>
      <c r="I410" s="155"/>
      <c r="J410" s="155"/>
      <c r="K410" s="155"/>
      <c r="L410" s="155"/>
      <c r="M410" s="155"/>
      <c r="N410" s="155"/>
      <c r="O410" s="155"/>
      <c r="P410" s="155"/>
      <c r="Q410" s="155"/>
    </row>
    <row r="411" spans="1:17" x14ac:dyDescent="0.25">
      <c r="A411" s="143">
        <v>1</v>
      </c>
      <c r="B411" s="438" t="s">
        <v>108</v>
      </c>
      <c r="C411" s="151"/>
      <c r="D411" s="140">
        <v>5083</v>
      </c>
      <c r="E411" s="143"/>
      <c r="F411" s="477"/>
      <c r="G411" s="458"/>
      <c r="H411" s="150" t="s">
        <v>1776</v>
      </c>
      <c r="I411" s="150" t="s">
        <v>1776</v>
      </c>
      <c r="J411" s="150" t="s">
        <v>1776</v>
      </c>
      <c r="K411" s="150">
        <v>0</v>
      </c>
      <c r="L411" s="150">
        <v>0</v>
      </c>
      <c r="M411" s="150">
        <v>0</v>
      </c>
      <c r="N411" s="150">
        <v>1.5260320000000001</v>
      </c>
      <c r="O411" s="155">
        <v>0</v>
      </c>
      <c r="P411" s="155">
        <v>0</v>
      </c>
      <c r="Q411" s="150">
        <v>1.5260320000000001</v>
      </c>
    </row>
    <row r="412" spans="1:17" x14ac:dyDescent="0.25">
      <c r="A412" s="143">
        <v>1</v>
      </c>
      <c r="B412" s="438"/>
      <c r="C412" s="151"/>
      <c r="D412" s="472"/>
      <c r="E412" s="143"/>
      <c r="F412" s="475"/>
      <c r="G412" s="461"/>
      <c r="H412" s="334"/>
      <c r="I412" s="334"/>
      <c r="J412" s="334"/>
      <c r="K412" s="334"/>
      <c r="L412" s="334"/>
      <c r="M412" s="334"/>
      <c r="N412" s="334"/>
      <c r="O412" s="334"/>
      <c r="P412" s="334"/>
      <c r="Q412" s="334"/>
    </row>
    <row r="413" spans="1:17" ht="15.75" thickBot="1" x14ac:dyDescent="0.3">
      <c r="A413" s="143">
        <v>1</v>
      </c>
      <c r="B413" s="439"/>
      <c r="C413" s="141" t="s">
        <v>1</v>
      </c>
      <c r="D413" s="158"/>
      <c r="E413" s="153"/>
      <c r="F413" s="474">
        <v>3236.3843999999985</v>
      </c>
      <c r="G413" s="154">
        <v>26314.633300000034</v>
      </c>
      <c r="H413" s="160">
        <v>65722570.155384213</v>
      </c>
      <c r="I413" s="160">
        <v>6610778.8917293996</v>
      </c>
      <c r="J413" s="160">
        <v>754805.11898506596</v>
      </c>
      <c r="K413" s="154">
        <v>305979338.0506103</v>
      </c>
      <c r="L413" s="160">
        <v>58857688.612117611</v>
      </c>
      <c r="M413" s="160">
        <v>206358826.46745747</v>
      </c>
      <c r="N413" s="160">
        <v>182397.85866485594</v>
      </c>
      <c r="O413" s="160">
        <v>716987.9800000001</v>
      </c>
      <c r="P413" s="160">
        <v>96034584.803749502</v>
      </c>
      <c r="Q413" s="160">
        <v>741217977.93869841</v>
      </c>
    </row>
    <row r="414" spans="1:17" ht="15.75" thickTop="1" x14ac:dyDescent="0.25">
      <c r="A414" s="143">
        <v>1</v>
      </c>
      <c r="B414" s="163"/>
      <c r="C414" s="161"/>
      <c r="D414" s="140"/>
      <c r="E414" s="139"/>
      <c r="F414" s="473"/>
      <c r="G414" s="148"/>
      <c r="H414" s="150"/>
      <c r="I414" s="150"/>
      <c r="J414" s="150"/>
      <c r="K414" s="150"/>
      <c r="L414" s="150"/>
      <c r="M414" s="150"/>
      <c r="N414" s="150"/>
      <c r="O414" s="150"/>
      <c r="P414" s="150"/>
      <c r="Q414" s="150"/>
    </row>
    <row r="415" spans="1:17" x14ac:dyDescent="0.25">
      <c r="A415" s="143">
        <v>1</v>
      </c>
      <c r="B415" s="163"/>
      <c r="C415" s="161"/>
      <c r="D415" s="140"/>
      <c r="E415" s="139"/>
      <c r="F415" s="473"/>
      <c r="G415" s="148"/>
      <c r="H415" s="150"/>
      <c r="I415" s="150"/>
      <c r="J415" s="150"/>
      <c r="K415" s="150"/>
      <c r="L415" s="150"/>
      <c r="M415" s="150"/>
      <c r="N415" s="150"/>
      <c r="O415" s="150"/>
      <c r="P415" s="150"/>
      <c r="Q415" s="150"/>
    </row>
    <row r="416" spans="1:17" x14ac:dyDescent="0.25">
      <c r="A416" s="143">
        <v>1</v>
      </c>
      <c r="B416" s="163"/>
      <c r="C416" s="161"/>
      <c r="D416" s="140"/>
      <c r="E416" s="139"/>
      <c r="F416" s="462"/>
      <c r="G416" s="148"/>
      <c r="H416" s="155"/>
      <c r="I416" s="155"/>
      <c r="J416" s="155"/>
      <c r="K416" s="155"/>
      <c r="L416" s="155"/>
      <c r="M416" s="155"/>
      <c r="N416" s="155"/>
      <c r="O416" s="155"/>
      <c r="P416" s="155"/>
      <c r="Q416" s="155"/>
    </row>
    <row r="417" spans="1:17" x14ac:dyDescent="0.25">
      <c r="A417" s="143">
        <v>1</v>
      </c>
      <c r="B417" s="163"/>
      <c r="C417" s="131" t="s">
        <v>2</v>
      </c>
      <c r="D417" s="140"/>
      <c r="E417" s="139"/>
      <c r="F417" s="462"/>
      <c r="G417" s="148"/>
      <c r="H417" s="155"/>
      <c r="I417" s="155"/>
      <c r="J417" s="155"/>
      <c r="K417" s="155"/>
      <c r="L417" s="155"/>
      <c r="M417" s="155"/>
      <c r="N417" s="155"/>
      <c r="O417" s="155"/>
      <c r="P417" s="155"/>
      <c r="Q417" s="155"/>
    </row>
    <row r="418" spans="1:17" x14ac:dyDescent="0.25">
      <c r="A418" s="143">
        <v>1</v>
      </c>
      <c r="B418" s="163" t="s">
        <v>3</v>
      </c>
      <c r="C418" s="131"/>
      <c r="D418" s="140">
        <v>4759</v>
      </c>
      <c r="E418" s="139"/>
      <c r="F418" s="463">
        <v>53.021099999999997</v>
      </c>
      <c r="G418" s="458">
        <v>53.021099999999997</v>
      </c>
      <c r="H418" s="337">
        <v>33310</v>
      </c>
      <c r="I418" s="337">
        <v>0</v>
      </c>
      <c r="J418" s="337">
        <v>0</v>
      </c>
      <c r="K418" s="337">
        <v>0</v>
      </c>
      <c r="L418" s="337">
        <v>2000559.98</v>
      </c>
      <c r="M418" s="337">
        <v>331263.41000000003</v>
      </c>
      <c r="N418" s="337">
        <v>0</v>
      </c>
      <c r="O418" s="337">
        <v>0</v>
      </c>
      <c r="P418" s="337">
        <v>4845.05</v>
      </c>
      <c r="Q418" s="337">
        <v>2369978.44</v>
      </c>
    </row>
    <row r="419" spans="1:17" ht="15.75" thickBot="1" x14ac:dyDescent="0.3">
      <c r="A419" s="143">
        <v>1</v>
      </c>
      <c r="B419" s="439"/>
      <c r="C419" s="141" t="s">
        <v>4</v>
      </c>
      <c r="D419" s="158"/>
      <c r="E419" s="153"/>
      <c r="F419" s="474">
        <v>53.021099999999997</v>
      </c>
      <c r="G419" s="154">
        <v>53.021099999999997</v>
      </c>
      <c r="H419" s="160">
        <v>33310</v>
      </c>
      <c r="I419" s="160">
        <v>0</v>
      </c>
      <c r="J419" s="160">
        <v>0</v>
      </c>
      <c r="K419" s="154">
        <v>0</v>
      </c>
      <c r="L419" s="160">
        <v>2000559.98</v>
      </c>
      <c r="M419" s="160">
        <v>331263.41000000003</v>
      </c>
      <c r="N419" s="160">
        <v>0</v>
      </c>
      <c r="O419" s="160">
        <v>0</v>
      </c>
      <c r="P419" s="160">
        <v>4845.05</v>
      </c>
      <c r="Q419" s="160">
        <v>2369978.44</v>
      </c>
    </row>
    <row r="420" spans="1:17" ht="15.75" thickTop="1" x14ac:dyDescent="0.25">
      <c r="A420" s="143">
        <v>1</v>
      </c>
      <c r="B420" s="163"/>
      <c r="C420" s="131"/>
      <c r="D420" s="140"/>
      <c r="E420" s="139"/>
      <c r="F420" s="462"/>
      <c r="G420" s="148"/>
      <c r="H420" s="155"/>
      <c r="I420" s="155"/>
      <c r="J420" s="155"/>
      <c r="K420" s="155"/>
      <c r="L420" s="155"/>
      <c r="M420" s="155"/>
      <c r="N420" s="155"/>
      <c r="O420" s="155"/>
      <c r="P420" s="155"/>
      <c r="Q420" s="155"/>
    </row>
    <row r="421" spans="1:17" x14ac:dyDescent="0.25">
      <c r="A421" s="143">
        <v>1</v>
      </c>
      <c r="B421" s="163"/>
      <c r="C421" s="131" t="s">
        <v>5</v>
      </c>
      <c r="D421" s="140"/>
      <c r="E421" s="139"/>
      <c r="F421" s="462"/>
      <c r="G421" s="148"/>
      <c r="H421" s="155"/>
      <c r="I421" s="155"/>
      <c r="J421" s="155"/>
      <c r="K421" s="155"/>
      <c r="L421" s="155"/>
      <c r="M421" s="155"/>
      <c r="N421" s="155"/>
      <c r="O421" s="155"/>
      <c r="P421" s="155"/>
      <c r="Q421" s="155"/>
    </row>
    <row r="422" spans="1:17" x14ac:dyDescent="0.25">
      <c r="A422" s="143">
        <v>1</v>
      </c>
      <c r="B422" s="163"/>
      <c r="C422" s="131"/>
      <c r="D422" s="140"/>
      <c r="E422" s="139"/>
      <c r="F422" s="462"/>
      <c r="G422" s="148"/>
      <c r="H422" s="155"/>
      <c r="I422" s="155"/>
      <c r="J422" s="155"/>
      <c r="K422" s="155"/>
      <c r="L422" s="155"/>
      <c r="M422" s="155"/>
      <c r="N422" s="155"/>
      <c r="O422" s="155"/>
      <c r="P422" s="155"/>
      <c r="Q422" s="155"/>
    </row>
    <row r="423" spans="1:17" x14ac:dyDescent="0.25">
      <c r="A423" s="143">
        <v>1</v>
      </c>
      <c r="B423" s="163" t="s">
        <v>6</v>
      </c>
      <c r="C423" s="131"/>
      <c r="D423" s="140">
        <v>4750</v>
      </c>
      <c r="E423" s="139" t="s">
        <v>1691</v>
      </c>
      <c r="F423" s="478">
        <v>125.6204318181818</v>
      </c>
      <c r="G423" s="458">
        <v>1640.72165</v>
      </c>
      <c r="H423" s="155">
        <v>1076543.279963824</v>
      </c>
      <c r="I423" s="155">
        <v>218.07586848351889</v>
      </c>
      <c r="J423" s="155">
        <v>32293.49126512817</v>
      </c>
      <c r="K423" s="155">
        <v>298904.84163115209</v>
      </c>
      <c r="L423" s="155">
        <v>6795737.0929565039</v>
      </c>
      <c r="M423" s="155">
        <v>3841056.9151446065</v>
      </c>
      <c r="N423" s="155">
        <v>0</v>
      </c>
      <c r="O423" s="150">
        <v>0</v>
      </c>
      <c r="P423" s="155">
        <v>140663.93634318362</v>
      </c>
      <c r="Q423" s="155">
        <v>12185417.633172883</v>
      </c>
    </row>
    <row r="424" spans="1:17" x14ac:dyDescent="0.25">
      <c r="A424" s="143">
        <v>1</v>
      </c>
      <c r="B424" s="163"/>
      <c r="C424" s="131"/>
      <c r="D424" s="140"/>
      <c r="E424" s="139"/>
      <c r="F424" s="462"/>
      <c r="G424" s="148"/>
      <c r="H424" s="155"/>
      <c r="I424" s="155"/>
      <c r="J424" s="155"/>
      <c r="K424" s="155"/>
      <c r="L424" s="155"/>
      <c r="M424" s="155"/>
      <c r="N424" s="155"/>
      <c r="O424" s="155"/>
      <c r="P424" s="155"/>
      <c r="Q424" s="155"/>
    </row>
    <row r="425" spans="1:17" x14ac:dyDescent="0.25">
      <c r="A425" s="143">
        <v>1</v>
      </c>
      <c r="B425" s="163" t="s">
        <v>7</v>
      </c>
      <c r="C425" s="131"/>
      <c r="D425" s="140">
        <v>4750</v>
      </c>
      <c r="E425" s="139" t="s">
        <v>1691</v>
      </c>
      <c r="F425" s="478">
        <v>125.58821666666667</v>
      </c>
      <c r="G425" s="458">
        <v>1640.72165</v>
      </c>
      <c r="H425" s="155">
        <v>1076267.2022241228</v>
      </c>
      <c r="I425" s="155">
        <v>218.01994328852231</v>
      </c>
      <c r="J425" s="155">
        <v>32285.209652821944</v>
      </c>
      <c r="K425" s="155">
        <v>298828.18797997141</v>
      </c>
      <c r="L425" s="155">
        <v>6793994.3374434244</v>
      </c>
      <c r="M425" s="155">
        <v>3840071.8824655376</v>
      </c>
      <c r="N425" s="155">
        <v>0</v>
      </c>
      <c r="O425" s="150">
        <v>0</v>
      </c>
      <c r="P425" s="155">
        <v>140627.8633098687</v>
      </c>
      <c r="Q425" s="155">
        <v>12182292.703019036</v>
      </c>
    </row>
    <row r="426" spans="1:17" x14ac:dyDescent="0.25">
      <c r="A426" s="143">
        <v>1</v>
      </c>
      <c r="B426" s="163"/>
      <c r="C426" s="131"/>
      <c r="D426" s="140"/>
      <c r="E426" s="139"/>
      <c r="F426" s="462"/>
      <c r="G426" s="148"/>
      <c r="H426" s="155"/>
      <c r="I426" s="155"/>
      <c r="J426" s="155"/>
      <c r="K426" s="155"/>
      <c r="L426" s="155"/>
      <c r="M426" s="155"/>
      <c r="N426" s="155"/>
      <c r="O426" s="155"/>
      <c r="P426" s="155"/>
      <c r="Q426" s="155"/>
    </row>
    <row r="427" spans="1:17" x14ac:dyDescent="0.25">
      <c r="A427" s="143">
        <v>1</v>
      </c>
      <c r="B427" s="163" t="s">
        <v>8</v>
      </c>
      <c r="C427" s="131"/>
      <c r="D427" s="140">
        <v>4750</v>
      </c>
      <c r="E427" s="139"/>
      <c r="F427" s="462">
        <v>2.8635999999999999</v>
      </c>
      <c r="G427" s="458">
        <v>1640.72165</v>
      </c>
      <c r="H427" s="155">
        <v>24540.508991135433</v>
      </c>
      <c r="I427" s="155">
        <v>4.9711822189343859</v>
      </c>
      <c r="J427" s="155">
        <v>736.15127928127754</v>
      </c>
      <c r="K427" s="155">
        <v>6813.7315889331394</v>
      </c>
      <c r="L427" s="155">
        <v>154913.27690670811</v>
      </c>
      <c r="M427" s="155">
        <v>87559.407518420179</v>
      </c>
      <c r="N427" s="155">
        <v>0</v>
      </c>
      <c r="O427" s="150">
        <v>0</v>
      </c>
      <c r="P427" s="155">
        <v>3206.5265361875645</v>
      </c>
      <c r="Q427" s="155">
        <v>277774.57400288462</v>
      </c>
    </row>
    <row r="428" spans="1:17" x14ac:dyDescent="0.25">
      <c r="A428" s="143">
        <v>1</v>
      </c>
      <c r="B428" s="163"/>
      <c r="C428" s="131"/>
      <c r="D428" s="140"/>
      <c r="E428" s="139"/>
      <c r="F428" s="462"/>
      <c r="G428" s="148"/>
      <c r="H428" s="155"/>
      <c r="I428" s="155"/>
      <c r="J428" s="155"/>
      <c r="K428" s="155"/>
      <c r="L428" s="155"/>
      <c r="M428" s="155"/>
      <c r="N428" s="155"/>
      <c r="O428" s="155"/>
      <c r="P428" s="155"/>
      <c r="Q428" s="155"/>
    </row>
    <row r="429" spans="1:17" x14ac:dyDescent="0.25">
      <c r="A429" s="143">
        <v>1</v>
      </c>
      <c r="B429" s="163" t="s">
        <v>9</v>
      </c>
      <c r="C429" s="131"/>
      <c r="D429" s="140">
        <v>4750</v>
      </c>
      <c r="E429" s="139" t="s">
        <v>1691</v>
      </c>
      <c r="F429" s="478">
        <v>11.262924242424244</v>
      </c>
      <c r="G429" s="458">
        <v>1640.72165</v>
      </c>
      <c r="H429" s="155">
        <v>96521.12503062209</v>
      </c>
      <c r="I429" s="155">
        <v>19.552328791431918</v>
      </c>
      <c r="J429" s="155">
        <v>2895.3820678547008</v>
      </c>
      <c r="K429" s="155">
        <v>26799.323471981745</v>
      </c>
      <c r="L429" s="155">
        <v>609294.76950200542</v>
      </c>
      <c r="M429" s="155">
        <v>344382.93532320089</v>
      </c>
      <c r="N429" s="155">
        <v>0</v>
      </c>
      <c r="O429" s="150">
        <v>0</v>
      </c>
      <c r="P429" s="155">
        <v>12611.700467384957</v>
      </c>
      <c r="Q429" s="155">
        <v>1092524.7881918412</v>
      </c>
    </row>
    <row r="430" spans="1:17" x14ac:dyDescent="0.25">
      <c r="A430" s="143">
        <v>1</v>
      </c>
      <c r="B430" s="163"/>
      <c r="C430" s="162"/>
      <c r="D430" s="140"/>
      <c r="E430" s="139"/>
      <c r="F430" s="462"/>
      <c r="G430" s="148"/>
      <c r="H430" s="155"/>
      <c r="I430" s="155"/>
      <c r="J430" s="155"/>
      <c r="K430" s="155"/>
      <c r="L430" s="155"/>
      <c r="M430" s="155"/>
      <c r="N430" s="155"/>
      <c r="O430" s="155"/>
      <c r="P430" s="155"/>
      <c r="Q430" s="155"/>
    </row>
    <row r="431" spans="1:17" x14ac:dyDescent="0.25">
      <c r="A431" s="143">
        <v>1</v>
      </c>
      <c r="B431" s="163" t="s">
        <v>11</v>
      </c>
      <c r="C431" s="163"/>
      <c r="D431" s="140">
        <v>4781</v>
      </c>
      <c r="E431" s="139" t="s">
        <v>1691</v>
      </c>
      <c r="F431" s="478">
        <v>29.019699999999997</v>
      </c>
      <c r="G431" s="458">
        <v>29.019699999999997</v>
      </c>
      <c r="H431" s="155">
        <v>1277.33</v>
      </c>
      <c r="I431" s="155">
        <v>0</v>
      </c>
      <c r="J431" s="155">
        <v>0</v>
      </c>
      <c r="K431" s="155">
        <v>98306.880000000005</v>
      </c>
      <c r="L431" s="155">
        <v>43204.47</v>
      </c>
      <c r="M431" s="155">
        <v>94967.69</v>
      </c>
      <c r="N431" s="155">
        <v>0</v>
      </c>
      <c r="O431" s="150">
        <v>0</v>
      </c>
      <c r="P431" s="155">
        <v>1376.41</v>
      </c>
      <c r="Q431" s="155">
        <v>239132.78</v>
      </c>
    </row>
    <row r="432" spans="1:17" x14ac:dyDescent="0.25">
      <c r="A432" s="143">
        <v>1</v>
      </c>
      <c r="B432" s="163" t="s">
        <v>11</v>
      </c>
      <c r="C432" s="131"/>
      <c r="D432" s="140">
        <v>4782</v>
      </c>
      <c r="E432" s="139" t="s">
        <v>1691</v>
      </c>
      <c r="F432" s="479">
        <v>100.80329999999999</v>
      </c>
      <c r="G432" s="459">
        <v>100.80329999999999</v>
      </c>
      <c r="H432" s="337">
        <v>165196.31</v>
      </c>
      <c r="I432" s="337">
        <v>0</v>
      </c>
      <c r="J432" s="337">
        <v>0</v>
      </c>
      <c r="K432" s="337">
        <v>327794.67</v>
      </c>
      <c r="L432" s="337">
        <v>91897.83</v>
      </c>
      <c r="M432" s="337">
        <v>580044.74</v>
      </c>
      <c r="N432" s="337">
        <v>0</v>
      </c>
      <c r="O432" s="337">
        <v>0</v>
      </c>
      <c r="P432" s="337">
        <v>21669.129999999997</v>
      </c>
      <c r="Q432" s="337">
        <v>1186602.6799999997</v>
      </c>
    </row>
    <row r="433" spans="1:17" x14ac:dyDescent="0.25">
      <c r="A433" s="143">
        <v>1</v>
      </c>
      <c r="B433" s="163"/>
      <c r="C433" s="139" t="s">
        <v>12</v>
      </c>
      <c r="D433" s="140"/>
      <c r="E433" s="139"/>
      <c r="F433" s="462">
        <v>129.82299999999998</v>
      </c>
      <c r="G433" s="157">
        <v>129.82299999999998</v>
      </c>
      <c r="H433" s="155">
        <v>166473.63999999998</v>
      </c>
      <c r="I433" s="155">
        <v>0</v>
      </c>
      <c r="J433" s="155">
        <v>0</v>
      </c>
      <c r="K433" s="155">
        <v>426101.55</v>
      </c>
      <c r="L433" s="155">
        <v>135102.29999999999</v>
      </c>
      <c r="M433" s="155">
        <v>675012.42999999993</v>
      </c>
      <c r="N433" s="155">
        <v>0</v>
      </c>
      <c r="O433" s="155">
        <v>0</v>
      </c>
      <c r="P433" s="155">
        <v>23045.539999999997</v>
      </c>
      <c r="Q433" s="155">
        <v>1425735.4599999997</v>
      </c>
    </row>
    <row r="434" spans="1:17" x14ac:dyDescent="0.25">
      <c r="A434" s="143">
        <v>1</v>
      </c>
      <c r="B434" s="163"/>
      <c r="C434" s="131"/>
      <c r="D434" s="140"/>
      <c r="E434" s="139"/>
      <c r="F434" s="462"/>
      <c r="G434" s="148"/>
      <c r="H434" s="155"/>
      <c r="I434" s="155"/>
      <c r="J434" s="155"/>
      <c r="K434" s="155"/>
      <c r="L434" s="155"/>
      <c r="M434" s="155"/>
      <c r="N434" s="155"/>
      <c r="O434" s="155"/>
      <c r="P434" s="155"/>
      <c r="Q434" s="155"/>
    </row>
    <row r="435" spans="1:17" x14ac:dyDescent="0.25">
      <c r="A435" s="143">
        <v>1</v>
      </c>
      <c r="B435" s="163" t="s">
        <v>13</v>
      </c>
      <c r="C435" s="131"/>
      <c r="D435" s="140">
        <v>4750</v>
      </c>
      <c r="E435" s="139"/>
      <c r="F435" s="462">
        <v>44.316899999999997</v>
      </c>
      <c r="G435" s="458">
        <v>1640.72165</v>
      </c>
      <c r="H435" s="155">
        <v>379787.42942773073</v>
      </c>
      <c r="I435" s="155">
        <v>76.933714652288472</v>
      </c>
      <c r="J435" s="155">
        <v>11392.632570463908</v>
      </c>
      <c r="K435" s="155">
        <v>105448.89700153341</v>
      </c>
      <c r="L435" s="155">
        <v>2397428.4821018619</v>
      </c>
      <c r="M435" s="155">
        <v>1355064.0826418055</v>
      </c>
      <c r="N435" s="155">
        <v>0</v>
      </c>
      <c r="O435" s="150">
        <v>0</v>
      </c>
      <c r="P435" s="155">
        <v>49624.010284806071</v>
      </c>
      <c r="Q435" s="155">
        <v>4298822.4677428529</v>
      </c>
    </row>
    <row r="436" spans="1:17" x14ac:dyDescent="0.25">
      <c r="A436" s="143">
        <v>1</v>
      </c>
      <c r="B436" s="163"/>
      <c r="C436" s="139"/>
      <c r="D436" s="140"/>
      <c r="E436" s="139"/>
      <c r="F436" s="462"/>
      <c r="G436" s="148"/>
      <c r="H436" s="155"/>
      <c r="I436" s="155"/>
      <c r="J436" s="155"/>
      <c r="K436" s="155"/>
      <c r="L436" s="155"/>
      <c r="M436" s="155"/>
      <c r="N436" s="155"/>
      <c r="O436" s="155"/>
      <c r="P436" s="155"/>
      <c r="Q436" s="155"/>
    </row>
    <row r="437" spans="1:17" x14ac:dyDescent="0.25">
      <c r="A437" s="143">
        <v>1</v>
      </c>
      <c r="B437" s="163" t="s">
        <v>14</v>
      </c>
      <c r="C437" s="139"/>
      <c r="D437" s="140">
        <v>4750</v>
      </c>
      <c r="E437" s="139" t="s">
        <v>1691</v>
      </c>
      <c r="F437" s="478">
        <v>48.335751515151514</v>
      </c>
      <c r="G437" s="458">
        <v>1640.72165</v>
      </c>
      <c r="H437" s="155">
        <v>414228.2248396647</v>
      </c>
      <c r="I437" s="155">
        <v>83.91040245528427</v>
      </c>
      <c r="J437" s="155">
        <v>12425.766626938377</v>
      </c>
      <c r="K437" s="155">
        <v>115011.46702528661</v>
      </c>
      <c r="L437" s="155">
        <v>2614837.8471017261</v>
      </c>
      <c r="M437" s="155">
        <v>1477947.2568180773</v>
      </c>
      <c r="N437" s="155">
        <v>0</v>
      </c>
      <c r="O437" s="150">
        <v>0</v>
      </c>
      <c r="P437" s="155">
        <v>54124.133915316947</v>
      </c>
      <c r="Q437" s="155">
        <v>4688658.6067294655</v>
      </c>
    </row>
    <row r="438" spans="1:17" x14ac:dyDescent="0.25">
      <c r="A438" s="143">
        <v>1</v>
      </c>
      <c r="B438" s="163"/>
      <c r="C438" s="139"/>
      <c r="D438" s="140"/>
      <c r="E438" s="139"/>
      <c r="F438" s="478"/>
      <c r="G438" s="148"/>
      <c r="H438" s="155"/>
      <c r="I438" s="155"/>
      <c r="J438" s="155"/>
      <c r="K438" s="155"/>
      <c r="L438" s="155"/>
      <c r="M438" s="155"/>
      <c r="N438" s="155"/>
      <c r="O438" s="155"/>
      <c r="P438" s="155"/>
      <c r="Q438" s="155"/>
    </row>
    <row r="439" spans="1:17" x14ac:dyDescent="0.25">
      <c r="A439" s="143">
        <v>1</v>
      </c>
      <c r="B439" s="163" t="s">
        <v>15</v>
      </c>
      <c r="C439" s="139"/>
      <c r="D439" s="140">
        <v>4135</v>
      </c>
      <c r="E439" s="139" t="s">
        <v>1691</v>
      </c>
      <c r="F439" s="478">
        <v>49.405913636363636</v>
      </c>
      <c r="G439" s="458">
        <v>206.1454</v>
      </c>
      <c r="H439" s="155">
        <v>427516.24875801365</v>
      </c>
      <c r="I439" s="155">
        <v>0</v>
      </c>
      <c r="J439" s="155">
        <v>0</v>
      </c>
      <c r="K439" s="155">
        <v>2204185.9551786748</v>
      </c>
      <c r="L439" s="155">
        <v>576705.80804639333</v>
      </c>
      <c r="M439" s="155">
        <v>1602264.0994952936</v>
      </c>
      <c r="N439" s="155">
        <v>0</v>
      </c>
      <c r="O439" s="150">
        <v>0</v>
      </c>
      <c r="P439" s="155">
        <v>23434.489810271822</v>
      </c>
      <c r="Q439" s="155">
        <v>4834106.6012886474</v>
      </c>
    </row>
    <row r="440" spans="1:17" x14ac:dyDescent="0.25">
      <c r="A440" s="143">
        <v>1</v>
      </c>
      <c r="B440" s="163"/>
      <c r="C440" s="139"/>
      <c r="D440" s="140"/>
      <c r="E440" s="139"/>
      <c r="F440" s="462"/>
      <c r="G440" s="148"/>
      <c r="H440" s="155"/>
      <c r="I440" s="155"/>
      <c r="J440" s="155"/>
      <c r="K440" s="155"/>
      <c r="L440" s="155"/>
      <c r="M440" s="155"/>
      <c r="N440" s="155"/>
      <c r="O440" s="155"/>
      <c r="P440" s="155"/>
      <c r="Q440" s="155"/>
    </row>
    <row r="441" spans="1:17" x14ac:dyDescent="0.25">
      <c r="A441" s="143">
        <v>1</v>
      </c>
      <c r="B441" s="163" t="s">
        <v>16</v>
      </c>
      <c r="C441" s="139"/>
      <c r="D441" s="140">
        <v>4750</v>
      </c>
      <c r="E441" s="139" t="s">
        <v>1691</v>
      </c>
      <c r="F441" s="478">
        <v>34.500492424242424</v>
      </c>
      <c r="G441" s="458">
        <v>1640.72165</v>
      </c>
      <c r="H441" s="155">
        <v>295662.6779353685</v>
      </c>
      <c r="I441" s="155">
        <v>59.892524962939802</v>
      </c>
      <c r="J441" s="155">
        <v>8869.1093846696767</v>
      </c>
      <c r="K441" s="155">
        <v>82091.45658081054</v>
      </c>
      <c r="L441" s="155">
        <v>1866386.4842626248</v>
      </c>
      <c r="M441" s="155">
        <v>1054910.8380222134</v>
      </c>
      <c r="N441" s="155">
        <v>0</v>
      </c>
      <c r="O441" s="150">
        <v>0</v>
      </c>
      <c r="P441" s="155">
        <v>38632.052126648756</v>
      </c>
      <c r="Q441" s="155">
        <v>3346612.5108372988</v>
      </c>
    </row>
    <row r="442" spans="1:17" x14ac:dyDescent="0.25">
      <c r="A442" s="143">
        <v>1</v>
      </c>
      <c r="B442" s="163"/>
      <c r="C442" s="139"/>
      <c r="D442" s="140"/>
      <c r="E442" s="139"/>
      <c r="F442" s="462"/>
      <c r="G442" s="148"/>
      <c r="H442" s="155"/>
      <c r="I442" s="155"/>
      <c r="J442" s="155"/>
      <c r="K442" s="155"/>
      <c r="L442" s="155"/>
      <c r="M442" s="155"/>
      <c r="N442" s="155"/>
      <c r="O442" s="155"/>
      <c r="P442" s="155"/>
      <c r="Q442" s="155"/>
    </row>
    <row r="443" spans="1:17" x14ac:dyDescent="0.25">
      <c r="A443" s="143">
        <v>1</v>
      </c>
      <c r="B443" s="163" t="s">
        <v>17</v>
      </c>
      <c r="C443" s="139"/>
      <c r="D443" s="140">
        <v>4750</v>
      </c>
      <c r="E443" s="139"/>
      <c r="F443" s="462">
        <v>31.945699999999999</v>
      </c>
      <c r="G443" s="458">
        <v>1640.72165</v>
      </c>
      <c r="H443" s="155">
        <v>273768.59131097753</v>
      </c>
      <c r="I443" s="155">
        <v>55.457429742775602</v>
      </c>
      <c r="J443" s="155">
        <v>8212.3438757284202</v>
      </c>
      <c r="K443" s="155">
        <v>76012.510553352913</v>
      </c>
      <c r="L443" s="155">
        <v>1728178.8902355866</v>
      </c>
      <c r="M443" s="155">
        <v>976793.74380541802</v>
      </c>
      <c r="N443" s="155">
        <v>0</v>
      </c>
      <c r="O443" s="150">
        <v>0</v>
      </c>
      <c r="P443" s="155">
        <v>35771.313998843092</v>
      </c>
      <c r="Q443" s="155">
        <v>3098792.8512096494</v>
      </c>
    </row>
    <row r="444" spans="1:17" x14ac:dyDescent="0.25">
      <c r="A444" s="143">
        <v>1</v>
      </c>
      <c r="B444" s="163"/>
      <c r="C444" s="139"/>
      <c r="D444" s="140"/>
      <c r="E444" s="139"/>
      <c r="F444" s="462"/>
      <c r="G444" s="148"/>
      <c r="H444" s="155"/>
      <c r="I444" s="155"/>
      <c r="J444" s="155"/>
      <c r="K444" s="155"/>
      <c r="L444" s="155"/>
      <c r="M444" s="155"/>
      <c r="N444" s="155"/>
      <c r="O444" s="155"/>
      <c r="P444" s="155"/>
      <c r="Q444" s="155"/>
    </row>
    <row r="445" spans="1:17" x14ac:dyDescent="0.25">
      <c r="A445" s="143">
        <v>1</v>
      </c>
      <c r="B445" s="163" t="s">
        <v>18</v>
      </c>
      <c r="C445" s="139"/>
      <c r="D445" s="140">
        <v>4750</v>
      </c>
      <c r="E445" s="139" t="s">
        <v>1583</v>
      </c>
      <c r="F445" s="462">
        <v>34.495699999999999</v>
      </c>
      <c r="G445" s="458">
        <v>1640.72165</v>
      </c>
      <c r="H445" s="155">
        <v>295621.60776837217</v>
      </c>
      <c r="I445" s="155">
        <v>59.884205360278983</v>
      </c>
      <c r="J445" s="155">
        <v>8867.8773867520467</v>
      </c>
      <c r="K445" s="155">
        <v>82080.053349755879</v>
      </c>
      <c r="L445" s="155">
        <v>1866127.2266345618</v>
      </c>
      <c r="M445" s="155">
        <v>1054764.3015550938</v>
      </c>
      <c r="N445" s="155">
        <v>0</v>
      </c>
      <c r="O445" s="150">
        <v>0</v>
      </c>
      <c r="P445" s="155">
        <v>38626.685792137643</v>
      </c>
      <c r="Q445" s="155">
        <v>3346147.6366920336</v>
      </c>
    </row>
    <row r="446" spans="1:17" x14ac:dyDescent="0.25">
      <c r="A446" s="143">
        <v>1</v>
      </c>
      <c r="B446" s="163" t="s">
        <v>18</v>
      </c>
      <c r="C446" s="139"/>
      <c r="D446" s="140">
        <v>4750</v>
      </c>
      <c r="E446" s="139" t="s">
        <v>1584</v>
      </c>
      <c r="F446" s="463">
        <v>0.12</v>
      </c>
      <c r="G446" s="459">
        <v>13.915699999999999</v>
      </c>
      <c r="H446" s="337">
        <v>1028.3772450538845</v>
      </c>
      <c r="I446" s="337">
        <v>0.20831885258839805</v>
      </c>
      <c r="J446" s="337">
        <v>30.848635812877095</v>
      </c>
      <c r="K446" s="337">
        <v>0</v>
      </c>
      <c r="L446" s="337">
        <v>0</v>
      </c>
      <c r="M446" s="337">
        <v>0</v>
      </c>
      <c r="N446" s="337">
        <v>25260.067693324811</v>
      </c>
      <c r="O446" s="337">
        <v>114747.5438533455</v>
      </c>
      <c r="P446" s="337">
        <v>134.37043733151083</v>
      </c>
      <c r="Q446" s="155">
        <v>141201.41618372116</v>
      </c>
    </row>
    <row r="447" spans="1:17" x14ac:dyDescent="0.25">
      <c r="A447" s="143">
        <v>1</v>
      </c>
      <c r="B447" s="163"/>
      <c r="C447" s="139" t="s">
        <v>1742</v>
      </c>
      <c r="D447" s="140"/>
      <c r="E447" s="139"/>
      <c r="F447" s="462">
        <v>34.615699999999997</v>
      </c>
      <c r="G447" s="157">
        <v>1654.63735</v>
      </c>
      <c r="H447" s="155">
        <v>296649.98501342605</v>
      </c>
      <c r="I447" s="155">
        <v>60.092524212867382</v>
      </c>
      <c r="J447" s="155">
        <v>8898.7260225649243</v>
      </c>
      <c r="K447" s="155">
        <v>82080.053349755879</v>
      </c>
      <c r="L447" s="155">
        <v>1866127.2266345618</v>
      </c>
      <c r="M447" s="155">
        <v>1054764.3015550938</v>
      </c>
      <c r="N447" s="155">
        <v>25260.067693324811</v>
      </c>
      <c r="O447" s="155">
        <v>114747.5438533455</v>
      </c>
      <c r="P447" s="155">
        <v>38761.056229469155</v>
      </c>
      <c r="Q447" s="155">
        <v>3487349.0528757549</v>
      </c>
    </row>
    <row r="448" spans="1:17" x14ac:dyDescent="0.25">
      <c r="A448" s="143">
        <v>1</v>
      </c>
      <c r="B448" s="163"/>
      <c r="C448" s="139"/>
      <c r="D448" s="140"/>
      <c r="E448" s="139"/>
      <c r="F448" s="462"/>
      <c r="G448" s="157"/>
      <c r="H448" s="155"/>
      <c r="I448" s="155"/>
      <c r="J448" s="155"/>
      <c r="K448" s="155"/>
      <c r="L448" s="155"/>
      <c r="M448" s="155"/>
      <c r="N448" s="155"/>
      <c r="O448" s="155"/>
      <c r="P448" s="155"/>
      <c r="Q448" s="155"/>
    </row>
    <row r="449" spans="1:17" x14ac:dyDescent="0.25">
      <c r="A449" s="143">
        <v>1</v>
      </c>
      <c r="B449" s="163"/>
      <c r="C449" s="139"/>
      <c r="D449" s="140"/>
      <c r="E449" s="139"/>
      <c r="F449" s="473"/>
      <c r="G449" s="164"/>
      <c r="H449" s="347"/>
      <c r="I449" s="347"/>
      <c r="J449" s="347"/>
      <c r="K449" s="347"/>
      <c r="L449" s="347"/>
      <c r="M449" s="347"/>
      <c r="N449" s="347"/>
      <c r="O449" s="347"/>
      <c r="P449" s="347"/>
      <c r="Q449" s="347"/>
    </row>
    <row r="450" spans="1:17" ht="15.75" thickBot="1" x14ac:dyDescent="0.3">
      <c r="A450" s="143">
        <v>1</v>
      </c>
      <c r="B450" s="439"/>
      <c r="C450" s="141" t="s">
        <v>19</v>
      </c>
      <c r="D450" s="158"/>
      <c r="E450" s="153"/>
      <c r="F450" s="474">
        <v>638.27863030303024</v>
      </c>
      <c r="G450" s="154">
        <v>15116.378949999998</v>
      </c>
      <c r="H450" s="160">
        <v>4527958.9134948859</v>
      </c>
      <c r="I450" s="160">
        <v>796.905918808563</v>
      </c>
      <c r="J450" s="160">
        <v>118008.81274545139</v>
      </c>
      <c r="K450" s="160">
        <v>3722277.9743614523</v>
      </c>
      <c r="L450" s="160">
        <v>25538706.515191399</v>
      </c>
      <c r="M450" s="160">
        <v>16309827.892789667</v>
      </c>
      <c r="N450" s="160">
        <v>25260.067693324811</v>
      </c>
      <c r="O450" s="160">
        <v>114747.5438533455</v>
      </c>
      <c r="P450" s="160">
        <v>560502.62302198075</v>
      </c>
      <c r="Q450" s="160">
        <v>50918087.249070317</v>
      </c>
    </row>
    <row r="451" spans="1:17" ht="15.75" thickTop="1" x14ac:dyDescent="0.25">
      <c r="A451" s="143">
        <v>1</v>
      </c>
      <c r="B451" s="439"/>
      <c r="C451" s="141"/>
      <c r="D451" s="158"/>
      <c r="E451" s="153"/>
      <c r="F451" s="480"/>
      <c r="G451" s="166"/>
      <c r="H451" s="165"/>
      <c r="I451" s="165"/>
      <c r="J451" s="165"/>
      <c r="K451" s="165"/>
      <c r="L451" s="165"/>
      <c r="M451" s="165"/>
      <c r="N451" s="165"/>
      <c r="O451" s="165"/>
      <c r="P451" s="165"/>
      <c r="Q451" s="167"/>
    </row>
    <row r="452" spans="1:17" x14ac:dyDescent="0.25">
      <c r="A452" s="143">
        <v>1</v>
      </c>
      <c r="B452" s="439"/>
      <c r="C452" s="131" t="s">
        <v>1743</v>
      </c>
      <c r="D452" s="158"/>
      <c r="E452" s="153"/>
      <c r="F452" s="480"/>
      <c r="G452" s="166"/>
      <c r="H452" s="165"/>
      <c r="I452" s="165"/>
      <c r="J452" s="165"/>
      <c r="K452" s="165"/>
      <c r="L452" s="165"/>
      <c r="M452" s="165"/>
      <c r="N452" s="165"/>
      <c r="O452" s="165"/>
      <c r="P452" s="165"/>
      <c r="Q452" s="167"/>
    </row>
    <row r="453" spans="1:17" x14ac:dyDescent="0.25">
      <c r="A453" s="143">
        <v>1</v>
      </c>
      <c r="B453" s="439"/>
      <c r="C453" s="141"/>
      <c r="D453" s="158"/>
      <c r="E453" s="153"/>
      <c r="F453" s="480"/>
      <c r="G453" s="166"/>
      <c r="H453" s="165"/>
      <c r="I453" s="165"/>
      <c r="J453" s="165"/>
      <c r="K453" s="165"/>
      <c r="L453" s="165"/>
      <c r="M453" s="165"/>
      <c r="N453" s="165"/>
      <c r="O453" s="165"/>
      <c r="P453" s="165"/>
      <c r="Q453" s="167"/>
    </row>
    <row r="454" spans="1:17" x14ac:dyDescent="0.25">
      <c r="A454" s="143">
        <v>1</v>
      </c>
      <c r="B454" s="438" t="s">
        <v>1744</v>
      </c>
      <c r="C454" s="151"/>
      <c r="D454" s="140">
        <v>4105</v>
      </c>
      <c r="E454" s="143"/>
      <c r="F454" s="478">
        <v>16.646000000000001</v>
      </c>
      <c r="G454" s="458">
        <v>2.3711000000000002</v>
      </c>
      <c r="H454" s="155">
        <v>107031.06507284204</v>
      </c>
      <c r="I454" s="155">
        <v>3768.7328779100922</v>
      </c>
      <c r="J454" s="155">
        <v>3584.0272567856755</v>
      </c>
      <c r="K454" s="155">
        <v>65249.757997968649</v>
      </c>
      <c r="L454" s="155">
        <v>1312135.5749807584</v>
      </c>
      <c r="M454" s="155">
        <v>531150.53369089472</v>
      </c>
      <c r="N454" s="155">
        <v>0</v>
      </c>
      <c r="O454" s="150">
        <v>0</v>
      </c>
      <c r="P454" s="155">
        <v>5127.8753036791741</v>
      </c>
      <c r="Q454" s="155">
        <v>2028047.5671808387</v>
      </c>
    </row>
    <row r="455" spans="1:17" x14ac:dyDescent="0.25">
      <c r="A455" s="143">
        <v>1</v>
      </c>
      <c r="B455" s="439"/>
      <c r="C455" s="141"/>
      <c r="D455" s="158"/>
      <c r="E455" s="153"/>
      <c r="F455" s="480"/>
      <c r="G455" s="166"/>
      <c r="H455" s="165"/>
      <c r="I455" s="165"/>
      <c r="J455" s="165"/>
      <c r="K455" s="165"/>
      <c r="L455" s="165"/>
      <c r="M455" s="165"/>
      <c r="N455" s="165"/>
      <c r="O455" s="165"/>
      <c r="P455" s="165"/>
      <c r="Q455" s="167"/>
    </row>
    <row r="456" spans="1:17" x14ac:dyDescent="0.25">
      <c r="A456" s="143">
        <v>1</v>
      </c>
      <c r="B456" s="438" t="s">
        <v>41</v>
      </c>
      <c r="C456" s="151"/>
      <c r="D456" s="140">
        <v>4105</v>
      </c>
      <c r="E456" s="143" t="s">
        <v>1691</v>
      </c>
      <c r="F456" s="478">
        <v>16.561878787878783</v>
      </c>
      <c r="G456" s="458">
        <v>2.3711000000000002</v>
      </c>
      <c r="H456" s="155">
        <v>106490.17939889319</v>
      </c>
      <c r="I456" s="155">
        <v>3749.6874388946594</v>
      </c>
      <c r="J456" s="155">
        <v>3565.9152348514995</v>
      </c>
      <c r="K456" s="155">
        <v>64920.015793630955</v>
      </c>
      <c r="L456" s="155">
        <v>1305504.6465273909</v>
      </c>
      <c r="M456" s="155">
        <v>528466.34369252215</v>
      </c>
      <c r="N456" s="155">
        <v>0</v>
      </c>
      <c r="O456" s="150">
        <v>0</v>
      </c>
      <c r="P456" s="155">
        <v>5101.9613852512057</v>
      </c>
      <c r="Q456" s="155">
        <v>2017798.7494714346</v>
      </c>
    </row>
    <row r="457" spans="1:17" x14ac:dyDescent="0.25">
      <c r="A457" s="143"/>
      <c r="B457" s="438"/>
      <c r="C457" s="151"/>
      <c r="D457" s="140"/>
      <c r="E457" s="143"/>
      <c r="F457" s="478"/>
      <c r="G457" s="458"/>
      <c r="H457" s="155"/>
      <c r="I457" s="155"/>
      <c r="J457" s="155"/>
      <c r="K457" s="155"/>
      <c r="L457" s="155"/>
      <c r="M457" s="155"/>
      <c r="N457" s="155"/>
      <c r="O457" s="150"/>
      <c r="P457" s="155"/>
      <c r="Q457" s="155"/>
    </row>
    <row r="458" spans="1:17" ht="15.75" thickBot="1" x14ac:dyDescent="0.3">
      <c r="A458" s="143"/>
      <c r="B458" s="438"/>
      <c r="C458" s="141" t="s">
        <v>1745</v>
      </c>
      <c r="D458" s="140"/>
      <c r="E458" s="143"/>
      <c r="F458" s="481">
        <v>33.207878787878784</v>
      </c>
      <c r="G458" s="168">
        <v>4.7422000000000004</v>
      </c>
      <c r="H458" s="169">
        <v>213521.24447173523</v>
      </c>
      <c r="I458" s="169">
        <v>7518.4203168047516</v>
      </c>
      <c r="J458" s="169">
        <v>7149.9424916371754</v>
      </c>
      <c r="K458" s="169">
        <v>130169.77379159961</v>
      </c>
      <c r="L458" s="169">
        <v>2617640.2215081491</v>
      </c>
      <c r="M458" s="169">
        <v>1059616.877383417</v>
      </c>
      <c r="N458" s="169">
        <v>0</v>
      </c>
      <c r="O458" s="169">
        <v>0</v>
      </c>
      <c r="P458" s="169">
        <v>10229.83668893038</v>
      </c>
      <c r="Q458" s="169">
        <v>4045846.3166522733</v>
      </c>
    </row>
    <row r="459" spans="1:17" ht="15.75" thickTop="1" x14ac:dyDescent="0.25">
      <c r="A459" s="143"/>
      <c r="B459" s="438"/>
      <c r="C459" s="151"/>
      <c r="D459" s="140"/>
      <c r="E459" s="143"/>
      <c r="F459" s="478"/>
      <c r="G459" s="458"/>
      <c r="H459" s="155"/>
      <c r="I459" s="155"/>
      <c r="J459" s="155"/>
      <c r="K459" s="155"/>
      <c r="L459" s="155"/>
      <c r="M459" s="155"/>
      <c r="N459" s="155"/>
      <c r="O459" s="150"/>
      <c r="P459" s="155"/>
      <c r="Q459" s="155"/>
    </row>
    <row r="460" spans="1:17" x14ac:dyDescent="0.25">
      <c r="A460" s="143">
        <v>1</v>
      </c>
      <c r="B460" s="439"/>
      <c r="C460" s="141"/>
      <c r="D460" s="158"/>
      <c r="E460" s="153"/>
      <c r="F460" s="480"/>
      <c r="G460" s="166"/>
      <c r="H460" s="165"/>
      <c r="I460" s="165"/>
      <c r="J460" s="165"/>
      <c r="K460" s="165"/>
      <c r="L460" s="165"/>
      <c r="M460" s="165"/>
      <c r="N460" s="165"/>
      <c r="O460" s="165"/>
      <c r="P460" s="165"/>
      <c r="Q460" s="167"/>
    </row>
    <row r="461" spans="1:17" x14ac:dyDescent="0.25">
      <c r="A461" s="143">
        <v>1</v>
      </c>
      <c r="B461" s="438"/>
      <c r="C461" s="131" t="s">
        <v>20</v>
      </c>
      <c r="D461" s="472"/>
      <c r="E461" s="143"/>
      <c r="F461" s="478"/>
      <c r="G461" s="461"/>
      <c r="H461" s="340"/>
      <c r="I461" s="340"/>
      <c r="J461" s="340"/>
      <c r="K461" s="340"/>
      <c r="L461" s="340"/>
      <c r="M461" s="340"/>
      <c r="N461" s="340"/>
      <c r="O461" s="340"/>
      <c r="P461" s="340"/>
      <c r="Q461" s="340"/>
    </row>
    <row r="462" spans="1:17" x14ac:dyDescent="0.25">
      <c r="A462" s="143">
        <v>1</v>
      </c>
      <c r="B462" s="438" t="s">
        <v>21</v>
      </c>
      <c r="C462" s="151"/>
      <c r="D462" s="472">
        <v>4705</v>
      </c>
      <c r="E462" s="143" t="s">
        <v>1691</v>
      </c>
      <c r="F462" s="478">
        <v>16.575193939393937</v>
      </c>
      <c r="G462" s="458">
        <v>105.29199999999999</v>
      </c>
      <c r="H462" s="155">
        <v>38207.632383468917</v>
      </c>
      <c r="I462" s="155">
        <v>517.71639070343122</v>
      </c>
      <c r="J462" s="155">
        <v>0</v>
      </c>
      <c r="K462" s="155">
        <v>0</v>
      </c>
      <c r="L462" s="155">
        <v>471116.52545044658</v>
      </c>
      <c r="M462" s="155">
        <v>209243.77042059888</v>
      </c>
      <c r="N462" s="155">
        <v>0</v>
      </c>
      <c r="O462" s="150">
        <v>0</v>
      </c>
      <c r="P462" s="155">
        <v>5631.6923114553183</v>
      </c>
      <c r="Q462" s="155">
        <v>724717.33695667307</v>
      </c>
    </row>
    <row r="463" spans="1:17" x14ac:dyDescent="0.25">
      <c r="A463" s="143">
        <v>1</v>
      </c>
      <c r="B463" s="438"/>
      <c r="C463" s="151"/>
      <c r="D463" s="472"/>
      <c r="E463" s="143"/>
      <c r="F463" s="478"/>
      <c r="G463" s="461"/>
      <c r="H463" s="340"/>
      <c r="I463" s="340"/>
      <c r="J463" s="340"/>
      <c r="K463" s="340"/>
      <c r="L463" s="340"/>
      <c r="M463" s="340"/>
      <c r="N463" s="340"/>
      <c r="O463" s="340"/>
      <c r="P463" s="340"/>
      <c r="Q463" s="340"/>
    </row>
    <row r="464" spans="1:17" x14ac:dyDescent="0.25">
      <c r="A464" s="143">
        <v>1</v>
      </c>
      <c r="B464" s="438" t="s">
        <v>22</v>
      </c>
      <c r="C464" s="151"/>
      <c r="D464" s="472">
        <v>4705</v>
      </c>
      <c r="E464" s="143" t="s">
        <v>1691</v>
      </c>
      <c r="F464" s="478">
        <v>24.347303030303035</v>
      </c>
      <c r="G464" s="458">
        <v>105.29199999999999</v>
      </c>
      <c r="H464" s="155">
        <v>56123.192712685166</v>
      </c>
      <c r="I464" s="155">
        <v>760.4736266918211</v>
      </c>
      <c r="J464" s="155">
        <v>0</v>
      </c>
      <c r="K464" s="155">
        <v>0</v>
      </c>
      <c r="L464" s="155">
        <v>692023.08278662025</v>
      </c>
      <c r="M464" s="155">
        <v>307358.18261078867</v>
      </c>
      <c r="N464" s="155">
        <v>0</v>
      </c>
      <c r="O464" s="150">
        <v>0</v>
      </c>
      <c r="P464" s="155">
        <v>8272.3930580714496</v>
      </c>
      <c r="Q464" s="155">
        <v>1064537.3247948573</v>
      </c>
    </row>
    <row r="465" spans="1:17" x14ac:dyDescent="0.25">
      <c r="A465" s="143">
        <v>1</v>
      </c>
      <c r="B465" s="438"/>
      <c r="C465" s="151"/>
      <c r="D465" s="472"/>
      <c r="E465" s="143"/>
      <c r="F465" s="477"/>
      <c r="G465" s="461"/>
      <c r="H465" s="348"/>
      <c r="I465" s="348"/>
      <c r="J465" s="348"/>
      <c r="K465" s="348"/>
      <c r="L465" s="348"/>
      <c r="M465" s="348"/>
      <c r="N465" s="348"/>
      <c r="O465" s="348"/>
      <c r="P465" s="348"/>
      <c r="Q465" s="150"/>
    </row>
    <row r="466" spans="1:17" ht="15.75" thickBot="1" x14ac:dyDescent="0.3">
      <c r="A466" s="143">
        <v>1</v>
      </c>
      <c r="B466" s="442"/>
      <c r="C466" s="141" t="s">
        <v>23</v>
      </c>
      <c r="D466" s="349"/>
      <c r="E466" s="170"/>
      <c r="F466" s="481">
        <v>40.922496969696972</v>
      </c>
      <c r="G466" s="168">
        <v>210.58399999999997</v>
      </c>
      <c r="H466" s="169">
        <v>94330.825096154091</v>
      </c>
      <c r="I466" s="169">
        <v>1278.1900173952522</v>
      </c>
      <c r="J466" s="169">
        <v>0</v>
      </c>
      <c r="K466" s="168">
        <v>0</v>
      </c>
      <c r="L466" s="169">
        <v>1163139.6082370668</v>
      </c>
      <c r="M466" s="169">
        <v>516601.95303138753</v>
      </c>
      <c r="N466" s="169">
        <v>0</v>
      </c>
      <c r="O466" s="169">
        <v>0</v>
      </c>
      <c r="P466" s="169">
        <v>13904.085369526769</v>
      </c>
      <c r="Q466" s="169">
        <v>1789254.6617515304</v>
      </c>
    </row>
    <row r="467" spans="1:17" ht="15.75" thickTop="1" x14ac:dyDescent="0.25">
      <c r="A467" s="143">
        <v>1</v>
      </c>
      <c r="B467" s="438"/>
      <c r="C467" s="161"/>
      <c r="D467" s="472"/>
      <c r="E467" s="143"/>
      <c r="F467" s="478"/>
      <c r="G467" s="461"/>
      <c r="H467" s="343"/>
      <c r="I467" s="343"/>
      <c r="J467" s="343"/>
      <c r="K467" s="343"/>
      <c r="L467" s="343"/>
      <c r="M467" s="343"/>
      <c r="N467" s="343"/>
      <c r="O467" s="343"/>
      <c r="P467" s="343"/>
      <c r="Q467" s="155"/>
    </row>
    <row r="468" spans="1:17" ht="15.75" thickBot="1" x14ac:dyDescent="0.3">
      <c r="A468" s="143">
        <v>1</v>
      </c>
      <c r="B468" s="442"/>
      <c r="C468" s="171" t="s">
        <v>24</v>
      </c>
      <c r="D468" s="349"/>
      <c r="E468" s="170"/>
      <c r="F468" s="481">
        <v>5896.5162060606044</v>
      </c>
      <c r="G468" s="168">
        <v>43913.122550000029</v>
      </c>
      <c r="H468" s="169">
        <v>119157041.91844699</v>
      </c>
      <c r="I468" s="169">
        <v>6724797.4979824079</v>
      </c>
      <c r="J468" s="169">
        <v>923799.89422215451</v>
      </c>
      <c r="K468" s="169">
        <v>548483028.92876339</v>
      </c>
      <c r="L468" s="169">
        <v>92376309.623792216</v>
      </c>
      <c r="M468" s="169">
        <v>405779525.52617592</v>
      </c>
      <c r="N468" s="169">
        <v>207657.92635818076</v>
      </c>
      <c r="O468" s="169">
        <v>1983395.9738533455</v>
      </c>
      <c r="P468" s="169">
        <v>110156009.43604594</v>
      </c>
      <c r="Q468" s="169">
        <v>1285791566.7256403</v>
      </c>
    </row>
    <row r="469" spans="1:17" ht="15.75" thickTop="1" x14ac:dyDescent="0.25">
      <c r="A469" s="143">
        <v>1</v>
      </c>
      <c r="B469" s="438"/>
      <c r="C469" s="351"/>
      <c r="D469" s="472"/>
      <c r="E469" s="143"/>
      <c r="F469" s="477"/>
      <c r="G469" s="461"/>
      <c r="H469" s="350"/>
      <c r="I469" s="350"/>
      <c r="J469" s="350"/>
      <c r="K469" s="350"/>
      <c r="L469" s="350"/>
      <c r="M469" s="350"/>
      <c r="N469" s="350"/>
      <c r="O469" s="350"/>
      <c r="P469" s="350"/>
      <c r="Q469" s="350"/>
    </row>
    <row r="470" spans="1:17" x14ac:dyDescent="0.25">
      <c r="A470" s="143">
        <v>1</v>
      </c>
      <c r="B470" s="438" t="s">
        <v>73</v>
      </c>
      <c r="C470" s="351"/>
      <c r="D470" s="472"/>
      <c r="E470" s="143"/>
      <c r="F470" s="477"/>
      <c r="G470" s="461"/>
      <c r="H470" s="350"/>
      <c r="I470" s="350"/>
      <c r="J470" s="350"/>
      <c r="K470" s="350"/>
      <c r="L470" s="350"/>
      <c r="M470" s="350"/>
      <c r="N470" s="350"/>
      <c r="O470" s="350"/>
      <c r="P470" s="350"/>
      <c r="Q470" s="350"/>
    </row>
    <row r="471" spans="1:17" x14ac:dyDescent="0.25">
      <c r="A471" s="143">
        <v>1</v>
      </c>
      <c r="B471" s="438"/>
      <c r="C471" s="351"/>
      <c r="D471" s="472"/>
      <c r="E471" s="143"/>
      <c r="F471" s="482"/>
      <c r="G471" s="461"/>
      <c r="H471" s="350"/>
      <c r="I471" s="350"/>
      <c r="J471" s="350"/>
      <c r="K471" s="350"/>
      <c r="L471" s="350"/>
      <c r="M471" s="350"/>
      <c r="N471" s="350"/>
      <c r="O471" s="350"/>
      <c r="P471" s="350"/>
      <c r="Q471" s="350"/>
    </row>
    <row r="472" spans="1:17" ht="15.75" hidden="1" outlineLevel="1" x14ac:dyDescent="0.25">
      <c r="A472" s="143">
        <v>1</v>
      </c>
      <c r="B472" s="470" t="s">
        <v>25</v>
      </c>
      <c r="C472" s="351"/>
      <c r="D472" s="472"/>
      <c r="E472" s="143"/>
      <c r="F472" s="482"/>
      <c r="G472" s="461"/>
      <c r="H472" s="172"/>
      <c r="I472" s="172"/>
      <c r="J472" s="172"/>
      <c r="K472" s="172"/>
      <c r="L472" s="172"/>
      <c r="M472" s="172"/>
      <c r="N472" s="172"/>
      <c r="O472" s="172"/>
      <c r="P472" s="172"/>
      <c r="Q472" s="172"/>
    </row>
    <row r="473" spans="1:17" hidden="1" outlineLevel="1" x14ac:dyDescent="0.25">
      <c r="A473" s="143">
        <v>1</v>
      </c>
      <c r="B473" s="438"/>
      <c r="C473" s="151"/>
      <c r="D473" s="472"/>
      <c r="E473" s="143"/>
      <c r="F473" s="482"/>
      <c r="G473" s="461"/>
      <c r="H473" s="172"/>
      <c r="I473" s="172"/>
      <c r="J473" s="172"/>
      <c r="K473" s="172"/>
      <c r="L473" s="172"/>
      <c r="M473" s="172"/>
      <c r="N473" s="172"/>
      <c r="O473" s="172"/>
      <c r="P473" s="172"/>
      <c r="Q473" s="172"/>
    </row>
    <row r="474" spans="1:17" hidden="1" outlineLevel="1" x14ac:dyDescent="0.25">
      <c r="A474" s="143">
        <v>1</v>
      </c>
      <c r="B474" s="163" t="s">
        <v>26</v>
      </c>
      <c r="C474" s="131"/>
      <c r="D474" s="140">
        <v>4750</v>
      </c>
      <c r="E474" s="139" t="s">
        <v>1584</v>
      </c>
      <c r="F474" s="462">
        <v>2.67</v>
      </c>
      <c r="G474" s="458">
        <v>13.915699999999999</v>
      </c>
      <c r="H474" s="155">
        <v>22881.393702448931</v>
      </c>
      <c r="I474" s="155">
        <v>4.6350944700918566</v>
      </c>
      <c r="J474" s="155">
        <v>686.3821468365154</v>
      </c>
      <c r="K474" s="155">
        <v>0</v>
      </c>
      <c r="L474" s="155">
        <v>0</v>
      </c>
      <c r="M474" s="155">
        <v>0</v>
      </c>
      <c r="N474" s="155">
        <v>562036.50617647695</v>
      </c>
      <c r="O474" s="155">
        <v>2553132.850736938</v>
      </c>
      <c r="P474" s="155">
        <v>2989.7422306261165</v>
      </c>
      <c r="Q474" s="155">
        <v>3141731.510087797</v>
      </c>
    </row>
    <row r="475" spans="1:17" hidden="1" outlineLevel="1" x14ac:dyDescent="0.25">
      <c r="A475" s="143">
        <v>1</v>
      </c>
      <c r="B475" s="163"/>
      <c r="C475" s="131"/>
      <c r="D475" s="140"/>
      <c r="E475" s="139"/>
      <c r="F475" s="462"/>
      <c r="G475" s="148"/>
      <c r="H475" s="155"/>
      <c r="I475" s="155"/>
      <c r="J475" s="155"/>
      <c r="K475" s="155"/>
      <c r="L475" s="155"/>
      <c r="M475" s="155"/>
      <c r="N475" s="155"/>
      <c r="O475" s="155"/>
      <c r="P475" s="155"/>
      <c r="Q475" s="155"/>
    </row>
    <row r="476" spans="1:17" hidden="1" outlineLevel="1" x14ac:dyDescent="0.25">
      <c r="A476" s="143">
        <v>1</v>
      </c>
      <c r="B476" s="163" t="s">
        <v>27</v>
      </c>
      <c r="C476" s="131"/>
      <c r="D476" s="140">
        <v>4750</v>
      </c>
      <c r="E476" s="139" t="s">
        <v>1583</v>
      </c>
      <c r="F476" s="462">
        <v>3.9792000000000001</v>
      </c>
      <c r="G476" s="458">
        <v>1640.72165</v>
      </c>
      <c r="H476" s="155">
        <v>34100.989445986212</v>
      </c>
      <c r="I476" s="155">
        <v>6.9078531518311594</v>
      </c>
      <c r="J476" s="155">
        <v>1022.9407635549867</v>
      </c>
      <c r="K476" s="155">
        <v>9468.2220766457449</v>
      </c>
      <c r="L476" s="155">
        <v>215264.32164658923</v>
      </c>
      <c r="M476" s="155">
        <v>121670.76211667046</v>
      </c>
      <c r="N476" s="155">
        <v>0</v>
      </c>
      <c r="O476" s="150">
        <v>0</v>
      </c>
      <c r="P476" s="155">
        <v>4455.7237019128224</v>
      </c>
      <c r="Q476" s="155">
        <v>385989.86760451132</v>
      </c>
    </row>
    <row r="477" spans="1:17" hidden="1" outlineLevel="1" x14ac:dyDescent="0.25">
      <c r="A477" s="143">
        <v>1</v>
      </c>
      <c r="B477" s="163" t="s">
        <v>27</v>
      </c>
      <c r="C477" s="131"/>
      <c r="D477" s="140">
        <v>4750</v>
      </c>
      <c r="E477" s="139" t="s">
        <v>1584</v>
      </c>
      <c r="F477" s="463">
        <v>2.6415999999999999</v>
      </c>
      <c r="G477" s="459">
        <v>13.915699999999999</v>
      </c>
      <c r="H477" s="337">
        <v>22638.011087786181</v>
      </c>
      <c r="I477" s="337">
        <v>4.5857923416459361</v>
      </c>
      <c r="J477" s="337">
        <v>679.08130302746781</v>
      </c>
      <c r="K477" s="337">
        <v>0</v>
      </c>
      <c r="L477" s="337">
        <v>0</v>
      </c>
      <c r="M477" s="337">
        <v>0</v>
      </c>
      <c r="N477" s="337">
        <v>556058.29015572346</v>
      </c>
      <c r="O477" s="337">
        <v>2525975.9320249795</v>
      </c>
      <c r="P477" s="337">
        <v>2957.9412271243255</v>
      </c>
      <c r="Q477" s="337">
        <v>3108313.8415909829</v>
      </c>
    </row>
    <row r="478" spans="1:17" hidden="1" outlineLevel="1" x14ac:dyDescent="0.25">
      <c r="A478" s="143">
        <v>1</v>
      </c>
      <c r="B478" s="163"/>
      <c r="C478" s="139" t="s">
        <v>28</v>
      </c>
      <c r="D478" s="140"/>
      <c r="E478" s="139"/>
      <c r="F478" s="462">
        <v>6.6208</v>
      </c>
      <c r="G478" s="157">
        <v>1654.63735</v>
      </c>
      <c r="H478" s="155">
        <v>56739.000533772392</v>
      </c>
      <c r="I478" s="155">
        <v>11.493645493477096</v>
      </c>
      <c r="J478" s="155">
        <v>1702.0220665824545</v>
      </c>
      <c r="K478" s="155">
        <v>9468.2220766457449</v>
      </c>
      <c r="L478" s="155">
        <v>215264.32164658923</v>
      </c>
      <c r="M478" s="155">
        <v>121670.76211667046</v>
      </c>
      <c r="N478" s="155">
        <v>556058.29015572346</v>
      </c>
      <c r="O478" s="155">
        <v>2525975.9320249795</v>
      </c>
      <c r="P478" s="155">
        <v>7413.6649290371479</v>
      </c>
      <c r="Q478" s="155">
        <v>3494303.7091954942</v>
      </c>
    </row>
    <row r="479" spans="1:17" hidden="1" outlineLevel="1" x14ac:dyDescent="0.25">
      <c r="A479" s="143">
        <v>1</v>
      </c>
      <c r="B479" s="438"/>
      <c r="C479" s="352"/>
      <c r="D479" s="472"/>
      <c r="E479" s="143"/>
      <c r="F479" s="482"/>
      <c r="G479" s="461"/>
      <c r="H479" s="172"/>
      <c r="I479" s="172"/>
      <c r="J479" s="172"/>
      <c r="K479" s="172"/>
      <c r="L479" s="172"/>
      <c r="M479" s="172"/>
      <c r="N479" s="172"/>
      <c r="O479" s="172"/>
      <c r="P479" s="172"/>
      <c r="Q479" s="172"/>
    </row>
    <row r="480" spans="1:17" hidden="1" outlineLevel="1" x14ac:dyDescent="0.25">
      <c r="A480" s="143">
        <v>1</v>
      </c>
      <c r="B480" s="163" t="s">
        <v>29</v>
      </c>
      <c r="C480" s="131"/>
      <c r="D480" s="140">
        <v>4750</v>
      </c>
      <c r="E480" s="139"/>
      <c r="F480" s="462">
        <v>7.9301999999999992</v>
      </c>
      <c r="G480" s="458">
        <v>1640.72165</v>
      </c>
      <c r="H480" s="155">
        <v>67960.310239384751</v>
      </c>
      <c r="I480" s="155">
        <v>13.766751373304045</v>
      </c>
      <c r="J480" s="155">
        <v>2038.6320976939471</v>
      </c>
      <c r="K480" s="155">
        <v>18869.344268248911</v>
      </c>
      <c r="L480" s="155">
        <v>429003.09698476625</v>
      </c>
      <c r="M480" s="155">
        <v>242479.26159469743</v>
      </c>
      <c r="N480" s="155">
        <v>0</v>
      </c>
      <c r="O480" s="150">
        <v>0</v>
      </c>
      <c r="P480" s="155">
        <v>8879.8703510527394</v>
      </c>
      <c r="Q480" s="155">
        <v>769244.28228721733</v>
      </c>
    </row>
    <row r="481" spans="1:17" hidden="1" outlineLevel="1" x14ac:dyDescent="0.25">
      <c r="A481" s="143">
        <v>1</v>
      </c>
      <c r="B481" s="163" t="s">
        <v>1746</v>
      </c>
      <c r="C481" s="131"/>
      <c r="D481" s="140">
        <v>4750</v>
      </c>
      <c r="E481" s="139"/>
      <c r="F481" s="462">
        <v>0.21970000000000001</v>
      </c>
      <c r="G481" s="458">
        <v>1640.72165</v>
      </c>
      <c r="H481" s="155">
        <v>1882.7873394861206</v>
      </c>
      <c r="I481" s="155">
        <v>0.38139709928058552</v>
      </c>
      <c r="J481" s="155">
        <v>56.478710734074831</v>
      </c>
      <c r="K481" s="155">
        <v>522.76045190969796</v>
      </c>
      <c r="L481" s="155">
        <v>11885.195885041128</v>
      </c>
      <c r="M481" s="155">
        <v>6717.6986421975525</v>
      </c>
      <c r="N481" s="155">
        <v>0</v>
      </c>
      <c r="O481" s="150">
        <v>0</v>
      </c>
      <c r="P481" s="155">
        <v>246.00987568110349</v>
      </c>
      <c r="Q481" s="155">
        <v>21311.312302148955</v>
      </c>
    </row>
    <row r="482" spans="1:17" hidden="1" outlineLevel="1" x14ac:dyDescent="0.25">
      <c r="A482" s="143">
        <v>1</v>
      </c>
      <c r="B482" s="163"/>
      <c r="C482" s="139" t="s">
        <v>1747</v>
      </c>
      <c r="D482" s="140"/>
      <c r="E482" s="139"/>
      <c r="F482" s="476">
        <v>8.1498999999999988</v>
      </c>
      <c r="G482" s="159">
        <v>3281.4432999999999</v>
      </c>
      <c r="H482" s="346">
        <v>69843.097578870875</v>
      </c>
      <c r="I482" s="346">
        <v>14.14814847258463</v>
      </c>
      <c r="J482" s="346">
        <v>2095.1108084280218</v>
      </c>
      <c r="K482" s="346">
        <v>19392.104720158608</v>
      </c>
      <c r="L482" s="346">
        <v>440888.2928698074</v>
      </c>
      <c r="M482" s="346">
        <v>249196.96023689499</v>
      </c>
      <c r="N482" s="346">
        <v>0</v>
      </c>
      <c r="O482" s="346">
        <v>0</v>
      </c>
      <c r="P482" s="346">
        <v>9125.8802267338433</v>
      </c>
      <c r="Q482" s="346">
        <v>790555.59458936623</v>
      </c>
    </row>
    <row r="483" spans="1:17" hidden="1" outlineLevel="1" x14ac:dyDescent="0.25">
      <c r="A483" s="143">
        <v>1</v>
      </c>
      <c r="B483" s="438"/>
      <c r="C483" s="151"/>
      <c r="D483" s="472"/>
      <c r="E483" s="143"/>
      <c r="F483" s="475"/>
      <c r="G483" s="461"/>
      <c r="H483" s="334"/>
      <c r="I483" s="334"/>
      <c r="J483" s="334"/>
      <c r="K483" s="334"/>
      <c r="L483" s="334"/>
      <c r="M483" s="334"/>
      <c r="N483" s="334"/>
      <c r="O483" s="334"/>
      <c r="P483" s="334"/>
      <c r="Q483" s="334"/>
    </row>
    <row r="484" spans="1:17" hidden="1" outlineLevel="1" x14ac:dyDescent="0.25">
      <c r="A484" s="143">
        <v>1</v>
      </c>
      <c r="B484" s="163" t="s">
        <v>30</v>
      </c>
      <c r="C484" s="131"/>
      <c r="D484" s="140">
        <v>4750</v>
      </c>
      <c r="E484" s="139" t="s">
        <v>1691</v>
      </c>
      <c r="F484" s="479">
        <v>3.6762651515151514</v>
      </c>
      <c r="G484" s="458">
        <v>1640.72165</v>
      </c>
      <c r="H484" s="150">
        <v>31504.895238355719</v>
      </c>
      <c r="I484" s="150">
        <v>6.3819611514528036</v>
      </c>
      <c r="J484" s="150">
        <v>945.06470675550293</v>
      </c>
      <c r="K484" s="150">
        <v>8747.4102500952868</v>
      </c>
      <c r="L484" s="150">
        <v>198876.33796589886</v>
      </c>
      <c r="M484" s="150">
        <v>112408.01737228726</v>
      </c>
      <c r="N484" s="150">
        <v>0</v>
      </c>
      <c r="O484" s="150">
        <v>0</v>
      </c>
      <c r="P484" s="150">
        <v>4116.5113012972943</v>
      </c>
      <c r="Q484" s="150">
        <v>356604.61879584141</v>
      </c>
    </row>
    <row r="485" spans="1:17" hidden="1" outlineLevel="1" x14ac:dyDescent="0.25">
      <c r="A485" s="143">
        <v>1</v>
      </c>
      <c r="B485" s="438"/>
      <c r="C485" s="151"/>
      <c r="D485" s="472"/>
      <c r="E485" s="143"/>
      <c r="F485" s="475"/>
      <c r="G485" s="461"/>
      <c r="H485" s="334"/>
      <c r="I485" s="334"/>
      <c r="J485" s="334"/>
      <c r="K485" s="334"/>
      <c r="L485" s="334"/>
      <c r="M485" s="334"/>
      <c r="N485" s="334"/>
      <c r="O485" s="334"/>
      <c r="P485" s="334"/>
      <c r="Q485" s="334"/>
    </row>
    <row r="486" spans="1:17" hidden="1" outlineLevel="1" x14ac:dyDescent="0.25">
      <c r="A486" s="143">
        <v>1</v>
      </c>
      <c r="B486" s="163" t="s">
        <v>31</v>
      </c>
      <c r="C486" s="131"/>
      <c r="D486" s="140">
        <v>4750</v>
      </c>
      <c r="E486" s="139"/>
      <c r="F486" s="462">
        <v>5.4943999999999997</v>
      </c>
      <c r="G486" s="458">
        <v>1640.72165</v>
      </c>
      <c r="H486" s="155">
        <v>47085.966126866369</v>
      </c>
      <c r="I486" s="155">
        <v>9.5382258638472859</v>
      </c>
      <c r="J486" s="155">
        <v>1412.4562050855745</v>
      </c>
      <c r="K486" s="155">
        <v>13073.532211982903</v>
      </c>
      <c r="L486" s="155">
        <v>297232.68216099212</v>
      </c>
      <c r="M486" s="155">
        <v>168000.56176463465</v>
      </c>
      <c r="N486" s="155">
        <v>0</v>
      </c>
      <c r="O486" s="150">
        <v>0</v>
      </c>
      <c r="P486" s="155">
        <v>6152.374423952002</v>
      </c>
      <c r="Q486" s="155">
        <v>532967.11111937743</v>
      </c>
    </row>
    <row r="487" spans="1:17" hidden="1" outlineLevel="1" x14ac:dyDescent="0.25">
      <c r="A487" s="143">
        <v>1</v>
      </c>
      <c r="B487" s="163"/>
      <c r="C487" s="131"/>
      <c r="D487" s="140"/>
      <c r="E487" s="139"/>
      <c r="F487" s="462"/>
      <c r="G487" s="148"/>
      <c r="H487" s="155"/>
      <c r="I487" s="155"/>
      <c r="J487" s="155"/>
      <c r="K487" s="155"/>
      <c r="L487" s="155"/>
      <c r="M487" s="155"/>
      <c r="N487" s="155"/>
      <c r="O487" s="155"/>
      <c r="P487" s="155"/>
      <c r="Q487" s="155"/>
    </row>
    <row r="488" spans="1:17" hidden="1" outlineLevel="1" x14ac:dyDescent="0.25">
      <c r="A488" s="143">
        <v>1</v>
      </c>
      <c r="B488" s="163" t="s">
        <v>32</v>
      </c>
      <c r="C488" s="131"/>
      <c r="D488" s="140">
        <v>4750</v>
      </c>
      <c r="E488" s="139" t="s">
        <v>1584</v>
      </c>
      <c r="F488" s="473">
        <v>2.6283000000000003</v>
      </c>
      <c r="G488" s="458">
        <v>13.915699999999999</v>
      </c>
      <c r="H488" s="155">
        <v>22524.032609792706</v>
      </c>
      <c r="I488" s="155">
        <v>4.562703668817389</v>
      </c>
      <c r="J488" s="155">
        <v>675.66224589154069</v>
      </c>
      <c r="K488" s="155">
        <v>0</v>
      </c>
      <c r="L488" s="155">
        <v>0</v>
      </c>
      <c r="M488" s="155">
        <v>0</v>
      </c>
      <c r="N488" s="155">
        <v>553258.63265304675</v>
      </c>
      <c r="O488" s="155">
        <v>2513258.0792479008</v>
      </c>
      <c r="P488" s="155">
        <v>2943.0485036534164</v>
      </c>
      <c r="Q488" s="150">
        <v>3092664.0179639542</v>
      </c>
    </row>
    <row r="489" spans="1:17" hidden="1" outlineLevel="1" x14ac:dyDescent="0.25">
      <c r="A489" s="143">
        <v>1</v>
      </c>
      <c r="B489" s="438"/>
      <c r="C489" s="151"/>
      <c r="D489" s="472"/>
      <c r="E489" s="143"/>
      <c r="F489" s="475"/>
      <c r="G489" s="461"/>
      <c r="H489" s="334"/>
      <c r="I489" s="334"/>
      <c r="J489" s="334"/>
      <c r="K489" s="334"/>
      <c r="L489" s="334"/>
      <c r="M489" s="334"/>
      <c r="N489" s="334"/>
      <c r="O489" s="334"/>
      <c r="P489" s="334"/>
      <c r="Q489" s="334"/>
    </row>
    <row r="490" spans="1:17" hidden="1" outlineLevel="1" x14ac:dyDescent="0.25">
      <c r="A490" s="143">
        <v>1</v>
      </c>
      <c r="B490" s="163" t="s">
        <v>1748</v>
      </c>
      <c r="C490" s="131"/>
      <c r="D490" s="140">
        <v>4750</v>
      </c>
      <c r="E490" s="139"/>
      <c r="F490" s="462">
        <v>16.761400000000002</v>
      </c>
      <c r="G490" s="458">
        <v>1640.72165</v>
      </c>
      <c r="H490" s="155">
        <v>143642.01962704901</v>
      </c>
      <c r="I490" s="155">
        <v>29.09763013145929</v>
      </c>
      <c r="J490" s="155">
        <v>4308.8860359495757</v>
      </c>
      <c r="K490" s="155">
        <v>39882.553657893543</v>
      </c>
      <c r="L490" s="155">
        <v>906747.93949717062</v>
      </c>
      <c r="M490" s="155">
        <v>512508.12026094703</v>
      </c>
      <c r="N490" s="155">
        <v>0</v>
      </c>
      <c r="O490" s="150">
        <v>0</v>
      </c>
      <c r="P490" s="155">
        <v>18768.638735736222</v>
      </c>
      <c r="Q490" s="155">
        <v>1625887.2554448773</v>
      </c>
    </row>
    <row r="491" spans="1:17" hidden="1" outlineLevel="1" x14ac:dyDescent="0.25">
      <c r="A491" s="143">
        <v>1</v>
      </c>
      <c r="B491" s="438"/>
      <c r="C491" s="151"/>
      <c r="D491" s="472"/>
      <c r="E491" s="143"/>
      <c r="F491" s="475"/>
      <c r="G491" s="461"/>
      <c r="H491" s="334"/>
      <c r="I491" s="334"/>
      <c r="J491" s="334"/>
      <c r="K491" s="334"/>
      <c r="L491" s="334"/>
      <c r="M491" s="334"/>
      <c r="N491" s="334"/>
      <c r="O491" s="334"/>
      <c r="P491" s="334"/>
      <c r="Q491" s="334"/>
    </row>
    <row r="492" spans="1:17" hidden="1" outlineLevel="1" x14ac:dyDescent="0.25">
      <c r="A492" s="143">
        <v>1</v>
      </c>
      <c r="B492" s="163" t="s">
        <v>33</v>
      </c>
      <c r="C492" s="139"/>
      <c r="D492" s="140">
        <v>4750</v>
      </c>
      <c r="E492" s="139" t="s">
        <v>1583</v>
      </c>
      <c r="F492" s="462">
        <v>5.4963000000000006</v>
      </c>
      <c r="G492" s="458">
        <v>1640.72165</v>
      </c>
      <c r="H492" s="155">
        <v>47102.248766579731</v>
      </c>
      <c r="I492" s="155">
        <v>9.5415242456799376</v>
      </c>
      <c r="J492" s="155">
        <v>1412.9446418192786</v>
      </c>
      <c r="K492" s="155">
        <v>13078.053126223364</v>
      </c>
      <c r="L492" s="155">
        <v>297335.46719595609</v>
      </c>
      <c r="M492" s="155">
        <v>168058.65747433048</v>
      </c>
      <c r="N492" s="155">
        <v>0</v>
      </c>
      <c r="O492" s="150">
        <v>0</v>
      </c>
      <c r="P492" s="155">
        <v>6154.5019558764188</v>
      </c>
      <c r="Q492" s="155">
        <v>533151.41468503117</v>
      </c>
    </row>
    <row r="493" spans="1:17" hidden="1" outlineLevel="1" x14ac:dyDescent="0.25">
      <c r="A493" s="143">
        <v>1</v>
      </c>
      <c r="B493" s="163" t="s">
        <v>33</v>
      </c>
      <c r="C493" s="139"/>
      <c r="D493" s="140">
        <v>4750</v>
      </c>
      <c r="E493" s="139" t="s">
        <v>1584</v>
      </c>
      <c r="F493" s="463">
        <v>1.5589999999999999</v>
      </c>
      <c r="G493" s="459">
        <v>13.915699999999999</v>
      </c>
      <c r="H493" s="337">
        <v>13360.33437532505</v>
      </c>
      <c r="I493" s="337">
        <v>2.7064090932109379</v>
      </c>
      <c r="J493" s="337">
        <v>400.77519360229496</v>
      </c>
      <c r="K493" s="337">
        <v>0</v>
      </c>
      <c r="L493" s="337">
        <v>0</v>
      </c>
      <c r="M493" s="337">
        <v>0</v>
      </c>
      <c r="N493" s="337">
        <v>328170.37944911147</v>
      </c>
      <c r="O493" s="337">
        <v>1490761.8405613804</v>
      </c>
      <c r="P493" s="337">
        <v>1745.6959316652119</v>
      </c>
      <c r="Q493" s="155">
        <v>1834441.7319201776</v>
      </c>
    </row>
    <row r="494" spans="1:17" hidden="1" outlineLevel="1" x14ac:dyDescent="0.25">
      <c r="A494" s="143">
        <v>1</v>
      </c>
      <c r="B494" s="163"/>
      <c r="C494" s="161" t="s">
        <v>1749</v>
      </c>
      <c r="D494" s="140"/>
      <c r="E494" s="139"/>
      <c r="F494" s="462">
        <v>7.0553000000000008</v>
      </c>
      <c r="G494" s="157">
        <v>1654.63735</v>
      </c>
      <c r="H494" s="155">
        <v>60462.583141904783</v>
      </c>
      <c r="I494" s="155">
        <v>12.247933338890876</v>
      </c>
      <c r="J494" s="155">
        <v>1813.7198354215734</v>
      </c>
      <c r="K494" s="155">
        <v>13078.053126223364</v>
      </c>
      <c r="L494" s="155">
        <v>297335.46719595609</v>
      </c>
      <c r="M494" s="155">
        <v>168058.65747433048</v>
      </c>
      <c r="N494" s="155">
        <v>328170.37944911147</v>
      </c>
      <c r="O494" s="155">
        <v>1490761.8405613804</v>
      </c>
      <c r="P494" s="155">
        <v>7900.1978875416307</v>
      </c>
      <c r="Q494" s="155">
        <v>2367593.1466052085</v>
      </c>
    </row>
    <row r="495" spans="1:17" hidden="1" outlineLevel="1" x14ac:dyDescent="0.25">
      <c r="A495" s="143">
        <v>1</v>
      </c>
      <c r="B495" s="163" t="s">
        <v>34</v>
      </c>
      <c r="C495" s="139"/>
      <c r="D495" s="140">
        <v>4750</v>
      </c>
      <c r="E495" s="139" t="s">
        <v>1583</v>
      </c>
      <c r="F495" s="462">
        <v>9.1630000000000003</v>
      </c>
      <c r="G495" s="458">
        <v>1640.72165</v>
      </c>
      <c r="H495" s="155">
        <v>78525.172470238162</v>
      </c>
      <c r="I495" s="155">
        <v>15.906880385562154</v>
      </c>
      <c r="J495" s="155">
        <v>2355.5504162782322</v>
      </c>
      <c r="K495" s="155">
        <v>21802.703781741293</v>
      </c>
      <c r="L495" s="155">
        <v>495694.35546031792</v>
      </c>
      <c r="M495" s="155">
        <v>280174.20418050146</v>
      </c>
      <c r="N495" s="155">
        <v>0</v>
      </c>
      <c r="O495" s="150">
        <v>0</v>
      </c>
      <c r="P495" s="155">
        <v>10260.302643905105</v>
      </c>
      <c r="Q495" s="155">
        <v>888828.19583336776</v>
      </c>
    </row>
    <row r="496" spans="1:17" hidden="1" outlineLevel="1" x14ac:dyDescent="0.25">
      <c r="A496" s="143">
        <v>1</v>
      </c>
      <c r="B496" s="163" t="s">
        <v>34</v>
      </c>
      <c r="C496" s="163"/>
      <c r="D496" s="140">
        <v>4750</v>
      </c>
      <c r="E496" s="139" t="s">
        <v>1584</v>
      </c>
      <c r="F496" s="463">
        <v>1.6512</v>
      </c>
      <c r="G496" s="459">
        <v>13.915699999999999</v>
      </c>
      <c r="H496" s="337">
        <v>14150.47089194145</v>
      </c>
      <c r="I496" s="337">
        <v>2.8664674116163575</v>
      </c>
      <c r="J496" s="337">
        <v>424.47722878518886</v>
      </c>
      <c r="K496" s="337">
        <v>0</v>
      </c>
      <c r="L496" s="337">
        <v>0</v>
      </c>
      <c r="M496" s="337">
        <v>0</v>
      </c>
      <c r="N496" s="337">
        <v>347578.53146014939</v>
      </c>
      <c r="O496" s="337">
        <v>1578926.2034220342</v>
      </c>
      <c r="P496" s="337">
        <v>1848.9372176815893</v>
      </c>
      <c r="Q496" s="155">
        <v>1942931.4866880034</v>
      </c>
    </row>
    <row r="497" spans="1:17" hidden="1" outlineLevel="1" x14ac:dyDescent="0.25">
      <c r="A497" s="143">
        <v>1</v>
      </c>
      <c r="B497" s="163"/>
      <c r="C497" s="161" t="s">
        <v>1750</v>
      </c>
      <c r="D497" s="140"/>
      <c r="E497" s="139"/>
      <c r="F497" s="462">
        <v>10.8142</v>
      </c>
      <c r="G497" s="157">
        <v>1654.63735</v>
      </c>
      <c r="H497" s="155">
        <v>92675.643362179617</v>
      </c>
      <c r="I497" s="155">
        <v>18.773347797178513</v>
      </c>
      <c r="J497" s="155">
        <v>2780.027645063421</v>
      </c>
      <c r="K497" s="155">
        <v>21802.703781741293</v>
      </c>
      <c r="L497" s="155">
        <v>495694.35546031792</v>
      </c>
      <c r="M497" s="155">
        <v>280174.20418050146</v>
      </c>
      <c r="N497" s="155">
        <v>347578.53146014939</v>
      </c>
      <c r="O497" s="155">
        <v>1578926.2034220342</v>
      </c>
      <c r="P497" s="155">
        <v>12109.239861586693</v>
      </c>
      <c r="Q497" s="155">
        <v>2831759.6825213712</v>
      </c>
    </row>
    <row r="498" spans="1:17" hidden="1" outlineLevel="1" x14ac:dyDescent="0.25">
      <c r="A498" s="143">
        <v>1</v>
      </c>
      <c r="B498" s="163" t="s">
        <v>1751</v>
      </c>
      <c r="C498" s="139"/>
      <c r="D498" s="140">
        <v>4750</v>
      </c>
      <c r="E498" s="139"/>
      <c r="F498" s="462"/>
      <c r="G498" s="458"/>
      <c r="H498" s="155"/>
      <c r="I498" s="155"/>
      <c r="J498" s="155"/>
      <c r="K498" s="155"/>
      <c r="L498" s="155"/>
      <c r="M498" s="155"/>
      <c r="N498" s="155"/>
      <c r="O498" s="150"/>
      <c r="P498" s="155"/>
      <c r="Q498" s="155"/>
    </row>
    <row r="499" spans="1:17" hidden="1" outlineLevel="1" x14ac:dyDescent="0.25">
      <c r="A499" s="143">
        <v>1</v>
      </c>
      <c r="B499" s="163"/>
      <c r="C499" s="139" t="s">
        <v>1752</v>
      </c>
      <c r="D499" s="140"/>
      <c r="E499" s="139"/>
      <c r="F499" s="475"/>
      <c r="G499" s="164"/>
      <c r="H499" s="347"/>
      <c r="I499" s="347"/>
      <c r="J499" s="347"/>
      <c r="K499" s="347"/>
      <c r="L499" s="347"/>
      <c r="M499" s="347"/>
      <c r="N499" s="347"/>
      <c r="O499" s="347"/>
      <c r="P499" s="347"/>
      <c r="Q499" s="347"/>
    </row>
    <row r="500" spans="1:17" hidden="1" outlineLevel="1" x14ac:dyDescent="0.25">
      <c r="A500" s="143">
        <v>1</v>
      </c>
      <c r="B500" s="438"/>
      <c r="C500" s="151"/>
      <c r="D500" s="472"/>
      <c r="E500" s="143"/>
      <c r="F500" s="475"/>
      <c r="G500" s="461"/>
      <c r="H500" s="334"/>
      <c r="I500" s="334"/>
      <c r="J500" s="334"/>
      <c r="K500" s="334"/>
      <c r="L500" s="334"/>
      <c r="M500" s="334"/>
      <c r="N500" s="334"/>
      <c r="O500" s="334"/>
      <c r="P500" s="334"/>
      <c r="Q500" s="334"/>
    </row>
    <row r="501" spans="1:17" hidden="1" outlineLevel="1" x14ac:dyDescent="0.25">
      <c r="A501" s="143">
        <v>1</v>
      </c>
      <c r="B501" s="163" t="s">
        <v>35</v>
      </c>
      <c r="C501" s="139"/>
      <c r="D501" s="140">
        <v>4750</v>
      </c>
      <c r="E501" s="139" t="s">
        <v>1583</v>
      </c>
      <c r="F501" s="473">
        <v>3.7766999999999999</v>
      </c>
      <c r="G501" s="458">
        <v>1640.72165</v>
      </c>
      <c r="H501" s="155">
        <v>32365.602844957812</v>
      </c>
      <c r="I501" s="155">
        <v>6.556315088088243</v>
      </c>
      <c r="J501" s="155">
        <v>970.88369062075742</v>
      </c>
      <c r="K501" s="155">
        <v>8986.3877957549194</v>
      </c>
      <c r="L501" s="155">
        <v>204309.60081490589</v>
      </c>
      <c r="M501" s="155">
        <v>115478.98253066679</v>
      </c>
      <c r="N501" s="155">
        <v>0</v>
      </c>
      <c r="O501" s="150">
        <v>0</v>
      </c>
      <c r="P501" s="155">
        <v>4228.973588915901</v>
      </c>
      <c r="Q501" s="155">
        <v>366346.98758091015</v>
      </c>
    </row>
    <row r="502" spans="1:17" hidden="1" outlineLevel="1" x14ac:dyDescent="0.25">
      <c r="A502" s="143">
        <v>1</v>
      </c>
      <c r="B502" s="163" t="s">
        <v>35</v>
      </c>
      <c r="C502" s="139"/>
      <c r="D502" s="140">
        <v>4750</v>
      </c>
      <c r="E502" s="139" t="s">
        <v>1584</v>
      </c>
      <c r="F502" s="463">
        <v>2.6456</v>
      </c>
      <c r="G502" s="459">
        <v>13.915699999999999</v>
      </c>
      <c r="H502" s="337">
        <v>22672.290329287971</v>
      </c>
      <c r="I502" s="337">
        <v>4.5927363033988833</v>
      </c>
      <c r="J502" s="337">
        <v>680.10959088789707</v>
      </c>
      <c r="K502" s="337">
        <v>0</v>
      </c>
      <c r="L502" s="337">
        <v>0</v>
      </c>
      <c r="M502" s="337">
        <v>0</v>
      </c>
      <c r="N502" s="337">
        <v>556900.29241216765</v>
      </c>
      <c r="O502" s="337">
        <v>2529800.8501534238</v>
      </c>
      <c r="P502" s="337">
        <v>2962.4202417020429</v>
      </c>
      <c r="Q502" s="337">
        <v>3113020.5554637727</v>
      </c>
    </row>
    <row r="503" spans="1:17" hidden="1" outlineLevel="1" x14ac:dyDescent="0.25">
      <c r="A503" s="143">
        <v>1</v>
      </c>
      <c r="B503" s="163"/>
      <c r="C503" s="139" t="s">
        <v>36</v>
      </c>
      <c r="D503" s="140"/>
      <c r="E503" s="139"/>
      <c r="F503" s="473">
        <v>6.4222999999999999</v>
      </c>
      <c r="G503" s="157">
        <v>1654.63735</v>
      </c>
      <c r="H503" s="347">
        <v>55037.893174245779</v>
      </c>
      <c r="I503" s="347">
        <v>11.149051391487127</v>
      </c>
      <c r="J503" s="347">
        <v>1650.9932815086545</v>
      </c>
      <c r="K503" s="347">
        <v>8986.3877957549194</v>
      </c>
      <c r="L503" s="347">
        <v>204309.60081490589</v>
      </c>
      <c r="M503" s="347">
        <v>115478.98253066679</v>
      </c>
      <c r="N503" s="347">
        <v>556900.29241216765</v>
      </c>
      <c r="O503" s="347">
        <v>2529800.8501534238</v>
      </c>
      <c r="P503" s="347">
        <v>7191.3938306179443</v>
      </c>
      <c r="Q503" s="347">
        <v>3479367.5430446831</v>
      </c>
    </row>
    <row r="504" spans="1:17" hidden="1" outlineLevel="1" x14ac:dyDescent="0.25">
      <c r="A504" s="143">
        <v>1</v>
      </c>
      <c r="B504" s="438"/>
      <c r="C504" s="151"/>
      <c r="D504" s="472"/>
      <c r="E504" s="143"/>
      <c r="F504" s="475"/>
      <c r="G504" s="461"/>
      <c r="H504" s="334"/>
      <c r="I504" s="334"/>
      <c r="J504" s="334"/>
      <c r="K504" s="334"/>
      <c r="L504" s="334"/>
      <c r="M504" s="334"/>
      <c r="N504" s="334"/>
      <c r="O504" s="334"/>
      <c r="P504" s="334"/>
      <c r="Q504" s="334"/>
    </row>
    <row r="505" spans="1:17" hidden="1" outlineLevel="1" x14ac:dyDescent="0.25">
      <c r="A505" s="143">
        <v>1</v>
      </c>
      <c r="B505" s="438" t="s">
        <v>37</v>
      </c>
      <c r="C505" s="131"/>
      <c r="D505" s="140">
        <v>4106</v>
      </c>
      <c r="E505" s="139" t="s">
        <v>1691</v>
      </c>
      <c r="F505" s="478">
        <v>1.1321212121212121E-2</v>
      </c>
      <c r="G505" s="458">
        <v>20.861599999999999</v>
      </c>
      <c r="H505" s="155">
        <v>110.03224782799821</v>
      </c>
      <c r="I505" s="155">
        <v>0</v>
      </c>
      <c r="J505" s="155">
        <v>0</v>
      </c>
      <c r="K505" s="155">
        <v>0.19026314606132669</v>
      </c>
      <c r="L505" s="155">
        <v>1003.3453869429991</v>
      </c>
      <c r="M505" s="155">
        <v>908.91581841634263</v>
      </c>
      <c r="N505" s="155">
        <v>0</v>
      </c>
      <c r="O505" s="150">
        <v>0</v>
      </c>
      <c r="P505" s="155">
        <v>0</v>
      </c>
      <c r="Q505" s="155">
        <v>2022.4837163334014</v>
      </c>
    </row>
    <row r="506" spans="1:17" hidden="1" outlineLevel="1" x14ac:dyDescent="0.25">
      <c r="A506" s="143">
        <v>1</v>
      </c>
      <c r="B506" s="438" t="s">
        <v>37</v>
      </c>
      <c r="C506" s="131"/>
      <c r="D506" s="140">
        <v>4750</v>
      </c>
      <c r="E506" s="139" t="s">
        <v>1691</v>
      </c>
      <c r="F506" s="463">
        <v>9.6438000000000006</v>
      </c>
      <c r="G506" s="459">
        <v>1640.72165</v>
      </c>
      <c r="H506" s="337">
        <v>82645.537298753974</v>
      </c>
      <c r="I506" s="337">
        <v>16.741544588266319</v>
      </c>
      <c r="J506" s="337">
        <v>2479.1506171018245</v>
      </c>
      <c r="K506" s="337">
        <v>22946.733027431699</v>
      </c>
      <c r="L506" s="337">
        <v>521704.37904487771</v>
      </c>
      <c r="M506" s="337">
        <v>294875.47640247957</v>
      </c>
      <c r="N506" s="337">
        <v>0</v>
      </c>
      <c r="O506" s="337">
        <v>0</v>
      </c>
      <c r="P506" s="337">
        <v>10798.680196146681</v>
      </c>
      <c r="Q506" s="337">
        <v>935466.69813137979</v>
      </c>
    </row>
    <row r="507" spans="1:17" hidden="1" outlineLevel="1" x14ac:dyDescent="0.25">
      <c r="A507" s="143">
        <v>1</v>
      </c>
      <c r="B507" s="163"/>
      <c r="C507" s="139" t="s">
        <v>38</v>
      </c>
      <c r="D507" s="140"/>
      <c r="E507" s="139"/>
      <c r="F507" s="462">
        <v>9.6551212121212124</v>
      </c>
      <c r="G507" s="157">
        <v>1661.5832499999999</v>
      </c>
      <c r="H507" s="155">
        <v>82755.569546581974</v>
      </c>
      <c r="I507" s="155">
        <v>16.741544588266319</v>
      </c>
      <c r="J507" s="155">
        <v>2479.1506171018245</v>
      </c>
      <c r="K507" s="155">
        <v>22946.923290577761</v>
      </c>
      <c r="L507" s="155">
        <v>522707.72443182074</v>
      </c>
      <c r="M507" s="155">
        <v>295784.39222089591</v>
      </c>
      <c r="N507" s="155">
        <v>0</v>
      </c>
      <c r="O507" s="155">
        <v>0</v>
      </c>
      <c r="P507" s="155">
        <v>10798.680196146681</v>
      </c>
      <c r="Q507" s="155">
        <v>937489.18184771319</v>
      </c>
    </row>
    <row r="508" spans="1:17" hidden="1" outlineLevel="1" x14ac:dyDescent="0.25">
      <c r="A508" s="143">
        <v>1</v>
      </c>
      <c r="B508" s="438"/>
      <c r="C508" s="151"/>
      <c r="D508" s="472"/>
      <c r="E508" s="143"/>
      <c r="F508" s="475"/>
      <c r="G508" s="461"/>
      <c r="H508" s="334"/>
      <c r="I508" s="334"/>
      <c r="J508" s="334"/>
      <c r="K508" s="334"/>
      <c r="L508" s="334"/>
      <c r="M508" s="334"/>
      <c r="N508" s="334"/>
      <c r="O508" s="334"/>
      <c r="P508" s="334"/>
      <c r="Q508" s="334"/>
    </row>
    <row r="509" spans="1:17" hidden="1" outlineLevel="1" x14ac:dyDescent="0.25">
      <c r="A509" s="143">
        <v>1</v>
      </c>
      <c r="B509" s="163" t="s">
        <v>10</v>
      </c>
      <c r="C509" s="131"/>
      <c r="D509" s="140">
        <v>4106</v>
      </c>
      <c r="E509" s="139" t="s">
        <v>1691</v>
      </c>
      <c r="F509" s="462">
        <v>0.28029999999999999</v>
      </c>
      <c r="G509" s="458">
        <v>20.861599999999999</v>
      </c>
      <c r="H509" s="155">
        <v>2724.2700459962543</v>
      </c>
      <c r="I509" s="155">
        <v>0</v>
      </c>
      <c r="J509" s="155">
        <v>0</v>
      </c>
      <c r="K509" s="155">
        <v>4.7106934549054227</v>
      </c>
      <c r="L509" s="155">
        <v>24841.660853008692</v>
      </c>
      <c r="M509" s="155">
        <v>22503.6949378194</v>
      </c>
      <c r="N509" s="155">
        <v>0</v>
      </c>
      <c r="O509" s="150">
        <v>0</v>
      </c>
      <c r="P509" s="155">
        <v>0</v>
      </c>
      <c r="Q509" s="155">
        <v>50074.336530279252</v>
      </c>
    </row>
    <row r="510" spans="1:17" hidden="1" outlineLevel="1" x14ac:dyDescent="0.25">
      <c r="A510" s="143">
        <v>1</v>
      </c>
      <c r="B510" s="438" t="s">
        <v>10</v>
      </c>
      <c r="C510" s="131"/>
      <c r="D510" s="140">
        <v>4750</v>
      </c>
      <c r="E510" s="139" t="s">
        <v>1691</v>
      </c>
      <c r="F510" s="479">
        <v>5.0794121212121208</v>
      </c>
      <c r="G510" s="459">
        <v>1640.72165</v>
      </c>
      <c r="H510" s="337">
        <v>43529.598697544476</v>
      </c>
      <c r="I510" s="337">
        <v>8.8178108742874315</v>
      </c>
      <c r="J510" s="337">
        <v>1305.7744555898626</v>
      </c>
      <c r="K510" s="337">
        <v>12086.098206283321</v>
      </c>
      <c r="L510" s="337">
        <v>274782.92235529504</v>
      </c>
      <c r="M510" s="337">
        <v>155311.60632602847</v>
      </c>
      <c r="N510" s="337">
        <v>0</v>
      </c>
      <c r="O510" s="337">
        <v>0</v>
      </c>
      <c r="P510" s="337">
        <v>5687.6902342853164</v>
      </c>
      <c r="Q510" s="337">
        <v>492712.5080859008</v>
      </c>
    </row>
    <row r="511" spans="1:17" hidden="1" outlineLevel="1" x14ac:dyDescent="0.25">
      <c r="A511" s="143">
        <v>1</v>
      </c>
      <c r="B511" s="163"/>
      <c r="C511" s="139" t="s">
        <v>1753</v>
      </c>
      <c r="D511" s="140"/>
      <c r="E511" s="139"/>
      <c r="F511" s="462">
        <v>5.3597121212121213</v>
      </c>
      <c r="G511" s="157">
        <v>1661.5832499999999</v>
      </c>
      <c r="H511" s="155">
        <v>46253.868743540734</v>
      </c>
      <c r="I511" s="155">
        <v>8.8178108742874315</v>
      </c>
      <c r="J511" s="155">
        <v>1305.7744555898626</v>
      </c>
      <c r="K511" s="155">
        <v>12090.808899738226</v>
      </c>
      <c r="L511" s="155">
        <v>299624.58320830372</v>
      </c>
      <c r="M511" s="155">
        <v>177815.30126384788</v>
      </c>
      <c r="N511" s="155">
        <v>0</v>
      </c>
      <c r="O511" s="155">
        <v>0</v>
      </c>
      <c r="P511" s="155">
        <v>5687.6902342853164</v>
      </c>
      <c r="Q511" s="155">
        <v>542786.84461618005</v>
      </c>
    </row>
    <row r="512" spans="1:17" hidden="1" outlineLevel="1" x14ac:dyDescent="0.25">
      <c r="A512" s="143">
        <v>1</v>
      </c>
      <c r="B512" s="438"/>
      <c r="C512" s="141"/>
      <c r="D512" s="139"/>
      <c r="E512" s="158"/>
      <c r="F512" s="483"/>
      <c r="G512" s="166"/>
      <c r="H512" s="167"/>
      <c r="I512" s="167"/>
      <c r="J512" s="167"/>
      <c r="K512" s="167"/>
      <c r="L512" s="167"/>
      <c r="M512" s="167"/>
      <c r="N512" s="167"/>
      <c r="O512" s="167"/>
      <c r="P512" s="167"/>
      <c r="Q512" s="167"/>
    </row>
    <row r="513" spans="1:17" hidden="1" outlineLevel="1" x14ac:dyDescent="0.25">
      <c r="A513" s="143">
        <v>1</v>
      </c>
      <c r="B513" s="163" t="s">
        <v>1754</v>
      </c>
      <c r="C513" s="139"/>
      <c r="D513" s="140">
        <v>4750</v>
      </c>
      <c r="E513" s="139"/>
      <c r="F513" s="462">
        <v>6.0187499999999998</v>
      </c>
      <c r="G513" s="458">
        <v>1640.72165</v>
      </c>
      <c r="H513" s="155">
        <v>51579.546197232987</v>
      </c>
      <c r="I513" s="155">
        <v>10.448492450136659</v>
      </c>
      <c r="J513" s="155">
        <v>1547.2518899895897</v>
      </c>
      <c r="K513" s="155">
        <v>14321.185570921685</v>
      </c>
      <c r="L513" s="155">
        <v>325598.64694169909</v>
      </c>
      <c r="M513" s="155">
        <v>184033.44880621991</v>
      </c>
      <c r="N513" s="155">
        <v>0</v>
      </c>
      <c r="O513" s="150">
        <v>0</v>
      </c>
      <c r="P513" s="155">
        <v>6739.5172474084738</v>
      </c>
      <c r="Q513" s="155">
        <v>583830.04514592199</v>
      </c>
    </row>
    <row r="514" spans="1:17" hidden="1" outlineLevel="1" x14ac:dyDescent="0.25">
      <c r="A514" s="143">
        <v>1</v>
      </c>
      <c r="B514" s="438"/>
      <c r="C514" s="141"/>
      <c r="D514" s="139"/>
      <c r="E514" s="158"/>
      <c r="F514" s="483"/>
      <c r="G514" s="166"/>
      <c r="H514" s="167"/>
      <c r="I514" s="167"/>
      <c r="J514" s="167"/>
      <c r="K514" s="167"/>
      <c r="L514" s="167"/>
      <c r="M514" s="167"/>
      <c r="N514" s="167"/>
      <c r="O514" s="167"/>
      <c r="P514" s="167"/>
      <c r="Q514" s="167"/>
    </row>
    <row r="515" spans="1:17" hidden="1" outlineLevel="1" x14ac:dyDescent="0.25">
      <c r="A515" s="143">
        <v>1</v>
      </c>
      <c r="B515" s="163" t="s">
        <v>1755</v>
      </c>
      <c r="C515" s="139"/>
      <c r="D515" s="140">
        <v>4750</v>
      </c>
      <c r="E515" s="139" t="s">
        <v>1691</v>
      </c>
      <c r="F515" s="462">
        <v>16.009172727272727</v>
      </c>
      <c r="G515" s="458">
        <v>1640.72165</v>
      </c>
      <c r="H515" s="155">
        <v>137195.57454053516</v>
      </c>
      <c r="I515" s="155">
        <v>27.791770778623935</v>
      </c>
      <c r="J515" s="155">
        <v>4115.509492742267</v>
      </c>
      <c r="K515" s="155">
        <v>38092.682610876196</v>
      </c>
      <c r="L515" s="155">
        <v>866054.40974553686</v>
      </c>
      <c r="M515" s="155">
        <v>489507.50064954977</v>
      </c>
      <c r="N515" s="155">
        <v>0</v>
      </c>
      <c r="O515" s="150">
        <v>0</v>
      </c>
      <c r="P515" s="155">
        <v>17926.329505660793</v>
      </c>
      <c r="Q515" s="155">
        <v>1552919.7983156797</v>
      </c>
    </row>
    <row r="516" spans="1:17" hidden="1" outlineLevel="1" x14ac:dyDescent="0.25">
      <c r="A516" s="143">
        <v>1</v>
      </c>
      <c r="B516" s="163"/>
      <c r="C516" s="139"/>
      <c r="D516" s="140"/>
      <c r="E516" s="139"/>
      <c r="F516" s="462"/>
      <c r="G516" s="458"/>
      <c r="H516" s="155"/>
      <c r="I516" s="155"/>
      <c r="J516" s="155"/>
      <c r="K516" s="155"/>
      <c r="L516" s="155"/>
      <c r="M516" s="155"/>
      <c r="N516" s="155"/>
      <c r="O516" s="150"/>
      <c r="P516" s="155"/>
      <c r="Q516" s="155"/>
    </row>
    <row r="517" spans="1:17" hidden="1" outlineLevel="1" x14ac:dyDescent="0.25">
      <c r="A517" s="143">
        <v>1</v>
      </c>
      <c r="B517" s="163" t="s">
        <v>1756</v>
      </c>
      <c r="C517" s="139"/>
      <c r="D517" s="140">
        <v>4750</v>
      </c>
      <c r="E517" s="139"/>
      <c r="F517" s="462">
        <v>6.4525999999999994</v>
      </c>
      <c r="G517" s="458">
        <v>1640.72165</v>
      </c>
      <c r="H517" s="155">
        <v>55297.558428621487</v>
      </c>
      <c r="I517" s="155">
        <v>11.201651901765617</v>
      </c>
      <c r="J517" s="155">
        <v>1658.7825620513936</v>
      </c>
      <c r="K517" s="155">
        <v>15353.500646301851</v>
      </c>
      <c r="L517" s="155">
        <v>349068.79821491294</v>
      </c>
      <c r="M517" s="155">
        <v>197299.14546492451</v>
      </c>
      <c r="N517" s="155">
        <v>0</v>
      </c>
      <c r="O517" s="150">
        <v>0</v>
      </c>
      <c r="P517" s="155">
        <v>7225.3223660440972</v>
      </c>
      <c r="Q517" s="155">
        <v>625914.30933475797</v>
      </c>
    </row>
    <row r="518" spans="1:17" hidden="1" outlineLevel="1" x14ac:dyDescent="0.25">
      <c r="A518" s="143">
        <v>1</v>
      </c>
      <c r="B518" s="438"/>
      <c r="C518" s="141"/>
      <c r="D518" s="139"/>
      <c r="E518" s="158"/>
      <c r="F518" s="483"/>
      <c r="G518" s="166"/>
      <c r="H518" s="167"/>
      <c r="I518" s="167"/>
      <c r="J518" s="167"/>
      <c r="K518" s="167"/>
      <c r="L518" s="167"/>
      <c r="M518" s="167"/>
      <c r="N518" s="167"/>
      <c r="O518" s="167"/>
      <c r="P518" s="167"/>
      <c r="Q518" s="167"/>
    </row>
    <row r="519" spans="1:17" hidden="1" outlineLevel="1" x14ac:dyDescent="0.25">
      <c r="A519" s="143">
        <v>1</v>
      </c>
      <c r="B519" s="438"/>
      <c r="C519" s="141"/>
      <c r="D519" s="139"/>
      <c r="E519" s="158"/>
      <c r="F519" s="483"/>
      <c r="G519" s="166"/>
      <c r="H519" s="167"/>
      <c r="I519" s="167"/>
      <c r="J519" s="167"/>
      <c r="K519" s="167"/>
      <c r="L519" s="167"/>
      <c r="M519" s="167"/>
      <c r="N519" s="167"/>
      <c r="O519" s="167"/>
      <c r="P519" s="167"/>
      <c r="Q519" s="167"/>
    </row>
    <row r="520" spans="1:17" ht="15.75" hidden="1" outlineLevel="1" thickBot="1" x14ac:dyDescent="0.3">
      <c r="A520" s="143">
        <v>1</v>
      </c>
      <c r="B520" s="438"/>
      <c r="C520" s="141" t="s">
        <v>39</v>
      </c>
      <c r="D520" s="139"/>
      <c r="E520" s="158"/>
      <c r="F520" s="484">
        <v>113.78822121212121</v>
      </c>
      <c r="G520" s="353">
        <v>23095.320499999998</v>
      </c>
      <c r="H520" s="353">
        <v>975478.64255199872</v>
      </c>
      <c r="I520" s="353">
        <v>197.02901237236685</v>
      </c>
      <c r="J520" s="353">
        <v>29176.793994997774</v>
      </c>
      <c r="K520" s="353">
        <v>237236.06863891135</v>
      </c>
      <c r="L520" s="353">
        <v>5419403.1601539124</v>
      </c>
      <c r="M520" s="154">
        <v>3071936.0543423709</v>
      </c>
      <c r="N520" s="353">
        <v>2904002.6323066754</v>
      </c>
      <c r="O520" s="353">
        <v>13191855.756146656</v>
      </c>
      <c r="P520" s="353">
        <v>127088.23148032767</v>
      </c>
      <c r="Q520" s="160">
        <v>25956374.368628222</v>
      </c>
    </row>
    <row r="521" spans="1:17" collapsed="1" x14ac:dyDescent="0.25">
      <c r="A521" s="143">
        <v>1</v>
      </c>
      <c r="B521" s="438"/>
      <c r="C521" s="151"/>
      <c r="D521" s="472"/>
      <c r="E521" s="143"/>
      <c r="F521" s="475"/>
      <c r="G521" s="461"/>
      <c r="H521" s="334"/>
      <c r="I521" s="334"/>
      <c r="J521" s="334"/>
      <c r="K521" s="334"/>
      <c r="L521" s="334"/>
      <c r="M521" s="334"/>
      <c r="N521" s="334"/>
      <c r="O521" s="334"/>
      <c r="P521" s="334"/>
      <c r="Q521" s="334"/>
    </row>
    <row r="522" spans="1:17" ht="15.75" x14ac:dyDescent="0.25">
      <c r="A522" s="143">
        <v>1</v>
      </c>
      <c r="B522" s="470" t="s">
        <v>40</v>
      </c>
      <c r="C522" s="151"/>
      <c r="D522" s="472"/>
      <c r="E522" s="143"/>
      <c r="F522" s="475"/>
      <c r="G522" s="461"/>
      <c r="H522" s="334"/>
      <c r="I522" s="334"/>
      <c r="J522" s="334"/>
      <c r="K522" s="334"/>
      <c r="L522" s="334"/>
      <c r="M522" s="334"/>
      <c r="N522" s="334"/>
      <c r="O522" s="334"/>
      <c r="P522" s="334"/>
      <c r="Q522" s="334"/>
    </row>
    <row r="523" spans="1:17" x14ac:dyDescent="0.25">
      <c r="A523" s="143">
        <v>1</v>
      </c>
      <c r="B523" s="438"/>
      <c r="C523" s="151"/>
      <c r="D523" s="472"/>
      <c r="E523" s="143"/>
      <c r="F523" s="475"/>
      <c r="G523" s="461"/>
      <c r="H523" s="334"/>
      <c r="I523" s="334"/>
      <c r="J523" s="334"/>
      <c r="K523" s="334"/>
      <c r="L523" s="334"/>
      <c r="M523" s="334"/>
      <c r="N523" s="334"/>
      <c r="O523" s="334"/>
      <c r="P523" s="334"/>
      <c r="Q523" s="334"/>
    </row>
    <row r="524" spans="1:17" x14ac:dyDescent="0.25">
      <c r="A524" s="143">
        <v>1</v>
      </c>
      <c r="B524" s="163" t="s">
        <v>1757</v>
      </c>
      <c r="C524" s="131"/>
      <c r="D524" s="140">
        <v>4105</v>
      </c>
      <c r="E524" s="139"/>
      <c r="F524" s="462">
        <v>19.98</v>
      </c>
      <c r="G524" s="458"/>
      <c r="H524" s="155"/>
      <c r="I524" s="155"/>
      <c r="J524" s="155"/>
      <c r="K524" s="155"/>
      <c r="L524" s="155"/>
      <c r="M524" s="155"/>
      <c r="N524" s="155"/>
      <c r="O524" s="150"/>
      <c r="P524" s="155"/>
      <c r="Q524" s="155"/>
    </row>
    <row r="525" spans="1:17" x14ac:dyDescent="0.25">
      <c r="A525" s="143">
        <v>1</v>
      </c>
      <c r="B525" s="163" t="s">
        <v>1758</v>
      </c>
      <c r="C525" s="131"/>
      <c r="D525" s="140">
        <v>4105</v>
      </c>
      <c r="E525" s="139"/>
      <c r="F525" s="462">
        <v>5.89</v>
      </c>
      <c r="G525" s="458"/>
      <c r="H525" s="155"/>
      <c r="I525" s="155"/>
      <c r="J525" s="155"/>
      <c r="K525" s="155"/>
      <c r="L525" s="155"/>
      <c r="M525" s="155"/>
      <c r="N525" s="155"/>
      <c r="O525" s="150"/>
      <c r="P525" s="155"/>
      <c r="Q525" s="155"/>
    </row>
    <row r="526" spans="1:17" x14ac:dyDescent="0.25">
      <c r="A526" s="143">
        <v>1</v>
      </c>
      <c r="B526" s="163" t="s">
        <v>42</v>
      </c>
      <c r="C526" s="139"/>
      <c r="D526" s="140">
        <v>4105</v>
      </c>
      <c r="E526" s="139" t="s">
        <v>1691</v>
      </c>
      <c r="F526" s="478">
        <v>34.801699999999997</v>
      </c>
      <c r="G526" s="458">
        <v>2.3711000000000002</v>
      </c>
      <c r="H526" s="155">
        <v>223769.25491682845</v>
      </c>
      <c r="I526" s="155">
        <v>7879.268953331949</v>
      </c>
      <c r="J526" s="155">
        <v>7493.105934307222</v>
      </c>
      <c r="K526" s="155">
        <v>136417.30763654364</v>
      </c>
      <c r="L526" s="155">
        <v>2743274.5788662652</v>
      </c>
      <c r="M526" s="155">
        <v>1110473.4788147549</v>
      </c>
      <c r="N526" s="155">
        <v>0</v>
      </c>
      <c r="O526" s="150">
        <v>0</v>
      </c>
      <c r="P526" s="155">
        <v>10720.820494776612</v>
      </c>
      <c r="Q526" s="155">
        <v>4240027.8156168079</v>
      </c>
    </row>
    <row r="527" spans="1:17" x14ac:dyDescent="0.25">
      <c r="A527" s="143">
        <v>1</v>
      </c>
      <c r="B527" s="163"/>
      <c r="C527" s="131"/>
      <c r="D527" s="140"/>
      <c r="E527" s="139"/>
      <c r="F527" s="462"/>
      <c r="G527" s="148"/>
      <c r="H527" s="155"/>
      <c r="I527" s="155"/>
      <c r="J527" s="155"/>
      <c r="K527" s="155"/>
      <c r="L527" s="155"/>
      <c r="M527" s="155"/>
      <c r="N527" s="155"/>
      <c r="O527" s="155"/>
      <c r="P527" s="155"/>
      <c r="Q527" s="155"/>
    </row>
    <row r="528" spans="1:17" x14ac:dyDescent="0.25">
      <c r="A528" s="143">
        <v>1</v>
      </c>
      <c r="B528" s="163" t="s">
        <v>1759</v>
      </c>
      <c r="C528" s="131"/>
      <c r="D528" s="140">
        <v>4105</v>
      </c>
      <c r="E528" s="139"/>
      <c r="F528" s="478">
        <v>5.5</v>
      </c>
      <c r="G528" s="458"/>
      <c r="H528" s="155"/>
      <c r="I528" s="155"/>
      <c r="J528" s="155"/>
      <c r="K528" s="155"/>
      <c r="L528" s="155"/>
      <c r="M528" s="155"/>
      <c r="N528" s="155"/>
      <c r="O528" s="150"/>
      <c r="P528" s="155"/>
      <c r="Q528" s="155"/>
    </row>
    <row r="529" spans="1:17" x14ac:dyDescent="0.25">
      <c r="A529" s="143">
        <v>1</v>
      </c>
      <c r="B529" s="438" t="s">
        <v>1760</v>
      </c>
      <c r="C529" s="151"/>
      <c r="D529" s="472">
        <v>4105</v>
      </c>
      <c r="E529" s="139" t="s">
        <v>1583</v>
      </c>
      <c r="F529" s="478">
        <v>10.8</v>
      </c>
      <c r="G529" s="458"/>
      <c r="H529" s="155"/>
      <c r="I529" s="155"/>
      <c r="J529" s="155"/>
      <c r="K529" s="155"/>
      <c r="L529" s="155"/>
      <c r="M529" s="155"/>
      <c r="N529" s="155"/>
      <c r="O529" s="150"/>
      <c r="P529" s="155"/>
      <c r="Q529" s="155"/>
    </row>
    <row r="530" spans="1:17" x14ac:dyDescent="0.25">
      <c r="A530" s="143">
        <v>1</v>
      </c>
      <c r="B530" s="438" t="s">
        <v>1760</v>
      </c>
      <c r="C530" s="151"/>
      <c r="D530" s="472">
        <v>4105</v>
      </c>
      <c r="E530" s="139" t="s">
        <v>1584</v>
      </c>
      <c r="F530" s="479">
        <v>0.76719999999999999</v>
      </c>
      <c r="G530" s="459"/>
      <c r="H530" s="337"/>
      <c r="I530" s="337"/>
      <c r="J530" s="337"/>
      <c r="K530" s="337"/>
      <c r="L530" s="337"/>
      <c r="M530" s="337"/>
      <c r="N530" s="337"/>
      <c r="O530" s="337"/>
      <c r="P530" s="337"/>
      <c r="Q530" s="337"/>
    </row>
    <row r="531" spans="1:17" x14ac:dyDescent="0.25">
      <c r="A531" s="143">
        <v>1</v>
      </c>
      <c r="B531" s="438"/>
      <c r="C531" s="151" t="s">
        <v>1761</v>
      </c>
      <c r="D531" s="472"/>
      <c r="E531" s="143"/>
      <c r="F531" s="478">
        <v>17.0672</v>
      </c>
      <c r="G531" s="465"/>
      <c r="H531" s="155"/>
      <c r="I531" s="155"/>
      <c r="J531" s="155"/>
      <c r="K531" s="155"/>
      <c r="L531" s="155"/>
      <c r="M531" s="155"/>
      <c r="N531" s="155"/>
      <c r="O531" s="155"/>
      <c r="P531" s="155"/>
      <c r="Q531" s="155"/>
    </row>
    <row r="532" spans="1:17" x14ac:dyDescent="0.25">
      <c r="A532" s="143">
        <v>1</v>
      </c>
      <c r="B532" s="163" t="s">
        <v>43</v>
      </c>
      <c r="C532" s="139"/>
      <c r="D532" s="140">
        <v>4105</v>
      </c>
      <c r="E532" s="139"/>
      <c r="F532" s="462">
        <v>15.4412</v>
      </c>
      <c r="G532" s="458">
        <v>2.3711000000000002</v>
      </c>
      <c r="H532" s="155">
        <v>99284.397573156821</v>
      </c>
      <c r="I532" s="155">
        <v>3495.9604778556595</v>
      </c>
      <c r="J532" s="155">
        <v>3324.6234337065343</v>
      </c>
      <c r="K532" s="155">
        <v>60527.127429907094</v>
      </c>
      <c r="L532" s="155">
        <v>1217166.1564575806</v>
      </c>
      <c r="M532" s="155">
        <v>492707.0539966264</v>
      </c>
      <c r="N532" s="155">
        <v>0</v>
      </c>
      <c r="O532" s="150">
        <v>0</v>
      </c>
      <c r="P532" s="155">
        <v>4756.7312350817529</v>
      </c>
      <c r="Q532" s="155">
        <v>1881262.050603915</v>
      </c>
    </row>
    <row r="533" spans="1:17" x14ac:dyDescent="0.25">
      <c r="A533" s="143">
        <v>1</v>
      </c>
      <c r="B533" s="163"/>
      <c r="C533" s="139"/>
      <c r="D533" s="140"/>
      <c r="E533" s="139"/>
      <c r="F533" s="462"/>
      <c r="G533" s="148"/>
      <c r="H533" s="155"/>
      <c r="I533" s="155"/>
      <c r="J533" s="155"/>
      <c r="K533" s="155"/>
      <c r="L533" s="155"/>
      <c r="M533" s="155"/>
      <c r="N533" s="155"/>
      <c r="O533" s="155"/>
      <c r="P533" s="155"/>
      <c r="Q533" s="155"/>
    </row>
    <row r="534" spans="1:17" x14ac:dyDescent="0.25">
      <c r="A534" s="143">
        <v>1</v>
      </c>
      <c r="B534" s="163" t="s">
        <v>44</v>
      </c>
      <c r="C534" s="139"/>
      <c r="D534" s="472">
        <v>4105</v>
      </c>
      <c r="E534" s="139" t="s">
        <v>1583</v>
      </c>
      <c r="F534" s="462">
        <v>20.684000000000001</v>
      </c>
      <c r="G534" s="458">
        <v>2.3711000000000002</v>
      </c>
      <c r="H534" s="155">
        <v>132994.74648363961</v>
      </c>
      <c r="I534" s="155">
        <v>4682.9551151443193</v>
      </c>
      <c r="J534" s="155">
        <v>4453.4434566475366</v>
      </c>
      <c r="K534" s="155">
        <v>81078.096505465801</v>
      </c>
      <c r="L534" s="155">
        <v>1630434.4727202936</v>
      </c>
      <c r="M534" s="155">
        <v>659997.45517616649</v>
      </c>
      <c r="N534" s="155">
        <v>0</v>
      </c>
      <c r="O534" s="150">
        <v>0</v>
      </c>
      <c r="P534" s="155">
        <v>6371.7993981316849</v>
      </c>
      <c r="Q534" s="155">
        <v>2520012.968855489</v>
      </c>
    </row>
    <row r="535" spans="1:17" x14ac:dyDescent="0.25">
      <c r="A535" s="143">
        <v>1</v>
      </c>
      <c r="B535" s="163" t="s">
        <v>44</v>
      </c>
      <c r="C535" s="139"/>
      <c r="D535" s="472">
        <v>4105</v>
      </c>
      <c r="E535" s="139" t="s">
        <v>1584</v>
      </c>
      <c r="F535" s="463">
        <v>0.56818181818181823</v>
      </c>
      <c r="G535" s="459">
        <v>323.1995</v>
      </c>
      <c r="H535" s="337">
        <v>3653.3164216642976</v>
      </c>
      <c r="I535" s="337">
        <v>128.6390423412563</v>
      </c>
      <c r="J535" s="337">
        <v>122.33444209862304</v>
      </c>
      <c r="K535" s="337">
        <v>0</v>
      </c>
      <c r="L535" s="337">
        <v>0</v>
      </c>
      <c r="M535" s="337">
        <v>0</v>
      </c>
      <c r="N535" s="337">
        <v>70025.998086247753</v>
      </c>
      <c r="O535" s="337">
        <v>284104.3144379672</v>
      </c>
      <c r="P535" s="337">
        <v>175.03096920906384</v>
      </c>
      <c r="Q535" s="337">
        <v>358209.63339952816</v>
      </c>
    </row>
    <row r="536" spans="1:17" x14ac:dyDescent="0.25">
      <c r="A536" s="143">
        <v>1</v>
      </c>
      <c r="B536" s="438"/>
      <c r="C536" s="151" t="s">
        <v>1762</v>
      </c>
      <c r="D536" s="472"/>
      <c r="E536" s="143"/>
      <c r="F536" s="478">
        <v>21.252181818181818</v>
      </c>
      <c r="G536" s="461">
        <v>325.57060000000001</v>
      </c>
      <c r="H536" s="155">
        <v>136648.0629053039</v>
      </c>
      <c r="I536" s="155">
        <v>4811.5941574855751</v>
      </c>
      <c r="J536" s="155">
        <v>4575.7778987461597</v>
      </c>
      <c r="K536" s="155">
        <v>81078.096505465801</v>
      </c>
      <c r="L536" s="155">
        <v>1630434.4727202936</v>
      </c>
      <c r="M536" s="155">
        <v>659997.45517616649</v>
      </c>
      <c r="N536" s="155">
        <v>70025.998086247753</v>
      </c>
      <c r="O536" s="155">
        <v>284104.3144379672</v>
      </c>
      <c r="P536" s="155">
        <v>6546.830367340749</v>
      </c>
      <c r="Q536" s="155">
        <v>2878222.602255017</v>
      </c>
    </row>
    <row r="537" spans="1:17" x14ac:dyDescent="0.25">
      <c r="A537" s="143">
        <v>1</v>
      </c>
      <c r="B537" s="163"/>
      <c r="C537" s="139"/>
      <c r="D537" s="140"/>
      <c r="E537" s="139"/>
      <c r="F537" s="462"/>
      <c r="G537" s="148"/>
      <c r="H537" s="155"/>
      <c r="I537" s="155"/>
      <c r="J537" s="155"/>
      <c r="K537" s="155"/>
      <c r="L537" s="155"/>
      <c r="M537" s="155"/>
      <c r="N537" s="155"/>
      <c r="O537" s="155"/>
      <c r="P537" s="155"/>
      <c r="Q537" s="155"/>
    </row>
    <row r="538" spans="1:17" x14ac:dyDescent="0.25">
      <c r="A538" s="143">
        <v>1</v>
      </c>
      <c r="B538" s="163" t="s">
        <v>45</v>
      </c>
      <c r="C538" s="139"/>
      <c r="D538" s="140">
        <v>4105</v>
      </c>
      <c r="E538" s="139"/>
      <c r="F538" s="462">
        <v>27.463000000000005</v>
      </c>
      <c r="G538" s="458">
        <v>2.3711000000000002</v>
      </c>
      <c r="H538" s="155">
        <v>176582.61084317323</v>
      </c>
      <c r="I538" s="155">
        <v>6217.7526748795426</v>
      </c>
      <c r="J538" s="155">
        <v>5913.0205787038931</v>
      </c>
      <c r="K538" s="155">
        <v>107650.7331429901</v>
      </c>
      <c r="L538" s="155">
        <v>2164795.1036703456</v>
      </c>
      <c r="M538" s="155">
        <v>876305.84565379331</v>
      </c>
      <c r="N538" s="155">
        <v>0</v>
      </c>
      <c r="O538" s="150">
        <v>0</v>
      </c>
      <c r="P538" s="155">
        <v>8460.1008930037933</v>
      </c>
      <c r="Q538" s="155">
        <v>3345925.1674568895</v>
      </c>
    </row>
    <row r="539" spans="1:17" x14ac:dyDescent="0.25">
      <c r="A539" s="143">
        <v>1</v>
      </c>
      <c r="B539" s="163"/>
      <c r="C539" s="139"/>
      <c r="D539" s="140"/>
      <c r="E539" s="139"/>
      <c r="F539" s="462"/>
      <c r="G539" s="148"/>
      <c r="H539" s="155"/>
      <c r="I539" s="155"/>
      <c r="J539" s="155"/>
      <c r="K539" s="155"/>
      <c r="L539" s="155"/>
      <c r="M539" s="155"/>
      <c r="N539" s="155"/>
      <c r="O539" s="155"/>
      <c r="P539" s="155"/>
      <c r="Q539" s="155"/>
    </row>
    <row r="540" spans="1:17" x14ac:dyDescent="0.25">
      <c r="A540" s="143">
        <v>1</v>
      </c>
      <c r="B540" s="163" t="s">
        <v>46</v>
      </c>
      <c r="C540" s="139"/>
      <c r="D540" s="140">
        <v>4105</v>
      </c>
      <c r="E540" s="139"/>
      <c r="F540" s="462">
        <v>2.6516000000000002</v>
      </c>
      <c r="G540" s="458">
        <v>2.3711000000000002</v>
      </c>
      <c r="H540" s="155">
        <v>17049.355529685687</v>
      </c>
      <c r="I540" s="155">
        <v>600.33474102285231</v>
      </c>
      <c r="J540" s="155">
        <v>570.91233173692751</v>
      </c>
      <c r="K540" s="155">
        <v>10393.863889668008</v>
      </c>
      <c r="L540" s="155">
        <v>209014.69966472301</v>
      </c>
      <c r="M540" s="155">
        <v>84608.840270021421</v>
      </c>
      <c r="N540" s="155">
        <v>0</v>
      </c>
      <c r="O540" s="150">
        <v>0</v>
      </c>
      <c r="P540" s="155">
        <v>816.83732760036628</v>
      </c>
      <c r="Q540" s="155">
        <v>323054.84375445824</v>
      </c>
    </row>
    <row r="541" spans="1:17" x14ac:dyDescent="0.25">
      <c r="A541" s="143">
        <v>1</v>
      </c>
      <c r="B541" s="163"/>
      <c r="C541" s="139"/>
      <c r="D541" s="140"/>
      <c r="E541" s="139"/>
      <c r="F541" s="462"/>
      <c r="G541" s="148"/>
      <c r="H541" s="155"/>
      <c r="I541" s="155"/>
      <c r="J541" s="155"/>
      <c r="K541" s="155"/>
      <c r="L541" s="155"/>
      <c r="M541" s="155"/>
      <c r="N541" s="155"/>
      <c r="O541" s="155"/>
      <c r="P541" s="155"/>
      <c r="Q541" s="155"/>
    </row>
    <row r="542" spans="1:17" x14ac:dyDescent="0.25">
      <c r="A542" s="143">
        <v>1</v>
      </c>
      <c r="B542" s="163" t="s">
        <v>47</v>
      </c>
      <c r="C542" s="139"/>
      <c r="D542" s="140">
        <v>4105</v>
      </c>
      <c r="E542" s="139" t="s">
        <v>1691</v>
      </c>
      <c r="F542" s="478">
        <v>15.742615151515153</v>
      </c>
      <c r="G542" s="458">
        <v>2.3711000000000002</v>
      </c>
      <c r="H542" s="155">
        <v>101222.4478372298</v>
      </c>
      <c r="I542" s="155">
        <v>3564.2022891866345</v>
      </c>
      <c r="J542" s="155">
        <v>3389.5207134517277</v>
      </c>
      <c r="K542" s="155">
        <v>61708.628432747704</v>
      </c>
      <c r="L542" s="155">
        <v>1240925.4705955866</v>
      </c>
      <c r="M542" s="155">
        <v>502324.7891035467</v>
      </c>
      <c r="N542" s="155">
        <v>0</v>
      </c>
      <c r="O542" s="150">
        <v>0</v>
      </c>
      <c r="P542" s="155">
        <v>4849.5835306247818</v>
      </c>
      <c r="Q542" s="155">
        <v>1917984.642502374</v>
      </c>
    </row>
    <row r="543" spans="1:17" x14ac:dyDescent="0.25">
      <c r="A543" s="143">
        <v>1</v>
      </c>
      <c r="B543" s="438"/>
      <c r="C543" s="151"/>
      <c r="D543" s="472"/>
      <c r="E543" s="143"/>
      <c r="F543" s="478"/>
      <c r="G543" s="461"/>
      <c r="H543" s="340"/>
      <c r="I543" s="340"/>
      <c r="J543" s="340"/>
      <c r="K543" s="340"/>
      <c r="L543" s="340"/>
      <c r="M543" s="340"/>
      <c r="N543" s="340"/>
      <c r="O543" s="340"/>
      <c r="P543" s="340"/>
      <c r="Q543" s="340"/>
    </row>
    <row r="544" spans="1:17" x14ac:dyDescent="0.25">
      <c r="A544" s="143">
        <v>1</v>
      </c>
      <c r="B544" s="438" t="s">
        <v>48</v>
      </c>
      <c r="C544" s="151"/>
      <c r="D544" s="472">
        <v>4105</v>
      </c>
      <c r="E544" s="139" t="s">
        <v>49</v>
      </c>
      <c r="F544" s="478">
        <v>16.706780303030303</v>
      </c>
      <c r="G544" s="458">
        <v>2.3711000000000002</v>
      </c>
      <c r="H544" s="155">
        <v>107421.87250818887</v>
      </c>
      <c r="I544" s="155">
        <v>3782.4938250661439</v>
      </c>
      <c r="J544" s="155">
        <v>3597.1137798384389</v>
      </c>
      <c r="K544" s="155">
        <v>65488.007431091952</v>
      </c>
      <c r="L544" s="155">
        <v>1316926.6357679849</v>
      </c>
      <c r="M544" s="155">
        <v>533089.94798816973</v>
      </c>
      <c r="N544" s="155">
        <v>0</v>
      </c>
      <c r="O544" s="150">
        <v>0</v>
      </c>
      <c r="P544" s="155">
        <v>5146.5989498920317</v>
      </c>
      <c r="Q544" s="155">
        <v>2035452.6702502321</v>
      </c>
    </row>
    <row r="545" spans="1:17" x14ac:dyDescent="0.25">
      <c r="A545" s="143">
        <v>1</v>
      </c>
      <c r="B545" s="438" t="s">
        <v>48</v>
      </c>
      <c r="C545" s="151"/>
      <c r="D545" s="472">
        <v>4105</v>
      </c>
      <c r="E545" s="139" t="s">
        <v>50</v>
      </c>
      <c r="F545" s="479">
        <v>0.24229999999999999</v>
      </c>
      <c r="G545" s="459">
        <v>323.1995</v>
      </c>
      <c r="H545" s="337">
        <v>1557.949481385896</v>
      </c>
      <c r="I545" s="337">
        <v>54.857862328344069</v>
      </c>
      <c r="J545" s="337">
        <v>52.169278164073589</v>
      </c>
      <c r="K545" s="337">
        <v>0</v>
      </c>
      <c r="L545" s="337">
        <v>0</v>
      </c>
      <c r="M545" s="337">
        <v>0</v>
      </c>
      <c r="N545" s="337">
        <v>29862.446831884175</v>
      </c>
      <c r="O545" s="337">
        <v>121155.7166834422</v>
      </c>
      <c r="P545" s="337">
        <v>74.641606757266842</v>
      </c>
      <c r="Q545" s="337">
        <v>152757.78174396197</v>
      </c>
    </row>
    <row r="546" spans="1:17" x14ac:dyDescent="0.25">
      <c r="A546" s="143">
        <v>1</v>
      </c>
      <c r="B546" s="438"/>
      <c r="C546" s="151" t="s">
        <v>51</v>
      </c>
      <c r="D546" s="472"/>
      <c r="E546" s="143"/>
      <c r="F546" s="478">
        <v>16.949080303030303</v>
      </c>
      <c r="G546" s="465">
        <v>325.57060000000001</v>
      </c>
      <c r="H546" s="155">
        <v>108979.82198957476</v>
      </c>
      <c r="I546" s="155">
        <v>3837.3516873944882</v>
      </c>
      <c r="J546" s="155">
        <v>3649.2830580025125</v>
      </c>
      <c r="K546" s="155">
        <v>65488.007431091952</v>
      </c>
      <c r="L546" s="155">
        <v>1316926.6357679849</v>
      </c>
      <c r="M546" s="155">
        <v>533089.94798816973</v>
      </c>
      <c r="N546" s="155">
        <v>29862.446831884175</v>
      </c>
      <c r="O546" s="155">
        <v>121155.7166834422</v>
      </c>
      <c r="P546" s="155">
        <v>5221.2405566492989</v>
      </c>
      <c r="Q546" s="155">
        <v>2188210.4519941942</v>
      </c>
    </row>
    <row r="547" spans="1:17" x14ac:dyDescent="0.25">
      <c r="A547" s="143">
        <v>1</v>
      </c>
      <c r="B547" s="438"/>
      <c r="C547" s="151"/>
      <c r="D547" s="472"/>
      <c r="E547" s="143"/>
      <c r="F547" s="478"/>
      <c r="G547" s="461"/>
      <c r="H547" s="340"/>
      <c r="I547" s="340"/>
      <c r="J547" s="340"/>
      <c r="K547" s="340"/>
      <c r="L547" s="340"/>
      <c r="M547" s="340"/>
      <c r="N547" s="340"/>
      <c r="O547" s="340"/>
      <c r="P547" s="340"/>
      <c r="Q547" s="340"/>
    </row>
    <row r="548" spans="1:17" x14ac:dyDescent="0.25">
      <c r="A548" s="143">
        <v>1</v>
      </c>
      <c r="B548" s="438" t="s">
        <v>1763</v>
      </c>
      <c r="C548" s="151"/>
      <c r="D548" s="140">
        <v>4105</v>
      </c>
      <c r="E548" s="143"/>
      <c r="F548" s="462">
        <v>16.543500000000002</v>
      </c>
      <c r="G548" s="458">
        <v>2.3711000000000002</v>
      </c>
      <c r="H548" s="155">
        <v>106372.00679037381</v>
      </c>
      <c r="I548" s="155">
        <v>3745.5263946717296</v>
      </c>
      <c r="J548" s="155">
        <v>3561.9581234310835</v>
      </c>
      <c r="K548" s="155">
        <v>64847.97377384323</v>
      </c>
      <c r="L548" s="155">
        <v>1304055.9224254582</v>
      </c>
      <c r="M548" s="155">
        <v>527879.90232580306</v>
      </c>
      <c r="N548" s="155">
        <v>0</v>
      </c>
      <c r="O548" s="150">
        <v>0</v>
      </c>
      <c r="P548" s="155">
        <v>5096.2997168338588</v>
      </c>
      <c r="Q548" s="155">
        <v>2015559.5895504148</v>
      </c>
    </row>
    <row r="549" spans="1:17" x14ac:dyDescent="0.25">
      <c r="A549" s="143">
        <v>1</v>
      </c>
      <c r="B549" s="438"/>
      <c r="C549" s="151"/>
      <c r="D549" s="472"/>
      <c r="E549" s="143"/>
      <c r="F549" s="478"/>
      <c r="G549" s="461"/>
      <c r="H549" s="340"/>
      <c r="I549" s="340"/>
      <c r="J549" s="340"/>
      <c r="K549" s="340"/>
      <c r="L549" s="340"/>
      <c r="M549" s="340"/>
      <c r="N549" s="340"/>
      <c r="O549" s="340"/>
      <c r="P549" s="340"/>
      <c r="Q549" s="340"/>
    </row>
    <row r="550" spans="1:17" x14ac:dyDescent="0.25">
      <c r="A550" s="143">
        <v>1</v>
      </c>
      <c r="B550" s="438"/>
      <c r="C550" s="151"/>
      <c r="D550" s="472"/>
      <c r="E550" s="143"/>
      <c r="F550" s="478"/>
      <c r="G550" s="461"/>
      <c r="H550" s="340"/>
      <c r="I550" s="340"/>
      <c r="J550" s="340"/>
      <c r="K550" s="340"/>
      <c r="L550" s="340"/>
      <c r="M550" s="340"/>
      <c r="N550" s="340"/>
      <c r="O550" s="340"/>
      <c r="P550" s="340"/>
      <c r="Q550" s="340"/>
    </row>
    <row r="551" spans="1:17" x14ac:dyDescent="0.25">
      <c r="A551" s="143">
        <v>1</v>
      </c>
      <c r="B551" s="438" t="s">
        <v>1764</v>
      </c>
      <c r="C551" s="151"/>
      <c r="D551" s="472">
        <v>4105</v>
      </c>
      <c r="E551" s="139" t="s">
        <v>1583</v>
      </c>
      <c r="F551" s="478">
        <v>6.2</v>
      </c>
      <c r="G551" s="458">
        <v>2.3711000000000002</v>
      </c>
      <c r="H551" s="155">
        <v>39864.988793200806</v>
      </c>
      <c r="I551" s="155">
        <v>1403.7092300277886</v>
      </c>
      <c r="J551" s="155">
        <v>1334.9134321801746</v>
      </c>
      <c r="K551" s="155">
        <v>24303.045751976792</v>
      </c>
      <c r="L551" s="155">
        <v>488720.44724742894</v>
      </c>
      <c r="M551" s="155">
        <v>197833.31183969404</v>
      </c>
      <c r="N551" s="155">
        <v>0</v>
      </c>
      <c r="O551" s="150">
        <v>0</v>
      </c>
      <c r="P551" s="155">
        <v>1909.9379360093042</v>
      </c>
      <c r="Q551" s="155">
        <v>755370.35423051775</v>
      </c>
    </row>
    <row r="552" spans="1:17" x14ac:dyDescent="0.25">
      <c r="A552" s="143">
        <v>1</v>
      </c>
      <c r="B552" s="438" t="s">
        <v>1764</v>
      </c>
      <c r="C552" s="151"/>
      <c r="D552" s="472">
        <v>4105</v>
      </c>
      <c r="E552" s="139" t="s">
        <v>1584</v>
      </c>
      <c r="F552" s="479">
        <v>0.64810000000000001</v>
      </c>
      <c r="G552" s="459">
        <v>323.1995</v>
      </c>
      <c r="H552" s="337">
        <v>4167.1772962699106</v>
      </c>
      <c r="I552" s="337">
        <v>146.73289548080803</v>
      </c>
      <c r="J552" s="337">
        <v>139.54151538644695</v>
      </c>
      <c r="K552" s="337">
        <v>0</v>
      </c>
      <c r="L552" s="337">
        <v>0</v>
      </c>
      <c r="M552" s="337">
        <v>0</v>
      </c>
      <c r="N552" s="337">
        <v>79875.574873067002</v>
      </c>
      <c r="O552" s="337">
        <v>324065.29088955384</v>
      </c>
      <c r="P552" s="337">
        <v>199.65012521413391</v>
      </c>
      <c r="Q552" s="337">
        <v>408593.96759497211</v>
      </c>
    </row>
    <row r="553" spans="1:17" x14ac:dyDescent="0.25">
      <c r="A553" s="143">
        <v>1</v>
      </c>
      <c r="B553" s="438"/>
      <c r="C553" s="151" t="s">
        <v>1765</v>
      </c>
      <c r="D553" s="472"/>
      <c r="E553" s="143"/>
      <c r="F553" s="478">
        <v>6.8481000000000005</v>
      </c>
      <c r="G553" s="465">
        <v>325.57060000000001</v>
      </c>
      <c r="H553" s="155">
        <v>44032.166089470717</v>
      </c>
      <c r="I553" s="155">
        <v>1550.4421255085967</v>
      </c>
      <c r="J553" s="155">
        <v>1474.4549475666215</v>
      </c>
      <c r="K553" s="155">
        <v>24303.045751976792</v>
      </c>
      <c r="L553" s="155">
        <v>488720.44724742894</v>
      </c>
      <c r="M553" s="155">
        <v>197833.31183969404</v>
      </c>
      <c r="N553" s="155">
        <v>79875.574873067002</v>
      </c>
      <c r="O553" s="155">
        <v>324065.29088955384</v>
      </c>
      <c r="P553" s="155">
        <v>2109.5880612234382</v>
      </c>
      <c r="Q553" s="155">
        <v>1163964.3218254899</v>
      </c>
    </row>
    <row r="554" spans="1:17" x14ac:dyDescent="0.25">
      <c r="A554" s="143">
        <v>1</v>
      </c>
      <c r="B554" s="438"/>
      <c r="C554" s="151"/>
      <c r="D554" s="472"/>
      <c r="E554" s="143"/>
      <c r="F554" s="478"/>
      <c r="G554" s="461"/>
      <c r="H554" s="340"/>
      <c r="I554" s="340"/>
      <c r="J554" s="340"/>
      <c r="K554" s="340"/>
      <c r="L554" s="340"/>
      <c r="M554" s="340"/>
      <c r="N554" s="340"/>
      <c r="O554" s="340"/>
      <c r="P554" s="340"/>
      <c r="Q554" s="340"/>
    </row>
    <row r="555" spans="1:17" x14ac:dyDescent="0.25">
      <c r="A555" s="143">
        <v>1</v>
      </c>
      <c r="B555" s="438" t="s">
        <v>1766</v>
      </c>
      <c r="C555" s="151"/>
      <c r="D555" s="472">
        <v>4105</v>
      </c>
      <c r="E555" s="139" t="s">
        <v>1583</v>
      </c>
      <c r="F555" s="478">
        <v>10.8</v>
      </c>
      <c r="G555" s="458">
        <v>2.3711000000000002</v>
      </c>
      <c r="H555" s="155">
        <v>69442.23854299495</v>
      </c>
      <c r="I555" s="155">
        <v>2445.1709168225998</v>
      </c>
      <c r="J555" s="155">
        <v>2325.3330754106269</v>
      </c>
      <c r="K555" s="155">
        <v>42334.337761507952</v>
      </c>
      <c r="L555" s="155">
        <v>851319.48875358584</v>
      </c>
      <c r="M555" s="155">
        <v>344612.86578527355</v>
      </c>
      <c r="N555" s="155">
        <v>0</v>
      </c>
      <c r="O555" s="150">
        <v>0</v>
      </c>
      <c r="P555" s="155">
        <v>3326.9886627258848</v>
      </c>
      <c r="Q555" s="155">
        <v>1315806.4234983213</v>
      </c>
    </row>
    <row r="556" spans="1:17" x14ac:dyDescent="0.25">
      <c r="A556" s="143">
        <v>1</v>
      </c>
      <c r="B556" s="438" t="s">
        <v>1766</v>
      </c>
      <c r="C556" s="151"/>
      <c r="D556" s="472">
        <v>4105</v>
      </c>
      <c r="E556" s="139" t="s">
        <v>1584</v>
      </c>
      <c r="F556" s="479">
        <v>0.76719999999999999</v>
      </c>
      <c r="G556" s="459">
        <v>323.1995</v>
      </c>
      <c r="H556" s="337">
        <v>4932.9708713134933</v>
      </c>
      <c r="I556" s="337">
        <v>173.69769698021284</v>
      </c>
      <c r="J556" s="337">
        <v>165.18477180139192</v>
      </c>
      <c r="K556" s="337">
        <v>0</v>
      </c>
      <c r="L556" s="337">
        <v>0</v>
      </c>
      <c r="M556" s="337">
        <v>0</v>
      </c>
      <c r="N556" s="337">
        <v>94554.144487913916</v>
      </c>
      <c r="O556" s="337">
        <v>383618.10086478275</v>
      </c>
      <c r="P556" s="337">
        <v>236.33941685586103</v>
      </c>
      <c r="Q556" s="337">
        <v>483680.43810964766</v>
      </c>
    </row>
    <row r="557" spans="1:17" x14ac:dyDescent="0.25">
      <c r="A557" s="143">
        <v>1</v>
      </c>
      <c r="B557" s="438"/>
      <c r="C557" s="151" t="s">
        <v>1767</v>
      </c>
      <c r="D557" s="472"/>
      <c r="E557" s="143"/>
      <c r="F557" s="478">
        <v>11.567200000000001</v>
      </c>
      <c r="G557" s="465">
        <v>325.57060000000001</v>
      </c>
      <c r="H557" s="155">
        <v>74375.20941430844</v>
      </c>
      <c r="I557" s="155">
        <v>2618.8686138028124</v>
      </c>
      <c r="J557" s="155">
        <v>2490.5178472120188</v>
      </c>
      <c r="K557" s="155">
        <v>42334.337761507952</v>
      </c>
      <c r="L557" s="155">
        <v>851319.48875358584</v>
      </c>
      <c r="M557" s="155">
        <v>344612.86578527355</v>
      </c>
      <c r="N557" s="155">
        <v>94554.144487913916</v>
      </c>
      <c r="O557" s="155">
        <v>383618.10086478275</v>
      </c>
      <c r="P557" s="155">
        <v>3563.3280795817459</v>
      </c>
      <c r="Q557" s="155">
        <v>1799486.861607969</v>
      </c>
    </row>
    <row r="558" spans="1:17" x14ac:dyDescent="0.25">
      <c r="A558" s="143">
        <v>1</v>
      </c>
      <c r="B558" s="438"/>
      <c r="C558" s="151"/>
      <c r="D558" s="472"/>
      <c r="E558" s="143"/>
      <c r="F558" s="478"/>
      <c r="G558" s="458"/>
      <c r="H558" s="155"/>
      <c r="I558" s="155"/>
      <c r="J558" s="155"/>
      <c r="K558" s="155"/>
      <c r="L558" s="155"/>
      <c r="M558" s="155"/>
      <c r="N558" s="155"/>
      <c r="O558" s="150"/>
      <c r="P558" s="155"/>
      <c r="Q558" s="155"/>
    </row>
    <row r="559" spans="1:17" x14ac:dyDescent="0.25">
      <c r="A559" s="143">
        <v>1</v>
      </c>
      <c r="B559" s="438" t="s">
        <v>53</v>
      </c>
      <c r="C559" s="151"/>
      <c r="D559" s="140">
        <v>4105</v>
      </c>
      <c r="E559" s="143"/>
      <c r="F559" s="478">
        <v>15.9056</v>
      </c>
      <c r="G559" s="458">
        <v>2.3711000000000002</v>
      </c>
      <c r="H559" s="155">
        <v>102270.4138305056</v>
      </c>
      <c r="I559" s="155">
        <v>3601.1028272790318</v>
      </c>
      <c r="J559" s="155">
        <v>3424.6127559491911</v>
      </c>
      <c r="K559" s="155">
        <v>62347.503953651933</v>
      </c>
      <c r="L559" s="155">
        <v>1253772.8944739848</v>
      </c>
      <c r="M559" s="155">
        <v>507525.40722539317</v>
      </c>
      <c r="N559" s="155">
        <v>0</v>
      </c>
      <c r="O559" s="150">
        <v>0</v>
      </c>
      <c r="P559" s="155">
        <v>4899.7917475789654</v>
      </c>
      <c r="Q559" s="155">
        <v>1937841.7268143427</v>
      </c>
    </row>
    <row r="560" spans="1:17" x14ac:dyDescent="0.25">
      <c r="A560" s="143">
        <v>1</v>
      </c>
      <c r="B560" s="438"/>
      <c r="C560" s="151"/>
      <c r="D560" s="472"/>
      <c r="E560" s="143"/>
      <c r="F560" s="478"/>
      <c r="G560" s="461"/>
      <c r="H560" s="340"/>
      <c r="I560" s="340"/>
      <c r="J560" s="340"/>
      <c r="K560" s="340"/>
      <c r="L560" s="340"/>
      <c r="M560" s="340"/>
      <c r="N560" s="340"/>
      <c r="O560" s="340"/>
      <c r="P560" s="340"/>
      <c r="Q560" s="340"/>
    </row>
    <row r="561" spans="1:17" x14ac:dyDescent="0.25">
      <c r="A561" s="143">
        <v>1</v>
      </c>
      <c r="B561" s="438" t="s">
        <v>55</v>
      </c>
      <c r="C561" s="151"/>
      <c r="D561" s="140">
        <v>4105</v>
      </c>
      <c r="E561" s="143"/>
      <c r="F561" s="478">
        <v>3.4165999999999999</v>
      </c>
      <c r="G561" s="458">
        <v>2.3711000000000002</v>
      </c>
      <c r="H561" s="155">
        <v>21968.180759814491</v>
      </c>
      <c r="I561" s="155">
        <v>773.53434763111977</v>
      </c>
      <c r="J561" s="155">
        <v>735.62342457851355</v>
      </c>
      <c r="K561" s="155">
        <v>13392.546147774821</v>
      </c>
      <c r="L561" s="155">
        <v>269316.49678476865</v>
      </c>
      <c r="M561" s="155">
        <v>109018.91826314495</v>
      </c>
      <c r="N561" s="155">
        <v>0</v>
      </c>
      <c r="O561" s="150">
        <v>0</v>
      </c>
      <c r="P561" s="155">
        <v>1052.4990245434497</v>
      </c>
      <c r="Q561" s="155">
        <v>416257.79875225603</v>
      </c>
    </row>
    <row r="562" spans="1:17" x14ac:dyDescent="0.25">
      <c r="A562" s="143">
        <v>1</v>
      </c>
      <c r="B562" s="438"/>
      <c r="C562" s="151"/>
      <c r="D562" s="472"/>
      <c r="E562" s="143"/>
      <c r="F562" s="478"/>
      <c r="G562" s="461"/>
      <c r="H562" s="340"/>
      <c r="I562" s="340"/>
      <c r="J562" s="340"/>
      <c r="K562" s="340"/>
      <c r="L562" s="340"/>
      <c r="M562" s="340"/>
      <c r="N562" s="340"/>
      <c r="O562" s="340"/>
      <c r="P562" s="340"/>
      <c r="Q562" s="340"/>
    </row>
    <row r="563" spans="1:17" x14ac:dyDescent="0.25">
      <c r="A563" s="143">
        <v>1</v>
      </c>
      <c r="B563" s="438"/>
      <c r="C563" s="151"/>
      <c r="D563" s="472"/>
      <c r="E563" s="143"/>
      <c r="F563" s="475"/>
      <c r="G563" s="461"/>
      <c r="H563" s="334"/>
      <c r="I563" s="334"/>
      <c r="J563" s="334"/>
      <c r="K563" s="334"/>
      <c r="L563" s="334"/>
      <c r="M563" s="334"/>
      <c r="N563" s="334"/>
      <c r="O563" s="334"/>
      <c r="P563" s="334"/>
      <c r="Q563" s="334"/>
    </row>
    <row r="564" spans="1:17" x14ac:dyDescent="0.25">
      <c r="A564" s="143">
        <v>1</v>
      </c>
      <c r="B564" s="438" t="s">
        <v>56</v>
      </c>
      <c r="C564" s="151"/>
      <c r="D564" s="140">
        <v>4105</v>
      </c>
      <c r="E564" s="143" t="s">
        <v>1691</v>
      </c>
      <c r="F564" s="478">
        <v>16.93789090909091</v>
      </c>
      <c r="G564" s="458">
        <v>2.3711000000000002</v>
      </c>
      <c r="H564" s="155">
        <v>108907.87601151079</v>
      </c>
      <c r="I564" s="155">
        <v>3834.8183558539808</v>
      </c>
      <c r="J564" s="155">
        <v>3646.8738850561172</v>
      </c>
      <c r="K564" s="155">
        <v>66393.925436391641</v>
      </c>
      <c r="L564" s="155">
        <v>1335144.1323417856</v>
      </c>
      <c r="M564" s="155">
        <v>540464.3635685324</v>
      </c>
      <c r="N564" s="155">
        <v>0</v>
      </c>
      <c r="O564" s="150">
        <v>0</v>
      </c>
      <c r="P564" s="155">
        <v>5217.7936134290076</v>
      </c>
      <c r="Q564" s="155">
        <v>2063609.7832125595</v>
      </c>
    </row>
    <row r="565" spans="1:17" x14ac:dyDescent="0.25">
      <c r="A565" s="143">
        <v>1</v>
      </c>
      <c r="B565" s="438" t="s">
        <v>56</v>
      </c>
      <c r="C565" s="151"/>
      <c r="D565" s="472">
        <v>4106</v>
      </c>
      <c r="E565" s="143" t="s">
        <v>1691</v>
      </c>
      <c r="F565" s="479">
        <v>0</v>
      </c>
      <c r="G565" s="459">
        <v>37.0779</v>
      </c>
      <c r="H565" s="337">
        <v>0</v>
      </c>
      <c r="I565" s="337">
        <v>0</v>
      </c>
      <c r="J565" s="337">
        <v>0</v>
      </c>
      <c r="K565" s="337">
        <v>0</v>
      </c>
      <c r="L565" s="337">
        <v>0</v>
      </c>
      <c r="M565" s="337">
        <v>0</v>
      </c>
      <c r="N565" s="337">
        <v>0</v>
      </c>
      <c r="O565" s="337">
        <v>0</v>
      </c>
      <c r="P565" s="337">
        <v>0</v>
      </c>
      <c r="Q565" s="337">
        <v>0</v>
      </c>
    </row>
    <row r="566" spans="1:17" x14ac:dyDescent="0.25">
      <c r="A566" s="143">
        <v>1</v>
      </c>
      <c r="B566" s="438"/>
      <c r="C566" s="151" t="s">
        <v>57</v>
      </c>
      <c r="D566" s="472"/>
      <c r="E566" s="143"/>
      <c r="F566" s="478">
        <v>16.93789090909091</v>
      </c>
      <c r="G566" s="465">
        <v>39.448999999999998</v>
      </c>
      <c r="H566" s="155">
        <v>108907.87601151079</v>
      </c>
      <c r="I566" s="155">
        <v>3834.8183558539808</v>
      </c>
      <c r="J566" s="155">
        <v>3646.8738850561172</v>
      </c>
      <c r="K566" s="155">
        <v>66393.925436391641</v>
      </c>
      <c r="L566" s="155">
        <v>1335144.1323417856</v>
      </c>
      <c r="M566" s="155">
        <v>540464.3635685324</v>
      </c>
      <c r="N566" s="155">
        <v>0</v>
      </c>
      <c r="O566" s="155">
        <v>0</v>
      </c>
      <c r="P566" s="155">
        <v>5217.7936134290076</v>
      </c>
      <c r="Q566" s="155">
        <v>2063609.7832125595</v>
      </c>
    </row>
    <row r="567" spans="1:17" x14ac:dyDescent="0.25">
      <c r="A567" s="143">
        <v>1</v>
      </c>
      <c r="B567" s="438"/>
      <c r="C567" s="151"/>
      <c r="D567" s="472"/>
      <c r="E567" s="143"/>
      <c r="F567" s="475"/>
      <c r="G567" s="461"/>
      <c r="H567" s="334"/>
      <c r="I567" s="334"/>
      <c r="J567" s="334"/>
      <c r="K567" s="334"/>
      <c r="L567" s="334"/>
      <c r="M567" s="334"/>
      <c r="N567" s="334"/>
      <c r="O567" s="334"/>
      <c r="P567" s="334"/>
      <c r="Q567" s="334"/>
    </row>
    <row r="568" spans="1:17" x14ac:dyDescent="0.25">
      <c r="A568" s="143">
        <v>1</v>
      </c>
      <c r="B568" s="438" t="s">
        <v>58</v>
      </c>
      <c r="C568" s="151"/>
      <c r="D568" s="140">
        <v>4105</v>
      </c>
      <c r="E568" s="143" t="s">
        <v>1691</v>
      </c>
      <c r="F568" s="478">
        <v>27.996186363636362</v>
      </c>
      <c r="G568" s="458">
        <v>2.3711000000000002</v>
      </c>
      <c r="H568" s="155">
        <v>180010.91219979431</v>
      </c>
      <c r="I568" s="155">
        <v>6338.4685813249152</v>
      </c>
      <c r="J568" s="155">
        <v>6027.8201978447769</v>
      </c>
      <c r="K568" s="155">
        <v>109740.74162521341</v>
      </c>
      <c r="L568" s="155">
        <v>2206823.9872352798</v>
      </c>
      <c r="M568" s="155">
        <v>893319.07535475213</v>
      </c>
      <c r="N568" s="155">
        <v>0</v>
      </c>
      <c r="O568" s="150">
        <v>0</v>
      </c>
      <c r="P568" s="155">
        <v>8624.351354757333</v>
      </c>
      <c r="Q568" s="155">
        <v>3410885.3565489668</v>
      </c>
    </row>
    <row r="569" spans="1:17" x14ac:dyDescent="0.25">
      <c r="A569" s="143">
        <v>1</v>
      </c>
      <c r="B569" s="438" t="s">
        <v>58</v>
      </c>
      <c r="C569" s="151"/>
      <c r="D569" s="472">
        <v>4106</v>
      </c>
      <c r="E569" s="143" t="s">
        <v>1691</v>
      </c>
      <c r="F569" s="479">
        <v>0</v>
      </c>
      <c r="G569" s="459">
        <v>37.0779</v>
      </c>
      <c r="H569" s="337">
        <v>0</v>
      </c>
      <c r="I569" s="337">
        <v>0</v>
      </c>
      <c r="J569" s="337">
        <v>0</v>
      </c>
      <c r="K569" s="337">
        <v>0</v>
      </c>
      <c r="L569" s="337">
        <v>0</v>
      </c>
      <c r="M569" s="337">
        <v>0</v>
      </c>
      <c r="N569" s="337">
        <v>0</v>
      </c>
      <c r="O569" s="337">
        <v>0</v>
      </c>
      <c r="P569" s="337">
        <v>0</v>
      </c>
      <c r="Q569" s="337">
        <v>0</v>
      </c>
    </row>
    <row r="570" spans="1:17" x14ac:dyDescent="0.25">
      <c r="A570" s="143">
        <v>1</v>
      </c>
      <c r="B570" s="438"/>
      <c r="C570" s="151" t="s">
        <v>59</v>
      </c>
      <c r="D570" s="472"/>
      <c r="E570" s="143"/>
      <c r="F570" s="478">
        <v>27.996186363636362</v>
      </c>
      <c r="G570" s="465">
        <v>39.448999999999998</v>
      </c>
      <c r="H570" s="155">
        <v>180010.91219979431</v>
      </c>
      <c r="I570" s="155">
        <v>6338.4685813249152</v>
      </c>
      <c r="J570" s="155">
        <v>6027.8201978447769</v>
      </c>
      <c r="K570" s="155">
        <v>109740.74162521341</v>
      </c>
      <c r="L570" s="155">
        <v>2206823.9872352798</v>
      </c>
      <c r="M570" s="155">
        <v>893319.07535475213</v>
      </c>
      <c r="N570" s="155">
        <v>0</v>
      </c>
      <c r="O570" s="155">
        <v>0</v>
      </c>
      <c r="P570" s="155">
        <v>8624.351354757333</v>
      </c>
      <c r="Q570" s="155">
        <v>3410885.3565489668</v>
      </c>
    </row>
    <row r="571" spans="1:17" x14ac:dyDescent="0.25">
      <c r="A571" s="143">
        <v>1</v>
      </c>
      <c r="B571" s="438"/>
      <c r="C571" s="151"/>
      <c r="D571" s="472"/>
      <c r="E571" s="143"/>
      <c r="F571" s="475"/>
      <c r="G571" s="461"/>
      <c r="H571" s="334"/>
      <c r="I571" s="334"/>
      <c r="J571" s="334"/>
      <c r="K571" s="334"/>
      <c r="L571" s="334"/>
      <c r="M571" s="334"/>
      <c r="N571" s="334"/>
      <c r="O571" s="334"/>
      <c r="P571" s="334"/>
      <c r="Q571" s="334"/>
    </row>
    <row r="572" spans="1:17" x14ac:dyDescent="0.25">
      <c r="A572" s="143">
        <v>1</v>
      </c>
      <c r="B572" s="438" t="s">
        <v>60</v>
      </c>
      <c r="C572" s="151"/>
      <c r="D572" s="140">
        <v>4105</v>
      </c>
      <c r="E572" s="143" t="s">
        <v>1691</v>
      </c>
      <c r="F572" s="478">
        <v>9.8106621212121201</v>
      </c>
      <c r="G572" s="458">
        <v>2.3711000000000002</v>
      </c>
      <c r="H572" s="155">
        <v>63080.95734129045</v>
      </c>
      <c r="I572" s="155">
        <v>2221.1801568112028</v>
      </c>
      <c r="J572" s="155">
        <v>2112.3201039011778</v>
      </c>
      <c r="K572" s="155">
        <v>38456.285546613515</v>
      </c>
      <c r="L572" s="155">
        <v>773334.06123745115</v>
      </c>
      <c r="M572" s="155">
        <v>313044.48044832773</v>
      </c>
      <c r="N572" s="155">
        <v>0</v>
      </c>
      <c r="O572" s="150">
        <v>0</v>
      </c>
      <c r="P572" s="155">
        <v>3022.2186713987962</v>
      </c>
      <c r="Q572" s="155">
        <v>1195271.5035057939</v>
      </c>
    </row>
    <row r="573" spans="1:17" x14ac:dyDescent="0.25">
      <c r="A573" s="143">
        <v>1</v>
      </c>
      <c r="B573" s="438" t="s">
        <v>60</v>
      </c>
      <c r="C573" s="151"/>
      <c r="D573" s="472">
        <v>4106</v>
      </c>
      <c r="E573" s="143" t="s">
        <v>1691</v>
      </c>
      <c r="F573" s="479">
        <v>0.15849999999999986</v>
      </c>
      <c r="G573" s="459">
        <v>37.0779</v>
      </c>
      <c r="H573" s="337">
        <v>1303.1386957310858</v>
      </c>
      <c r="I573" s="337">
        <v>0</v>
      </c>
      <c r="J573" s="337">
        <v>0</v>
      </c>
      <c r="K573" s="337">
        <v>2.2533327537907577</v>
      </c>
      <c r="L573" s="337">
        <v>11882.863657866697</v>
      </c>
      <c r="M573" s="337">
        <v>10764.51129119838</v>
      </c>
      <c r="N573" s="337">
        <v>0</v>
      </c>
      <c r="O573" s="337">
        <v>0</v>
      </c>
      <c r="P573" s="337">
        <v>0</v>
      </c>
      <c r="Q573" s="337">
        <v>23952.766977549953</v>
      </c>
    </row>
    <row r="574" spans="1:17" x14ac:dyDescent="0.25">
      <c r="A574" s="143">
        <v>1</v>
      </c>
      <c r="B574" s="438"/>
      <c r="C574" s="151" t="s">
        <v>61</v>
      </c>
      <c r="D574" s="472"/>
      <c r="E574" s="143"/>
      <c r="F574" s="478">
        <v>9.9691621212121202</v>
      </c>
      <c r="G574" s="465">
        <v>39.448999999999998</v>
      </c>
      <c r="H574" s="343">
        <v>64384.096037021533</v>
      </c>
      <c r="I574" s="343">
        <v>2221.1801568112028</v>
      </c>
      <c r="J574" s="343">
        <v>2112.3201039011778</v>
      </c>
      <c r="K574" s="343">
        <v>38458.538879367305</v>
      </c>
      <c r="L574" s="343">
        <v>785216.92489531788</v>
      </c>
      <c r="M574" s="343">
        <v>323808.9917395261</v>
      </c>
      <c r="N574" s="343">
        <v>0</v>
      </c>
      <c r="O574" s="343">
        <v>0</v>
      </c>
      <c r="P574" s="343">
        <v>3022.2186713987962</v>
      </c>
      <c r="Q574" s="343">
        <v>1219224.2704833439</v>
      </c>
    </row>
    <row r="575" spans="1:17" x14ac:dyDescent="0.25">
      <c r="A575" s="143">
        <v>1</v>
      </c>
      <c r="B575" s="438"/>
      <c r="C575" s="151"/>
      <c r="D575" s="472"/>
      <c r="E575" s="143"/>
      <c r="F575" s="475"/>
      <c r="G575" s="461"/>
      <c r="H575" s="334"/>
      <c r="I575" s="334"/>
      <c r="J575" s="334"/>
      <c r="K575" s="334"/>
      <c r="L575" s="334"/>
      <c r="M575" s="334"/>
      <c r="N575" s="334"/>
      <c r="O575" s="334"/>
      <c r="P575" s="334"/>
      <c r="Q575" s="334"/>
    </row>
    <row r="576" spans="1:17" x14ac:dyDescent="0.25">
      <c r="A576" s="143">
        <v>1</v>
      </c>
      <c r="B576" s="438" t="s">
        <v>1768</v>
      </c>
      <c r="C576" s="151"/>
      <c r="D576" s="140">
        <v>4105</v>
      </c>
      <c r="E576" s="143" t="s">
        <v>1691</v>
      </c>
      <c r="F576" s="478">
        <v>39.445999999999998</v>
      </c>
      <c r="G576" s="458">
        <v>2.3711000000000002</v>
      </c>
      <c r="H576" s="155">
        <v>253631.34644138691</v>
      </c>
      <c r="I576" s="155">
        <v>8930.7603689800235</v>
      </c>
      <c r="J576" s="155">
        <v>8493.0637493192207</v>
      </c>
      <c r="K576" s="155">
        <v>154622.24882781875</v>
      </c>
      <c r="L576" s="155">
        <v>3109365.6067938837</v>
      </c>
      <c r="M576" s="155">
        <v>1258666.5836820276</v>
      </c>
      <c r="N576" s="155">
        <v>0</v>
      </c>
      <c r="O576" s="150">
        <v>0</v>
      </c>
      <c r="P576" s="155">
        <v>12151.518036100484</v>
      </c>
      <c r="Q576" s="155">
        <v>4805861.1278995164</v>
      </c>
    </row>
    <row r="577" spans="1:17" x14ac:dyDescent="0.25">
      <c r="A577" s="143">
        <v>1</v>
      </c>
      <c r="B577" s="438" t="s">
        <v>1768</v>
      </c>
      <c r="C577" s="151"/>
      <c r="D577" s="472">
        <v>4132</v>
      </c>
      <c r="E577" s="143" t="s">
        <v>1691</v>
      </c>
      <c r="F577" s="479">
        <v>1.8808</v>
      </c>
      <c r="G577" s="459">
        <v>3.7956000000000003</v>
      </c>
      <c r="H577" s="337">
        <v>1558.9887575086941</v>
      </c>
      <c r="I577" s="337">
        <v>0</v>
      </c>
      <c r="J577" s="337">
        <v>0</v>
      </c>
      <c r="K577" s="337">
        <v>29979.12745284013</v>
      </c>
      <c r="L577" s="337">
        <v>0</v>
      </c>
      <c r="M577" s="337">
        <v>18461.863625250291</v>
      </c>
      <c r="N577" s="337">
        <v>0</v>
      </c>
      <c r="O577" s="337">
        <v>0</v>
      </c>
      <c r="P577" s="337">
        <v>20215.027292654653</v>
      </c>
      <c r="Q577" s="337">
        <v>70215.007128253768</v>
      </c>
    </row>
    <row r="578" spans="1:17" x14ac:dyDescent="0.25">
      <c r="A578" s="143">
        <v>1</v>
      </c>
      <c r="B578" s="438"/>
      <c r="C578" s="151" t="s">
        <v>1769</v>
      </c>
      <c r="D578" s="472"/>
      <c r="E578" s="143"/>
      <c r="F578" s="478">
        <v>41.326799999999999</v>
      </c>
      <c r="G578" s="465">
        <v>6.1667000000000005</v>
      </c>
      <c r="H578" s="155">
        <v>255190.3351988956</v>
      </c>
      <c r="I578" s="155">
        <v>8930.7603689800235</v>
      </c>
      <c r="J578" s="155">
        <v>8493.0637493192207</v>
      </c>
      <c r="K578" s="155">
        <v>184601.37628065888</v>
      </c>
      <c r="L578" s="155">
        <v>3109365.6067938837</v>
      </c>
      <c r="M578" s="155">
        <v>1277128.4473072779</v>
      </c>
      <c r="N578" s="155">
        <v>0</v>
      </c>
      <c r="O578" s="155">
        <v>0</v>
      </c>
      <c r="P578" s="155">
        <v>32366.545328755135</v>
      </c>
      <c r="Q578" s="155">
        <v>4876076.13502777</v>
      </c>
    </row>
    <row r="579" spans="1:17" x14ac:dyDescent="0.25">
      <c r="A579" s="143">
        <v>1</v>
      </c>
      <c r="B579" s="438"/>
      <c r="C579" s="151"/>
      <c r="D579" s="472"/>
      <c r="E579" s="143"/>
      <c r="F579" s="475"/>
      <c r="G579" s="461"/>
      <c r="H579" s="334"/>
      <c r="I579" s="334"/>
      <c r="J579" s="334"/>
      <c r="K579" s="334"/>
      <c r="L579" s="334"/>
      <c r="M579" s="334"/>
      <c r="N579" s="334"/>
      <c r="O579" s="334"/>
      <c r="P579" s="334"/>
      <c r="Q579" s="334"/>
    </row>
    <row r="580" spans="1:17" x14ac:dyDescent="0.25">
      <c r="A580" s="143">
        <v>1</v>
      </c>
      <c r="B580" s="438" t="s">
        <v>62</v>
      </c>
      <c r="C580" s="151"/>
      <c r="D580" s="140">
        <v>4105</v>
      </c>
      <c r="E580" s="143"/>
      <c r="F580" s="478">
        <v>15.1213</v>
      </c>
      <c r="G580" s="458">
        <v>2.3711000000000002</v>
      </c>
      <c r="H580" s="155">
        <v>97227.492748165707</v>
      </c>
      <c r="I580" s="155">
        <v>3423.5336096805158</v>
      </c>
      <c r="J580" s="155">
        <v>3255.7462067783986</v>
      </c>
      <c r="K580" s="155">
        <v>59273.168666026875</v>
      </c>
      <c r="L580" s="155">
        <v>1191949.7578971849</v>
      </c>
      <c r="M580" s="155">
        <v>482499.49327767186</v>
      </c>
      <c r="N580" s="155">
        <v>0</v>
      </c>
      <c r="O580" s="150">
        <v>0</v>
      </c>
      <c r="P580" s="155">
        <v>4658.1845986737881</v>
      </c>
      <c r="Q580" s="155">
        <v>1842287.3770041822</v>
      </c>
    </row>
    <row r="581" spans="1:17" x14ac:dyDescent="0.25">
      <c r="A581" s="143">
        <v>1</v>
      </c>
      <c r="B581" s="438"/>
      <c r="C581" s="151"/>
      <c r="D581" s="472"/>
      <c r="E581" s="143"/>
      <c r="F581" s="475"/>
      <c r="G581" s="461"/>
      <c r="H581" s="334"/>
      <c r="I581" s="334"/>
      <c r="J581" s="334"/>
      <c r="K581" s="334"/>
      <c r="L581" s="334"/>
      <c r="M581" s="334"/>
      <c r="N581" s="334"/>
      <c r="O581" s="334"/>
      <c r="P581" s="334"/>
      <c r="Q581" s="334"/>
    </row>
    <row r="582" spans="1:17" x14ac:dyDescent="0.25">
      <c r="A582" s="143">
        <v>1</v>
      </c>
      <c r="B582" s="438" t="s">
        <v>63</v>
      </c>
      <c r="C582" s="151"/>
      <c r="D582" s="140">
        <v>4105</v>
      </c>
      <c r="E582" s="143"/>
      <c r="F582" s="478">
        <v>19.930099999999999</v>
      </c>
      <c r="G582" s="458">
        <v>2.3711000000000002</v>
      </c>
      <c r="H582" s="155">
        <v>128147.29244312442</v>
      </c>
      <c r="I582" s="155">
        <v>4512.2686008672308</v>
      </c>
      <c r="J582" s="155">
        <v>4291.122289466789</v>
      </c>
      <c r="K582" s="155">
        <v>78122.924538947191</v>
      </c>
      <c r="L582" s="155">
        <v>1571007.6428525778</v>
      </c>
      <c r="M582" s="155">
        <v>635941.56262843334</v>
      </c>
      <c r="N582" s="155">
        <v>0</v>
      </c>
      <c r="O582" s="150">
        <v>0</v>
      </c>
      <c r="P582" s="155">
        <v>6139.5571062030695</v>
      </c>
      <c r="Q582" s="155">
        <v>2428162.3704596194</v>
      </c>
    </row>
    <row r="583" spans="1:17" x14ac:dyDescent="0.25">
      <c r="A583" s="143">
        <v>1</v>
      </c>
      <c r="B583" s="438"/>
      <c r="C583" s="151"/>
      <c r="D583" s="472"/>
      <c r="E583" s="143"/>
      <c r="F583" s="475"/>
      <c r="G583" s="461"/>
      <c r="H583" s="334"/>
      <c r="I583" s="334"/>
      <c r="J583" s="334"/>
      <c r="K583" s="334"/>
      <c r="L583" s="334"/>
      <c r="M583" s="334"/>
      <c r="N583" s="334"/>
      <c r="O583" s="334"/>
      <c r="P583" s="334"/>
      <c r="Q583" s="334"/>
    </row>
    <row r="584" spans="1:17" x14ac:dyDescent="0.25">
      <c r="A584" s="143">
        <v>1</v>
      </c>
      <c r="B584" s="438" t="s">
        <v>64</v>
      </c>
      <c r="C584" s="151"/>
      <c r="D584" s="140">
        <v>4105</v>
      </c>
      <c r="E584" s="143"/>
      <c r="F584" s="478">
        <v>13.2957</v>
      </c>
      <c r="G584" s="458">
        <v>2.3711000000000002</v>
      </c>
      <c r="H584" s="155">
        <v>85489.1824996387</v>
      </c>
      <c r="I584" s="155">
        <v>3010.2091628516887</v>
      </c>
      <c r="J584" s="155">
        <v>2862.6787935867656</v>
      </c>
      <c r="K584" s="155">
        <v>52117.097645896421</v>
      </c>
      <c r="L584" s="155">
        <v>1048045.2339463936</v>
      </c>
      <c r="M584" s="155">
        <v>424247.15552048711</v>
      </c>
      <c r="N584" s="155">
        <v>0</v>
      </c>
      <c r="O584" s="150">
        <v>0</v>
      </c>
      <c r="P584" s="155">
        <v>4095.8002928707911</v>
      </c>
      <c r="Q584" s="155">
        <v>1619867.3578617249</v>
      </c>
    </row>
    <row r="585" spans="1:17" x14ac:dyDescent="0.25">
      <c r="A585" s="143">
        <v>1</v>
      </c>
      <c r="B585" s="438"/>
      <c r="C585" s="151"/>
      <c r="D585" s="472"/>
      <c r="E585" s="143"/>
      <c r="F585" s="475"/>
      <c r="G585" s="461"/>
      <c r="H585" s="334"/>
      <c r="I585" s="334"/>
      <c r="J585" s="334"/>
      <c r="K585" s="334"/>
      <c r="L585" s="334"/>
      <c r="M585" s="334"/>
      <c r="N585" s="334"/>
      <c r="O585" s="334"/>
      <c r="P585" s="334"/>
      <c r="Q585" s="334"/>
    </row>
    <row r="586" spans="1:17" x14ac:dyDescent="0.25">
      <c r="A586" s="143">
        <v>1</v>
      </c>
      <c r="B586" s="438" t="s">
        <v>65</v>
      </c>
      <c r="C586" s="151"/>
      <c r="D586" s="140">
        <v>4105</v>
      </c>
      <c r="E586" s="143" t="s">
        <v>1691</v>
      </c>
      <c r="F586" s="478">
        <v>9.3978666666666655</v>
      </c>
      <c r="G586" s="458">
        <v>2.3711000000000002</v>
      </c>
      <c r="H586" s="155">
        <v>60426.74989462291</v>
      </c>
      <c r="I586" s="155">
        <v>2127.7213197694332</v>
      </c>
      <c r="J586" s="155">
        <v>2023.4416850276862</v>
      </c>
      <c r="K586" s="155">
        <v>36838.190898544766</v>
      </c>
      <c r="L586" s="155">
        <v>740795.09685565112</v>
      </c>
      <c r="M586" s="155">
        <v>299872.75595073105</v>
      </c>
      <c r="N586" s="155">
        <v>0</v>
      </c>
      <c r="O586" s="150">
        <v>0</v>
      </c>
      <c r="P586" s="155">
        <v>2895.0551716490272</v>
      </c>
      <c r="Q586" s="155">
        <v>1144979.0117759958</v>
      </c>
    </row>
    <row r="587" spans="1:17" x14ac:dyDescent="0.25">
      <c r="A587" s="143">
        <v>1</v>
      </c>
      <c r="B587" s="438"/>
      <c r="C587" s="151"/>
      <c r="D587" s="472"/>
      <c r="E587" s="143"/>
      <c r="F587" s="475"/>
      <c r="G587" s="461"/>
      <c r="H587" s="334"/>
      <c r="I587" s="334"/>
      <c r="J587" s="334"/>
      <c r="K587" s="334"/>
      <c r="L587" s="334"/>
      <c r="M587" s="334"/>
      <c r="N587" s="334"/>
      <c r="O587" s="334"/>
      <c r="P587" s="334"/>
      <c r="Q587" s="334"/>
    </row>
    <row r="588" spans="1:17" x14ac:dyDescent="0.25">
      <c r="A588" s="143">
        <v>1</v>
      </c>
      <c r="B588" s="438" t="s">
        <v>66</v>
      </c>
      <c r="C588" s="151"/>
      <c r="D588" s="140">
        <v>4105</v>
      </c>
      <c r="E588" s="143" t="s">
        <v>1691</v>
      </c>
      <c r="F588" s="478">
        <v>27.993281818181813</v>
      </c>
      <c r="G588" s="458">
        <v>2.3711000000000002</v>
      </c>
      <c r="H588" s="155">
        <v>179992.23644624674</v>
      </c>
      <c r="I588" s="155">
        <v>6337.8109785404658</v>
      </c>
      <c r="J588" s="155">
        <v>6027.1948241767677</v>
      </c>
      <c r="K588" s="155">
        <v>109729.35625407301</v>
      </c>
      <c r="L588" s="155">
        <v>2206595.0338879251</v>
      </c>
      <c r="M588" s="155">
        <v>893226.39537948393</v>
      </c>
      <c r="N588" s="155">
        <v>0</v>
      </c>
      <c r="O588" s="150">
        <v>0</v>
      </c>
      <c r="P588" s="155">
        <v>8623.4565964427329</v>
      </c>
      <c r="Q588" s="155">
        <v>3410531.4843668886</v>
      </c>
    </row>
    <row r="589" spans="1:17" x14ac:dyDescent="0.25">
      <c r="A589" s="143">
        <v>1</v>
      </c>
      <c r="B589" s="438"/>
      <c r="C589" s="151"/>
      <c r="D589" s="472"/>
      <c r="E589" s="143"/>
      <c r="F589" s="475"/>
      <c r="G589" s="461"/>
      <c r="H589" s="334"/>
      <c r="I589" s="334"/>
      <c r="J589" s="334"/>
      <c r="K589" s="334"/>
      <c r="L589" s="334"/>
      <c r="M589" s="334"/>
      <c r="N589" s="334"/>
      <c r="O589" s="334"/>
      <c r="P589" s="334"/>
      <c r="Q589" s="334"/>
    </row>
    <row r="590" spans="1:17" x14ac:dyDescent="0.25">
      <c r="A590" s="143">
        <v>1</v>
      </c>
      <c r="B590" s="438" t="s">
        <v>67</v>
      </c>
      <c r="C590" s="151"/>
      <c r="D590" s="140">
        <v>4105</v>
      </c>
      <c r="E590" s="143"/>
      <c r="F590" s="478">
        <v>49.398499999999999</v>
      </c>
      <c r="G590" s="458">
        <v>2.3711000000000002</v>
      </c>
      <c r="H590" s="155">
        <v>317624.29820982739</v>
      </c>
      <c r="I590" s="155">
        <v>11184.053290246406</v>
      </c>
      <c r="J590" s="155">
        <v>10635.92277089554</v>
      </c>
      <c r="K590" s="155">
        <v>193634.51702887504</v>
      </c>
      <c r="L590" s="155">
        <v>3893880.1634438895</v>
      </c>
      <c r="M590" s="155">
        <v>1576236.9120827622</v>
      </c>
      <c r="N590" s="155">
        <v>0</v>
      </c>
      <c r="O590" s="150">
        <v>0</v>
      </c>
      <c r="P590" s="155">
        <v>15217.430505154129</v>
      </c>
      <c r="Q590" s="155">
        <v>6018413.2973316498</v>
      </c>
    </row>
    <row r="591" spans="1:17" x14ac:dyDescent="0.25">
      <c r="A591" s="143">
        <v>1</v>
      </c>
      <c r="B591" s="438" t="s">
        <v>67</v>
      </c>
      <c r="C591" s="151"/>
      <c r="D591" s="472">
        <v>4132</v>
      </c>
      <c r="E591" s="143"/>
      <c r="F591" s="479">
        <v>1.8977999999999999</v>
      </c>
      <c r="G591" s="459">
        <v>3.7956000000000003</v>
      </c>
      <c r="H591" s="337">
        <v>1573.08</v>
      </c>
      <c r="I591" s="337">
        <v>0</v>
      </c>
      <c r="J591" s="337">
        <v>0</v>
      </c>
      <c r="K591" s="337">
        <v>30250.1</v>
      </c>
      <c r="L591" s="337">
        <v>0</v>
      </c>
      <c r="M591" s="337">
        <v>18628.734999999997</v>
      </c>
      <c r="N591" s="337">
        <v>0</v>
      </c>
      <c r="O591" s="337">
        <v>0</v>
      </c>
      <c r="P591" s="337">
        <v>20397.744999999999</v>
      </c>
      <c r="Q591" s="337">
        <v>70849.659999999989</v>
      </c>
    </row>
    <row r="592" spans="1:17" x14ac:dyDescent="0.25">
      <c r="A592" s="143">
        <v>1</v>
      </c>
      <c r="B592" s="438"/>
      <c r="C592" s="151" t="s">
        <v>68</v>
      </c>
      <c r="D592" s="472"/>
      <c r="E592" s="143"/>
      <c r="F592" s="478">
        <v>51.296299999999995</v>
      </c>
      <c r="G592" s="465">
        <v>6.1667000000000005</v>
      </c>
      <c r="H592" s="343">
        <v>319197.37820982741</v>
      </c>
      <c r="I592" s="343">
        <v>11184.053290246406</v>
      </c>
      <c r="J592" s="343">
        <v>10635.92277089554</v>
      </c>
      <c r="K592" s="343">
        <v>223884.61702887504</v>
      </c>
      <c r="L592" s="343">
        <v>3893880.1634438895</v>
      </c>
      <c r="M592" s="343">
        <v>1594865.6470827623</v>
      </c>
      <c r="N592" s="343">
        <v>0</v>
      </c>
      <c r="O592" s="343">
        <v>0</v>
      </c>
      <c r="P592" s="343">
        <v>35615.175505154126</v>
      </c>
      <c r="Q592" s="343">
        <v>6089262.95733165</v>
      </c>
    </row>
    <row r="593" spans="1:17" x14ac:dyDescent="0.25">
      <c r="A593" s="143">
        <v>1</v>
      </c>
      <c r="B593" s="438"/>
      <c r="C593" s="151"/>
      <c r="D593" s="472"/>
      <c r="E593" s="143"/>
      <c r="F593" s="475"/>
      <c r="G593" s="461"/>
      <c r="H593" s="334"/>
      <c r="I593" s="334"/>
      <c r="J593" s="334"/>
      <c r="K593" s="334"/>
      <c r="L593" s="334"/>
      <c r="M593" s="334"/>
      <c r="N593" s="334"/>
      <c r="O593" s="334"/>
      <c r="P593" s="334"/>
      <c r="Q593" s="334"/>
    </row>
    <row r="594" spans="1:17" x14ac:dyDescent="0.25">
      <c r="A594" s="143">
        <v>1</v>
      </c>
      <c r="B594" s="438" t="s">
        <v>69</v>
      </c>
      <c r="C594" s="151"/>
      <c r="D594" s="140">
        <v>4105</v>
      </c>
      <c r="E594" s="143" t="s">
        <v>1691</v>
      </c>
      <c r="F594" s="478">
        <v>15.337986363636363</v>
      </c>
      <c r="G594" s="458">
        <v>2.3711000000000002</v>
      </c>
      <c r="H594" s="155">
        <v>98620.750725262973</v>
      </c>
      <c r="I594" s="155">
        <v>3472.5924239801166</v>
      </c>
      <c r="J594" s="155">
        <v>3302.4006482926666</v>
      </c>
      <c r="K594" s="155">
        <v>60122.545861072686</v>
      </c>
      <c r="L594" s="155">
        <v>1209030.2508889239</v>
      </c>
      <c r="M594" s="155">
        <v>489413.65149520122</v>
      </c>
      <c r="N594" s="155">
        <v>0</v>
      </c>
      <c r="O594" s="150">
        <v>0</v>
      </c>
      <c r="P594" s="155">
        <v>4724.9358093391102</v>
      </c>
      <c r="Q594" s="155">
        <v>1868687.1278520727</v>
      </c>
    </row>
    <row r="595" spans="1:17" x14ac:dyDescent="0.25">
      <c r="A595" s="143">
        <v>1</v>
      </c>
      <c r="B595" s="438"/>
      <c r="C595" s="151"/>
      <c r="D595" s="472"/>
      <c r="E595" s="143"/>
      <c r="F595" s="475"/>
      <c r="G595" s="461"/>
      <c r="H595" s="334"/>
      <c r="I595" s="334"/>
      <c r="J595" s="334"/>
      <c r="K595" s="334"/>
      <c r="L595" s="334"/>
      <c r="M595" s="334"/>
      <c r="N595" s="334"/>
      <c r="O595" s="334"/>
      <c r="P595" s="334"/>
      <c r="Q595" s="334"/>
    </row>
    <row r="596" spans="1:17" x14ac:dyDescent="0.25">
      <c r="A596" s="143">
        <v>1</v>
      </c>
      <c r="B596" s="438" t="s">
        <v>70</v>
      </c>
      <c r="C596" s="151"/>
      <c r="D596" s="472">
        <v>4105</v>
      </c>
      <c r="E596" s="139" t="s">
        <v>1583</v>
      </c>
      <c r="F596" s="478">
        <v>15.768899999999999</v>
      </c>
      <c r="G596" s="458">
        <v>2.3711000000000002</v>
      </c>
      <c r="H596" s="155">
        <v>101391.45512598453</v>
      </c>
      <c r="I596" s="155">
        <v>3570.1533028040635</v>
      </c>
      <c r="J596" s="155">
        <v>3395.1800678557984</v>
      </c>
      <c r="K596" s="155">
        <v>61811.66099328173</v>
      </c>
      <c r="L596" s="155">
        <v>1242997.3968709647</v>
      </c>
      <c r="M596" s="155">
        <v>503163.50178531476</v>
      </c>
      <c r="N596" s="155">
        <v>0</v>
      </c>
      <c r="O596" s="150">
        <v>0</v>
      </c>
      <c r="P596" s="155">
        <v>4857.6806966350177</v>
      </c>
      <c r="Q596" s="155">
        <v>1921187.0288428403</v>
      </c>
    </row>
    <row r="597" spans="1:17" x14ac:dyDescent="0.25">
      <c r="A597" s="143">
        <v>1</v>
      </c>
      <c r="B597" s="438" t="s">
        <v>70</v>
      </c>
      <c r="C597" s="151"/>
      <c r="D597" s="472">
        <v>4105</v>
      </c>
      <c r="E597" s="139" t="s">
        <v>1584</v>
      </c>
      <c r="F597" s="479">
        <v>0.62449999999999994</v>
      </c>
      <c r="G597" s="459">
        <v>323.1995</v>
      </c>
      <c r="H597" s="337">
        <v>4015.4331453796617</v>
      </c>
      <c r="I597" s="337">
        <v>141.38974421812159</v>
      </c>
      <c r="J597" s="337">
        <v>134.46023199943852</v>
      </c>
      <c r="K597" s="337">
        <v>0</v>
      </c>
      <c r="L597" s="337">
        <v>0</v>
      </c>
      <c r="M597" s="337">
        <v>0</v>
      </c>
      <c r="N597" s="337">
        <v>76966.975016556607</v>
      </c>
      <c r="O597" s="337">
        <v>312264.73408505839</v>
      </c>
      <c r="P597" s="337">
        <v>1.4113645292811765</v>
      </c>
      <c r="Q597" s="337">
        <v>393524.40358774149</v>
      </c>
    </row>
    <row r="598" spans="1:17" x14ac:dyDescent="0.25">
      <c r="A598" s="143">
        <v>1</v>
      </c>
      <c r="B598" s="438"/>
      <c r="C598" s="151" t="s">
        <v>71</v>
      </c>
      <c r="D598" s="472"/>
      <c r="E598" s="143"/>
      <c r="F598" s="478">
        <v>16.3934</v>
      </c>
      <c r="G598" s="461">
        <v>325.57060000000001</v>
      </c>
      <c r="H598" s="155">
        <v>105406.88827136419</v>
      </c>
      <c r="I598" s="155">
        <v>3711.543047022185</v>
      </c>
      <c r="J598" s="155">
        <v>3529.6402998552367</v>
      </c>
      <c r="K598" s="155">
        <v>61811.66099328173</v>
      </c>
      <c r="L598" s="155">
        <v>1242997.3968709647</v>
      </c>
      <c r="M598" s="155">
        <v>503163.50178531476</v>
      </c>
      <c r="N598" s="155">
        <v>76966.975016556607</v>
      </c>
      <c r="O598" s="155">
        <v>312264.73408505839</v>
      </c>
      <c r="P598" s="155">
        <v>4859.0920611642987</v>
      </c>
      <c r="Q598" s="155">
        <v>2314711.4324305817</v>
      </c>
    </row>
    <row r="599" spans="1:17" x14ac:dyDescent="0.25">
      <c r="A599" s="143">
        <v>1</v>
      </c>
      <c r="B599" s="438"/>
      <c r="C599" s="151"/>
      <c r="D599" s="472"/>
      <c r="E599" s="143"/>
      <c r="F599" s="475"/>
      <c r="G599" s="461"/>
      <c r="H599" s="334"/>
      <c r="I599" s="334"/>
      <c r="J599" s="334"/>
      <c r="K599" s="334"/>
      <c r="L599" s="334"/>
      <c r="M599" s="334"/>
      <c r="N599" s="334"/>
      <c r="O599" s="334"/>
      <c r="P599" s="334"/>
      <c r="Q599" s="334"/>
    </row>
    <row r="600" spans="1:17" x14ac:dyDescent="0.25">
      <c r="A600" s="143">
        <v>1</v>
      </c>
      <c r="B600" s="438" t="s">
        <v>832</v>
      </c>
      <c r="C600" s="151"/>
      <c r="D600" s="140">
        <v>4105</v>
      </c>
      <c r="E600" s="143"/>
      <c r="F600" s="478">
        <v>14.571857575757575</v>
      </c>
      <c r="G600" s="458">
        <v>2.3711000000000002</v>
      </c>
      <c r="H600" s="155">
        <v>93694.667573176441</v>
      </c>
      <c r="I600" s="155">
        <v>3299.1372544743977</v>
      </c>
      <c r="J600" s="155">
        <v>3137.4465176927774</v>
      </c>
      <c r="K600" s="155">
        <v>57119.438928213851</v>
      </c>
      <c r="L600" s="155">
        <v>1148639.4760725931</v>
      </c>
      <c r="M600" s="155">
        <v>464967.55546265427</v>
      </c>
      <c r="N600" s="155">
        <v>0</v>
      </c>
      <c r="O600" s="150">
        <v>0</v>
      </c>
      <c r="P600" s="155">
        <v>4488.9263842038645</v>
      </c>
      <c r="Q600" s="155">
        <v>1775346.6481930087</v>
      </c>
    </row>
    <row r="601" spans="1:17" x14ac:dyDescent="0.25">
      <c r="A601" s="143">
        <v>1</v>
      </c>
      <c r="B601" s="438"/>
      <c r="C601" s="151"/>
      <c r="D601" s="472"/>
      <c r="E601" s="143"/>
      <c r="F601" s="475"/>
      <c r="G601" s="461"/>
      <c r="H601" s="334"/>
      <c r="I601" s="334"/>
      <c r="J601" s="334"/>
      <c r="K601" s="334"/>
      <c r="L601" s="334"/>
      <c r="M601" s="334"/>
      <c r="N601" s="334"/>
      <c r="O601" s="334"/>
      <c r="P601" s="334"/>
      <c r="Q601" s="334"/>
    </row>
    <row r="602" spans="1:17" x14ac:dyDescent="0.25">
      <c r="A602" s="143">
        <v>1</v>
      </c>
      <c r="B602" s="438" t="s">
        <v>72</v>
      </c>
      <c r="C602" s="151"/>
      <c r="D602" s="140">
        <v>4105</v>
      </c>
      <c r="E602" s="143"/>
      <c r="F602" s="477">
        <v>5.0209999999999999</v>
      </c>
      <c r="G602" s="458">
        <v>2.3711000000000002</v>
      </c>
      <c r="H602" s="150">
        <v>32284.211085590523</v>
      </c>
      <c r="I602" s="150">
        <v>1136.7780716079883</v>
      </c>
      <c r="J602" s="150">
        <v>1081.0645714478478</v>
      </c>
      <c r="K602" s="150">
        <v>19681.547213012171</v>
      </c>
      <c r="L602" s="150">
        <v>395784.73639182909</v>
      </c>
      <c r="M602" s="150">
        <v>160213.07399146835</v>
      </c>
      <c r="N602" s="150">
        <v>0</v>
      </c>
      <c r="O602" s="150">
        <v>0</v>
      </c>
      <c r="P602" s="150">
        <v>1546.7416736617283</v>
      </c>
      <c r="Q602" s="150">
        <v>611728.15299861773</v>
      </c>
    </row>
    <row r="603" spans="1:17" x14ac:dyDescent="0.25">
      <c r="A603" s="143">
        <v>1</v>
      </c>
      <c r="B603" s="438"/>
      <c r="C603" s="151"/>
      <c r="D603" s="472"/>
      <c r="E603" s="143"/>
      <c r="F603" s="475"/>
      <c r="G603" s="461"/>
      <c r="H603" s="334"/>
      <c r="I603" s="334"/>
      <c r="J603" s="334"/>
      <c r="K603" s="334"/>
      <c r="L603" s="334"/>
      <c r="M603" s="334"/>
      <c r="N603" s="334"/>
      <c r="O603" s="334"/>
      <c r="P603" s="334"/>
      <c r="Q603" s="334"/>
    </row>
    <row r="604" spans="1:17" x14ac:dyDescent="0.25">
      <c r="A604" s="143">
        <v>1</v>
      </c>
      <c r="B604" s="438"/>
      <c r="C604" s="151"/>
      <c r="D604" s="472"/>
      <c r="E604" s="143"/>
      <c r="F604" s="475"/>
      <c r="G604" s="461"/>
      <c r="H604" s="334"/>
      <c r="I604" s="334"/>
      <c r="J604" s="334"/>
      <c r="K604" s="334"/>
      <c r="L604" s="334"/>
      <c r="M604" s="334"/>
      <c r="N604" s="334"/>
      <c r="O604" s="334"/>
      <c r="P604" s="334"/>
      <c r="Q604" s="334"/>
    </row>
    <row r="605" spans="1:17" x14ac:dyDescent="0.25">
      <c r="A605" s="143">
        <v>1</v>
      </c>
      <c r="B605" s="438" t="s">
        <v>1770</v>
      </c>
      <c r="C605" s="151"/>
      <c r="D605" s="472">
        <v>4105</v>
      </c>
      <c r="E605" s="139" t="s">
        <v>1583</v>
      </c>
      <c r="F605" s="478">
        <v>5.7</v>
      </c>
      <c r="G605" s="458"/>
      <c r="H605" s="155"/>
      <c r="I605" s="155"/>
      <c r="J605" s="155"/>
      <c r="K605" s="155"/>
      <c r="L605" s="155"/>
      <c r="M605" s="155"/>
      <c r="N605" s="155"/>
      <c r="O605" s="150"/>
      <c r="P605" s="155"/>
      <c r="Q605" s="155"/>
    </row>
    <row r="606" spans="1:17" x14ac:dyDescent="0.25">
      <c r="A606" s="143">
        <v>1</v>
      </c>
      <c r="B606" s="438" t="s">
        <v>1770</v>
      </c>
      <c r="C606" s="151"/>
      <c r="D606" s="472">
        <v>4105</v>
      </c>
      <c r="E606" s="139" t="s">
        <v>1584</v>
      </c>
      <c r="F606" s="479">
        <v>0.64810000000000001</v>
      </c>
      <c r="G606" s="459"/>
      <c r="H606" s="337"/>
      <c r="I606" s="337"/>
      <c r="J606" s="337"/>
      <c r="K606" s="337"/>
      <c r="L606" s="337"/>
      <c r="M606" s="337"/>
      <c r="N606" s="337"/>
      <c r="O606" s="337"/>
      <c r="P606" s="337"/>
      <c r="Q606" s="337"/>
    </row>
    <row r="607" spans="1:17" x14ac:dyDescent="0.25">
      <c r="A607" s="143">
        <v>1</v>
      </c>
      <c r="B607" s="438"/>
      <c r="C607" s="151" t="s">
        <v>1771</v>
      </c>
      <c r="D607" s="472"/>
      <c r="E607" s="143"/>
      <c r="F607" s="478">
        <v>6.3481000000000005</v>
      </c>
      <c r="G607" s="465"/>
      <c r="H607" s="155"/>
      <c r="I607" s="155"/>
      <c r="J607" s="155"/>
      <c r="K607" s="155"/>
      <c r="L607" s="155"/>
      <c r="M607" s="155"/>
      <c r="N607" s="155"/>
      <c r="O607" s="155"/>
      <c r="P607" s="155"/>
      <c r="Q607" s="155"/>
    </row>
    <row r="608" spans="1:17" x14ac:dyDescent="0.25">
      <c r="A608" s="143">
        <v>1</v>
      </c>
      <c r="B608" s="438" t="s">
        <v>1772</v>
      </c>
      <c r="C608" s="151"/>
      <c r="D608" s="140">
        <v>4105</v>
      </c>
      <c r="E608" s="143"/>
      <c r="F608" s="478">
        <v>19.14</v>
      </c>
      <c r="G608" s="458"/>
      <c r="H608" s="155"/>
      <c r="I608" s="155"/>
      <c r="J608" s="155"/>
      <c r="K608" s="155"/>
      <c r="L608" s="155"/>
      <c r="M608" s="155"/>
      <c r="N608" s="155"/>
      <c r="O608" s="150"/>
      <c r="P608" s="155"/>
      <c r="Q608" s="155"/>
    </row>
    <row r="609" spans="1:17" x14ac:dyDescent="0.25">
      <c r="A609" s="143">
        <v>1</v>
      </c>
      <c r="B609" s="438" t="s">
        <v>52</v>
      </c>
      <c r="C609" s="151"/>
      <c r="D609" s="140">
        <v>4105</v>
      </c>
      <c r="E609" s="143" t="s">
        <v>1691</v>
      </c>
      <c r="F609" s="478">
        <v>25.024799999999999</v>
      </c>
      <c r="G609" s="458">
        <v>2.3711000000000002</v>
      </c>
      <c r="H609" s="155">
        <v>160905.38250840185</v>
      </c>
      <c r="I609" s="155">
        <v>5665.7326999353872</v>
      </c>
      <c r="J609" s="155">
        <v>5388.0551060681337</v>
      </c>
      <c r="K609" s="155">
        <v>98093.36440872075</v>
      </c>
      <c r="L609" s="155">
        <v>1972601.8464963641</v>
      </c>
      <c r="M609" s="155">
        <v>798506.30034289928</v>
      </c>
      <c r="N609" s="155">
        <v>0</v>
      </c>
      <c r="O609" s="150">
        <v>0</v>
      </c>
      <c r="P609" s="155">
        <v>7709.002396942843</v>
      </c>
      <c r="Q609" s="155">
        <v>3048869.6839593328</v>
      </c>
    </row>
    <row r="610" spans="1:17" x14ac:dyDescent="0.25">
      <c r="A610" s="143">
        <v>1</v>
      </c>
      <c r="B610" s="438"/>
      <c r="C610" s="151"/>
      <c r="D610" s="140"/>
      <c r="E610" s="143"/>
      <c r="F610" s="478"/>
      <c r="G610" s="458"/>
      <c r="H610" s="155"/>
      <c r="I610" s="155"/>
      <c r="J610" s="155"/>
      <c r="K610" s="155"/>
      <c r="L610" s="155"/>
      <c r="M610" s="155"/>
      <c r="N610" s="155"/>
      <c r="O610" s="150"/>
      <c r="P610" s="155"/>
      <c r="Q610" s="155"/>
    </row>
    <row r="611" spans="1:17" x14ac:dyDescent="0.25">
      <c r="A611" s="143">
        <v>1</v>
      </c>
      <c r="B611" s="438"/>
      <c r="C611" s="151"/>
      <c r="D611" s="472"/>
      <c r="E611" s="143"/>
      <c r="F611" s="478"/>
      <c r="G611" s="461"/>
      <c r="H611" s="340"/>
      <c r="I611" s="340"/>
      <c r="J611" s="340"/>
      <c r="K611" s="340"/>
      <c r="L611" s="340"/>
      <c r="M611" s="340"/>
      <c r="N611" s="340"/>
      <c r="O611" s="340"/>
      <c r="P611" s="340"/>
      <c r="Q611" s="340"/>
    </row>
    <row r="612" spans="1:17" x14ac:dyDescent="0.25">
      <c r="A612" s="143">
        <v>1</v>
      </c>
      <c r="B612" s="438" t="s">
        <v>1773</v>
      </c>
      <c r="C612" s="151"/>
      <c r="D612" s="472">
        <v>4105</v>
      </c>
      <c r="E612" s="139" t="s">
        <v>1583</v>
      </c>
      <c r="F612" s="478">
        <v>13.8</v>
      </c>
      <c r="G612" s="458"/>
      <c r="H612" s="155"/>
      <c r="I612" s="155"/>
      <c r="J612" s="155"/>
      <c r="K612" s="155"/>
      <c r="L612" s="155"/>
      <c r="M612" s="155"/>
      <c r="N612" s="155"/>
      <c r="O612" s="150"/>
      <c r="P612" s="155"/>
      <c r="Q612" s="155"/>
    </row>
    <row r="613" spans="1:17" x14ac:dyDescent="0.25">
      <c r="A613" s="143">
        <v>1</v>
      </c>
      <c r="B613" s="438" t="s">
        <v>1773</v>
      </c>
      <c r="C613" s="151"/>
      <c r="D613" s="472">
        <v>4105</v>
      </c>
      <c r="E613" s="139" t="s">
        <v>1584</v>
      </c>
      <c r="F613" s="478">
        <v>0.66290000000000004</v>
      </c>
      <c r="G613" s="459"/>
      <c r="H613" s="337"/>
      <c r="I613" s="337"/>
      <c r="J613" s="337"/>
      <c r="K613" s="337"/>
      <c r="L613" s="337"/>
      <c r="M613" s="337"/>
      <c r="N613" s="337"/>
      <c r="O613" s="337"/>
      <c r="P613" s="337"/>
      <c r="Q613" s="337"/>
    </row>
    <row r="614" spans="1:17" x14ac:dyDescent="0.25">
      <c r="A614" s="143">
        <v>1</v>
      </c>
      <c r="B614" s="438"/>
      <c r="C614" s="151" t="s">
        <v>1774</v>
      </c>
      <c r="D614" s="472"/>
      <c r="E614" s="143"/>
      <c r="F614" s="478">
        <v>14.462900000000001</v>
      </c>
      <c r="G614" s="465"/>
      <c r="H614" s="155"/>
      <c r="I614" s="155"/>
      <c r="J614" s="155"/>
      <c r="K614" s="155"/>
      <c r="L614" s="155"/>
      <c r="M614" s="155"/>
      <c r="N614" s="155"/>
      <c r="O614" s="155"/>
      <c r="P614" s="155"/>
      <c r="Q614" s="155"/>
    </row>
    <row r="615" spans="1:17" x14ac:dyDescent="0.25">
      <c r="A615" s="143">
        <v>1</v>
      </c>
      <c r="B615" s="438" t="s">
        <v>54</v>
      </c>
      <c r="C615" s="151"/>
      <c r="D615" s="140">
        <v>4105</v>
      </c>
      <c r="E615" s="143"/>
      <c r="F615" s="478">
        <v>12.0664</v>
      </c>
      <c r="G615" s="458">
        <v>2.3711000000000002</v>
      </c>
      <c r="H615" s="155">
        <v>77584.983995851318</v>
      </c>
      <c r="I615" s="155">
        <v>2731.8898472915016</v>
      </c>
      <c r="J615" s="155">
        <v>2597.9999093643319</v>
      </c>
      <c r="K615" s="155">
        <v>47298.430848653661</v>
      </c>
      <c r="L615" s="155">
        <v>951144.58139780245</v>
      </c>
      <c r="M615" s="155">
        <v>385021.91515846521</v>
      </c>
      <c r="N615" s="155">
        <v>0</v>
      </c>
      <c r="O615" s="150">
        <v>0</v>
      </c>
      <c r="P615" s="155">
        <v>3717.1088888810755</v>
      </c>
      <c r="Q615" s="155">
        <v>1470096.9100463097</v>
      </c>
    </row>
    <row r="616" spans="1:17" x14ac:dyDescent="0.25">
      <c r="A616" s="143">
        <v>1</v>
      </c>
      <c r="B616" s="438"/>
      <c r="C616" s="151"/>
      <c r="D616" s="472"/>
      <c r="E616" s="143"/>
      <c r="F616" s="475"/>
      <c r="G616" s="461"/>
      <c r="H616" s="334"/>
      <c r="I616" s="334"/>
      <c r="J616" s="334"/>
      <c r="K616" s="334"/>
      <c r="L616" s="334"/>
      <c r="M616" s="334"/>
      <c r="N616" s="334"/>
      <c r="O616" s="334"/>
      <c r="P616" s="334"/>
      <c r="Q616" s="334"/>
    </row>
    <row r="617" spans="1:17" ht="23.25" customHeight="1" thickBot="1" x14ac:dyDescent="0.3">
      <c r="A617" s="143">
        <v>1</v>
      </c>
      <c r="B617" s="442"/>
      <c r="C617" s="141" t="s">
        <v>1745</v>
      </c>
      <c r="D617" s="349"/>
      <c r="E617" s="170"/>
      <c r="F617" s="485">
        <v>510.2624090909091</v>
      </c>
      <c r="G617" s="354">
        <v>1801.2132000000011</v>
      </c>
      <c r="H617" s="557">
        <v>3260024.3643279206</v>
      </c>
      <c r="I617" s="557">
        <v>114634.43705928745</v>
      </c>
      <c r="J617" s="557">
        <v>109016.20260616664</v>
      </c>
      <c r="K617" s="557">
        <v>2033776.0973641186</v>
      </c>
      <c r="L617" s="557">
        <v>39698744.235696368</v>
      </c>
      <c r="M617" s="557">
        <v>16113037.702488052</v>
      </c>
      <c r="N617" s="557">
        <v>351285.13929566945</v>
      </c>
      <c r="O617" s="557">
        <v>1425208.1569608042</v>
      </c>
      <c r="P617" s="557">
        <v>196397.59648836553</v>
      </c>
      <c r="Q617" s="557">
        <v>63302123.932286762</v>
      </c>
    </row>
    <row r="618" spans="1:17" ht="15.75" thickTop="1" x14ac:dyDescent="0.25">
      <c r="A618" s="143"/>
      <c r="B618" s="438"/>
      <c r="C618" s="151"/>
      <c r="D618" s="472"/>
      <c r="E618" s="143"/>
      <c r="F618" s="460"/>
      <c r="G618" s="461"/>
      <c r="H618" s="334"/>
      <c r="I618" s="334"/>
      <c r="J618" s="334"/>
      <c r="K618" s="334"/>
      <c r="L618" s="334"/>
      <c r="M618" s="334"/>
      <c r="N618" s="334"/>
      <c r="O618" s="334"/>
      <c r="P618" s="334"/>
      <c r="Q618" s="334"/>
    </row>
    <row r="619" spans="1:17" ht="15.75" thickBot="1" x14ac:dyDescent="0.3">
      <c r="A619" s="143"/>
      <c r="B619" s="438"/>
      <c r="C619" s="141" t="s">
        <v>1463</v>
      </c>
      <c r="D619" s="472"/>
      <c r="E619" s="143"/>
      <c r="F619" s="460"/>
      <c r="G619" s="461"/>
      <c r="H619" s="557">
        <f>H468+H617</f>
        <v>122417066.28277491</v>
      </c>
      <c r="I619" s="557">
        <f t="shared" ref="I619:Q619" si="0">I468+I617</f>
        <v>6839431.9350416958</v>
      </c>
      <c r="J619" s="557">
        <f t="shared" si="0"/>
        <v>1032816.0968283211</v>
      </c>
      <c r="K619" s="557">
        <f t="shared" si="0"/>
        <v>550516805.02612746</v>
      </c>
      <c r="L619" s="557">
        <f t="shared" si="0"/>
        <v>132075053.85948858</v>
      </c>
      <c r="M619" s="557">
        <f t="shared" si="0"/>
        <v>421892563.22866398</v>
      </c>
      <c r="N619" s="557">
        <f t="shared" si="0"/>
        <v>558943.06565385021</v>
      </c>
      <c r="O619" s="557">
        <f t="shared" si="0"/>
        <v>3408604.13081415</v>
      </c>
      <c r="P619" s="557">
        <f t="shared" si="0"/>
        <v>110352407.03253432</v>
      </c>
      <c r="Q619" s="557">
        <f t="shared" si="0"/>
        <v>1349093690.657927</v>
      </c>
    </row>
    <row r="620" spans="1:17" ht="15.75" thickTop="1" x14ac:dyDescent="0.25"/>
    <row r="621" spans="1:17" x14ac:dyDescent="0.25">
      <c r="K621" s="355"/>
      <c r="L621" s="355"/>
      <c r="M621" s="355"/>
      <c r="N621" s="355"/>
      <c r="O621" s="355"/>
      <c r="P621" s="355"/>
      <c r="Q621" s="355"/>
    </row>
  </sheetData>
  <autoFilter ref="A7:Q619"/>
  <mergeCells count="6">
    <mergeCell ref="G6:G7"/>
    <mergeCell ref="B1:Q1"/>
    <mergeCell ref="B2:Q2"/>
    <mergeCell ref="B3:Q3"/>
    <mergeCell ref="B4:Q4"/>
    <mergeCell ref="F6:F7"/>
  </mergeCells>
  <printOptions horizontalCentered="1"/>
  <pageMargins left="0.25" right="0.25" top="0.75" bottom="0.75" header="0.3" footer="0.3"/>
  <pageSetup scale="69" fitToHeight="0" orientation="landscape" r:id="rId1"/>
  <headerFooter alignWithMargins="0">
    <oddHeader>&amp;CTransmission
Accounts 354 - 359&amp;RWP- Plant Study 2011
&amp;P of &amp;N</oddHeader>
    <oddFooter>&amp;C&amp;A</oddFooter>
  </headerFooter>
  <rowBreaks count="12" manualBreakCount="12">
    <brk id="47" min="1" max="16" man="1"/>
    <brk id="76" min="1" max="16" man="1"/>
    <brk id="156" min="1" max="16" man="1"/>
    <brk id="192" min="1" max="16" man="1"/>
    <brk id="225" min="1" max="16" man="1"/>
    <brk id="263" min="1" max="16" man="1"/>
    <brk id="384" min="1" max="16" man="1"/>
    <brk id="413" min="1" max="16" man="1"/>
    <brk id="450" min="1" max="16" man="1"/>
    <brk id="521" min="1" max="16" man="1"/>
    <brk id="559" min="1" max="16" man="1"/>
    <brk id="598" min="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42"/>
    <pageSetUpPr fitToPage="1"/>
  </sheetPr>
  <dimension ref="A1:R867"/>
  <sheetViews>
    <sheetView zoomScale="80" zoomScaleNormal="80" zoomScaleSheetLayoutView="80" zoomScalePageLayoutView="60" workbookViewId="0"/>
  </sheetViews>
  <sheetFormatPr defaultRowHeight="12.75" outlineLevelRow="1" x14ac:dyDescent="0.2"/>
  <cols>
    <col min="1" max="1" width="22.7109375" style="25" customWidth="1"/>
    <col min="2" max="2" width="15.28515625" style="35" customWidth="1"/>
    <col min="3" max="3" width="17.5703125" style="35" customWidth="1"/>
    <col min="4" max="5" width="13.140625" style="587" bestFit="1" customWidth="1"/>
    <col min="6" max="7" width="14.5703125" style="587" bestFit="1" customWidth="1"/>
    <col min="8" max="8" width="8.7109375" style="25" bestFit="1" customWidth="1"/>
    <col min="9" max="10" width="12" style="25" bestFit="1" customWidth="1"/>
    <col min="11" max="12" width="13.140625" style="25" bestFit="1" customWidth="1"/>
    <col min="13" max="13" width="14.5703125" style="25" bestFit="1" customWidth="1"/>
    <col min="14" max="14" width="10.85546875" style="25" customWidth="1"/>
    <col min="15" max="15" width="12.85546875" style="35" customWidth="1"/>
    <col min="16" max="16" width="15.28515625" style="25" customWidth="1"/>
    <col min="17" max="17" width="10.7109375" style="25" bestFit="1" customWidth="1"/>
    <col min="18" max="18" width="9.7109375" style="25" bestFit="1" customWidth="1"/>
    <col min="19" max="16384" width="9.140625" style="25"/>
  </cols>
  <sheetData>
    <row r="1" spans="1:18" ht="19.5" customHeight="1" outlineLevel="1" x14ac:dyDescent="0.3">
      <c r="A1" s="558" t="s">
        <v>1430</v>
      </c>
      <c r="B1" s="559"/>
      <c r="C1" s="559"/>
      <c r="D1" s="560"/>
      <c r="E1" s="560"/>
      <c r="F1" s="560"/>
      <c r="G1" s="560"/>
    </row>
    <row r="2" spans="1:18" ht="16.5" customHeight="1" outlineLevel="1" x14ac:dyDescent="0.25">
      <c r="A2" s="561" t="s">
        <v>1715</v>
      </c>
      <c r="B2" s="559"/>
      <c r="C2" s="559"/>
      <c r="D2" s="560"/>
      <c r="E2" s="560"/>
      <c r="F2" s="560"/>
      <c r="G2" s="560"/>
    </row>
    <row r="3" spans="1:18" ht="16.5" customHeight="1" outlineLevel="1" x14ac:dyDescent="0.25">
      <c r="A3" s="561" t="s">
        <v>1448</v>
      </c>
      <c r="B3" s="559"/>
      <c r="C3" s="559"/>
      <c r="D3" s="560"/>
      <c r="E3" s="560"/>
      <c r="F3" s="560"/>
      <c r="G3" s="560"/>
      <c r="O3" s="290"/>
    </row>
    <row r="4" spans="1:18" ht="13.5" customHeight="1" outlineLevel="1" x14ac:dyDescent="0.2">
      <c r="A4" s="562" t="s">
        <v>1488</v>
      </c>
      <c r="B4" s="559"/>
      <c r="C4" s="559"/>
      <c r="D4" s="560"/>
      <c r="E4" s="560"/>
      <c r="F4" s="560"/>
      <c r="G4" s="560"/>
      <c r="O4" s="290"/>
    </row>
    <row r="5" spans="1:18" ht="13.5" customHeight="1" outlineLevel="1" thickBot="1" x14ac:dyDescent="0.25">
      <c r="A5" s="563"/>
      <c r="B5" s="559"/>
      <c r="C5" s="559"/>
      <c r="D5" s="560"/>
      <c r="E5" s="560"/>
      <c r="F5" s="560"/>
      <c r="G5" s="560"/>
    </row>
    <row r="6" spans="1:18" ht="15.75" customHeight="1" thickBot="1" x14ac:dyDescent="0.25">
      <c r="A6" s="701" t="s">
        <v>1431</v>
      </c>
      <c r="B6" s="704" t="s">
        <v>1449</v>
      </c>
      <c r="C6" s="564"/>
      <c r="D6" s="707" t="s">
        <v>1450</v>
      </c>
      <c r="E6" s="708"/>
      <c r="F6" s="709"/>
      <c r="G6" s="565"/>
      <c r="H6" s="684" t="s">
        <v>3343</v>
      </c>
      <c r="I6" s="685"/>
      <c r="J6" s="686"/>
      <c r="K6" s="668" t="s">
        <v>119</v>
      </c>
      <c r="L6" s="669"/>
      <c r="M6" s="670"/>
    </row>
    <row r="7" spans="1:18" s="26" customFormat="1" ht="16.5" customHeight="1" thickBot="1" x14ac:dyDescent="0.25">
      <c r="A7" s="702"/>
      <c r="B7" s="705"/>
      <c r="C7" s="566"/>
      <c r="D7" s="567" t="s">
        <v>1508</v>
      </c>
      <c r="E7" s="568" t="s">
        <v>1458</v>
      </c>
      <c r="F7" s="569" t="s">
        <v>1459</v>
      </c>
      <c r="G7" s="570" t="s">
        <v>1460</v>
      </c>
      <c r="H7" s="571" t="s">
        <v>1508</v>
      </c>
      <c r="I7" s="572" t="s">
        <v>1458</v>
      </c>
      <c r="J7" s="573" t="s">
        <v>1459</v>
      </c>
      <c r="K7" s="571" t="s">
        <v>1508</v>
      </c>
      <c r="L7" s="572" t="s">
        <v>1458</v>
      </c>
      <c r="M7" s="573" t="s">
        <v>1459</v>
      </c>
      <c r="O7" s="88"/>
    </row>
    <row r="8" spans="1:18" ht="26.25" thickBot="1" x14ac:dyDescent="0.25">
      <c r="A8" s="703"/>
      <c r="B8" s="706"/>
      <c r="C8" s="574" t="s">
        <v>1469</v>
      </c>
      <c r="D8" s="575" t="s">
        <v>1447</v>
      </c>
      <c r="E8" s="576" t="s">
        <v>1461</v>
      </c>
      <c r="F8" s="577" t="s">
        <v>1462</v>
      </c>
      <c r="G8" s="578" t="s">
        <v>1463</v>
      </c>
      <c r="H8" s="575" t="s">
        <v>1447</v>
      </c>
      <c r="I8" s="576" t="s">
        <v>1461</v>
      </c>
      <c r="J8" s="579" t="s">
        <v>1462</v>
      </c>
      <c r="K8" s="575" t="s">
        <v>1447</v>
      </c>
      <c r="L8" s="576" t="s">
        <v>1461</v>
      </c>
      <c r="M8" s="579" t="s">
        <v>1462</v>
      </c>
      <c r="O8" s="303" t="s">
        <v>3329</v>
      </c>
      <c r="P8" s="301" t="s">
        <v>1724</v>
      </c>
      <c r="Q8" s="545" t="s">
        <v>3370</v>
      </c>
      <c r="R8" s="545" t="s">
        <v>3371</v>
      </c>
    </row>
    <row r="9" spans="1:18" ht="10.5" customHeight="1" x14ac:dyDescent="0.2">
      <c r="A9" s="27"/>
      <c r="B9" s="28"/>
      <c r="C9" s="28"/>
      <c r="D9" s="29"/>
      <c r="E9" s="29"/>
      <c r="F9" s="29"/>
      <c r="G9" s="53"/>
      <c r="H9" s="29"/>
      <c r="I9" s="29"/>
      <c r="J9" s="29"/>
      <c r="K9" s="29"/>
      <c r="L9" s="29"/>
      <c r="M9" s="29"/>
      <c r="P9" s="30"/>
      <c r="Q9" s="580"/>
      <c r="R9" s="580"/>
    </row>
    <row r="10" spans="1:18" ht="12.75" customHeight="1" collapsed="1" x14ac:dyDescent="0.2">
      <c r="A10" s="31" t="s">
        <v>2442</v>
      </c>
      <c r="B10" s="36" t="s">
        <v>410</v>
      </c>
      <c r="C10" s="504" t="s">
        <v>3353</v>
      </c>
      <c r="D10" s="42">
        <v>466445.89</v>
      </c>
      <c r="E10" s="42">
        <v>2122529.77</v>
      </c>
      <c r="F10" s="42">
        <v>8512832.879999999</v>
      </c>
      <c r="G10" s="581">
        <f>SUM(D10:F10)</f>
        <v>11101808.539999999</v>
      </c>
      <c r="H10" s="130">
        <f>IF(R10="EKWRA",SUMIF('Antelope Bailey Split BA'!$B$7:$B$29,B10,'Antelope Bailey Split BA'!$AO$7:$AO$29),0)</f>
        <v>72734.24705993096</v>
      </c>
      <c r="I10" s="130">
        <f>IF(R10="EKWRA",SUMIF('Antelope Bailey Split BA'!$B$7:$B$29,B10,'Antelope Bailey Split BA'!$AP$7:$AP$29),0)</f>
        <v>372807.21491069789</v>
      </c>
      <c r="J10" s="130">
        <f>IF(R10="EKWRA",SUMIF('Antelope Bailey Split BA'!$B$7:$B$29,B10,'Antelope Bailey Split BA'!$AQ$7:$AQ$29),0)</f>
        <v>1285595.4232968381</v>
      </c>
      <c r="K10" s="130">
        <f>IF(R10="EKWRA",SUMIF('Antelope Bailey Split BA'!$B$7:$B$29,B10,'Antelope Bailey Split BA'!$AR$7:$AR$29),D10)</f>
        <v>393711.64294006902</v>
      </c>
      <c r="L10" s="130">
        <f>IF(R10="EKWRA",SUMIF('Antelope Bailey Split BA'!$B$7:$B$29,B10,'Antelope Bailey Split BA'!$AS$7:$AS$29),E10)</f>
        <v>1749722.5550893019</v>
      </c>
      <c r="M10" s="130">
        <f>IF(R10="EKWRA",SUMIF('Antelope Bailey Split BA'!$B$7:$B$29,B10,'Antelope Bailey Split BA'!$AT$7:$AT$29),F10)</f>
        <v>7227237.4567031618</v>
      </c>
      <c r="N10" s="235">
        <f>G10-SUM(H10:M10)</f>
        <v>0</v>
      </c>
      <c r="O10" s="18" t="str">
        <f t="shared" ref="O10:O15" si="0">IF(R10="EKWRA","Mix","Non-ISO")</f>
        <v>Mix</v>
      </c>
      <c r="P10" s="35" t="s">
        <v>1478</v>
      </c>
      <c r="Q10" s="39">
        <f>SUMIF('Antelope Bailey Split BA'!$B$7:$B$29,B10,'Antelope Bailey Split BA'!$C$7:$C$29)</f>
        <v>1</v>
      </c>
      <c r="R10" s="39" t="str">
        <f>IF(AND(Q10=1,'Plant Total by Account'!$J$1=2),"EKWRA","")</f>
        <v>EKWRA</v>
      </c>
    </row>
    <row r="11" spans="1:18" ht="12.75" customHeight="1" x14ac:dyDescent="0.2">
      <c r="A11" s="31" t="s">
        <v>2902</v>
      </c>
      <c r="B11" s="36" t="s">
        <v>454</v>
      </c>
      <c r="C11" s="504" t="s">
        <v>3353</v>
      </c>
      <c r="D11" s="42">
        <v>382.78000000000003</v>
      </c>
      <c r="E11" s="42">
        <v>164070.01</v>
      </c>
      <c r="F11" s="42">
        <v>1031548.77</v>
      </c>
      <c r="G11" s="581">
        <f>SUM(D11:F11)</f>
        <v>1196001.56</v>
      </c>
      <c r="H11" s="130">
        <f>IF(R11="EKWRA",SUMIF('Antelope Bailey Split BA'!$B$7:$B$29,B11,'Antelope Bailey Split BA'!$AO$7:$AO$29),0)</f>
        <v>56.934593500022451</v>
      </c>
      <c r="I11" s="130">
        <f>IF(R11="EKWRA",SUMIF('Antelope Bailey Split BA'!$B$7:$B$29,B11,'Antelope Bailey Split BA'!$AP$7:$AP$29),0)</f>
        <v>24403.728838744497</v>
      </c>
      <c r="J11" s="130">
        <f>IF(R11="EKWRA",SUMIF('Antelope Bailey Split BA'!$B$7:$B$29,B11,'Antelope Bailey Split BA'!$AQ$7:$AQ$29),0)</f>
        <v>153432.28459009915</v>
      </c>
      <c r="K11" s="130">
        <f>IF(R11="EKWRA",SUMIF('Antelope Bailey Split BA'!$B$7:$B$29,B11,'Antelope Bailey Split BA'!$AR$7:$AR$29),D11)</f>
        <v>325.84540649997757</v>
      </c>
      <c r="L11" s="130">
        <f>IF(R11="EKWRA",SUMIF('Antelope Bailey Split BA'!$B$7:$B$29,B11,'Antelope Bailey Split BA'!$AS$7:$AS$29),E11)</f>
        <v>139666.28116125549</v>
      </c>
      <c r="M11" s="130">
        <f>IF(R11="EKWRA",SUMIF('Antelope Bailey Split BA'!$B$7:$B$29,B11,'Antelope Bailey Split BA'!$AT$7:$AT$29),F11)</f>
        <v>878116.4854099009</v>
      </c>
      <c r="N11" s="235">
        <f>G11-SUM(H11:M11)</f>
        <v>0</v>
      </c>
      <c r="O11" s="18" t="str">
        <f t="shared" si="0"/>
        <v>Mix</v>
      </c>
      <c r="P11" s="35" t="s">
        <v>1478</v>
      </c>
      <c r="Q11" s="39">
        <f>SUMIF('Antelope Bailey Split BA'!$B$7:$B$29,B11,'Antelope Bailey Split BA'!$C$7:$C$29)</f>
        <v>1</v>
      </c>
      <c r="R11" s="39" t="str">
        <f>IF(AND(Q11=1,'Plant Total by Account'!$J$1=2),"EKWRA","")</f>
        <v>EKWRA</v>
      </c>
    </row>
    <row r="12" spans="1:18" ht="12.75" customHeight="1" x14ac:dyDescent="0.2">
      <c r="A12" s="31" t="s">
        <v>2922</v>
      </c>
      <c r="B12" s="36" t="s">
        <v>478</v>
      </c>
      <c r="C12" s="504" t="s">
        <v>3353</v>
      </c>
      <c r="D12" s="42">
        <v>157.24</v>
      </c>
      <c r="E12" s="42">
        <v>740624.81</v>
      </c>
      <c r="F12" s="42">
        <v>9961714.4300000053</v>
      </c>
      <c r="G12" s="581">
        <f>SUM(D12:F12)</f>
        <v>10702496.480000006</v>
      </c>
      <c r="H12" s="130">
        <f>IF(R12="EKWRA",SUMIF('Antelope Bailey Split BA'!$B$7:$B$29,B12,'Antelope Bailey Split BA'!$AO$7:$AO$29),0)</f>
        <v>1.0846391520791885</v>
      </c>
      <c r="I12" s="130">
        <f>IF(R12="EKWRA",SUMIF('Antelope Bailey Split BA'!$B$7:$B$29,B12,'Antelope Bailey Split BA'!$AP$7:$AP$29),0)</f>
        <v>5108.8187861053793</v>
      </c>
      <c r="J12" s="130">
        <f>IF(R12="EKWRA",SUMIF('Antelope Bailey Split BA'!$B$7:$B$29,B12,'Antelope Bailey Split BA'!$AQ$7:$AQ$29),0)</f>
        <v>68715.756121916958</v>
      </c>
      <c r="K12" s="130">
        <f>IF(R12="EKWRA",SUMIF('Antelope Bailey Split BA'!$B$7:$B$29,B12,'Antelope Bailey Split BA'!$AR$7:$AR$29),D12)</f>
        <v>156.15536084792083</v>
      </c>
      <c r="L12" s="130">
        <f>IF(R12="EKWRA",SUMIF('Antelope Bailey Split BA'!$B$7:$B$29,B12,'Antelope Bailey Split BA'!$AS$7:$AS$29),E12)</f>
        <v>735515.99121389457</v>
      </c>
      <c r="M12" s="130">
        <f>IF(R12="EKWRA",SUMIF('Antelope Bailey Split BA'!$B$7:$B$29,B12,'Antelope Bailey Split BA'!$AT$7:$AT$29),F12)</f>
        <v>9892998.6738780886</v>
      </c>
      <c r="N12" s="235">
        <f>G12-SUM(H12:M12)</f>
        <v>0</v>
      </c>
      <c r="O12" s="18" t="str">
        <f t="shared" si="0"/>
        <v>Mix</v>
      </c>
      <c r="P12" s="35" t="s">
        <v>1478</v>
      </c>
      <c r="Q12" s="39">
        <f>SUMIF('Antelope Bailey Split BA'!$B$7:$B$29,B12,'Antelope Bailey Split BA'!$C$7:$C$29)</f>
        <v>1</v>
      </c>
      <c r="R12" s="39" t="str">
        <f>IF(AND(Q12=1,'Plant Total by Account'!$J$1=2),"EKWRA","")</f>
        <v>EKWRA</v>
      </c>
    </row>
    <row r="13" spans="1:18" ht="12.75" customHeight="1" x14ac:dyDescent="0.2">
      <c r="A13" s="31" t="s">
        <v>2926</v>
      </c>
      <c r="B13" s="36" t="s">
        <v>485</v>
      </c>
      <c r="C13" s="504" t="s">
        <v>3353</v>
      </c>
      <c r="D13" s="42">
        <v>384.16</v>
      </c>
      <c r="E13" s="42">
        <v>33392.47</v>
      </c>
      <c r="F13" s="42">
        <v>579541.88</v>
      </c>
      <c r="G13" s="581">
        <f t="shared" ref="G13:G75" si="1">SUM(D13:F13)</f>
        <v>613318.51</v>
      </c>
      <c r="H13" s="130">
        <f>IF(R13="EKWRA",SUMIF('Antelope Bailey Split BA'!$B$7:$B$29,B13,'Antelope Bailey Split BA'!$AO$7:$AO$29),0)</f>
        <v>9.841270983683188</v>
      </c>
      <c r="I13" s="130">
        <f>IF(R13="EKWRA",SUMIF('Antelope Bailey Split BA'!$B$7:$B$29,B13,'Antelope Bailey Split BA'!$AP$7:$AP$29),0)</f>
        <v>855.43613620499627</v>
      </c>
      <c r="J13" s="130">
        <f>IF(R13="EKWRA",SUMIF('Antelope Bailey Split BA'!$B$7:$B$29,B13,'Antelope Bailey Split BA'!$AQ$7:$AQ$29),0)</f>
        <v>14846.492834946905</v>
      </c>
      <c r="K13" s="130">
        <f>IF(R13="EKWRA",SUMIF('Antelope Bailey Split BA'!$B$7:$B$29,B13,'Antelope Bailey Split BA'!$AR$7:$AR$29),D13)</f>
        <v>374.31872901631687</v>
      </c>
      <c r="L13" s="130">
        <f>IF(R13="EKWRA",SUMIF('Antelope Bailey Split BA'!$B$7:$B$29,B13,'Antelope Bailey Split BA'!$AS$7:$AS$29),E13)</f>
        <v>32537.033863795008</v>
      </c>
      <c r="M13" s="130">
        <f>IF(R13="EKWRA",SUMIF('Antelope Bailey Split BA'!$B$7:$B$29,B13,'Antelope Bailey Split BA'!$AT$7:$AT$29),F13)</f>
        <v>564695.38716505305</v>
      </c>
      <c r="N13" s="235">
        <f t="shared" ref="N13:N75" si="2">G13-SUM(H13:M13)</f>
        <v>0</v>
      </c>
      <c r="O13" s="18" t="str">
        <f t="shared" si="0"/>
        <v>Mix</v>
      </c>
      <c r="P13" s="35" t="s">
        <v>1478</v>
      </c>
      <c r="Q13" s="39">
        <f>SUMIF('Antelope Bailey Split BA'!$B$7:$B$29,B13,'Antelope Bailey Split BA'!$C$7:$C$29)</f>
        <v>1</v>
      </c>
      <c r="R13" s="39" t="str">
        <f>IF(AND(Q13=1,'Plant Total by Account'!$J$1=2),"EKWRA","")</f>
        <v>EKWRA</v>
      </c>
    </row>
    <row r="14" spans="1:18" ht="12.75" customHeight="1" x14ac:dyDescent="0.2">
      <c r="A14" s="31" t="s">
        <v>2459</v>
      </c>
      <c r="B14" s="36" t="s">
        <v>502</v>
      </c>
      <c r="C14" s="504" t="s">
        <v>3353</v>
      </c>
      <c r="D14" s="42">
        <v>15905.07</v>
      </c>
      <c r="E14" s="42">
        <v>290769.74</v>
      </c>
      <c r="F14" s="42">
        <v>6263764.4399999995</v>
      </c>
      <c r="G14" s="581">
        <f t="shared" si="1"/>
        <v>6570439.2499999991</v>
      </c>
      <c r="H14" s="130">
        <f>IF(R14="EKWRA",SUMIF('Antelope Bailey Split BA'!$B$7:$B$29,B14,'Antelope Bailey Split BA'!$AO$7:$AO$29),0)</f>
        <v>3074.3734362079886</v>
      </c>
      <c r="I14" s="130">
        <f>IF(R14="EKWRA",SUMIF('Antelope Bailey Split BA'!$B$7:$B$29,B14,'Antelope Bailey Split BA'!$AP$7:$AP$29),0)</f>
        <v>52474.123947198284</v>
      </c>
      <c r="J14" s="130">
        <f>IF(R14="EKWRA",SUMIF('Antelope Bailey Split BA'!$B$7:$B$29,B14,'Antelope Bailey Split BA'!$AQ$7:$AQ$29),0)</f>
        <v>1061288.7965823612</v>
      </c>
      <c r="K14" s="130">
        <f>IF(R14="EKWRA",SUMIF('Antelope Bailey Split BA'!$B$7:$B$29,B14,'Antelope Bailey Split BA'!$AR$7:$AR$29),D14)</f>
        <v>12830.696563792011</v>
      </c>
      <c r="L14" s="130">
        <f>IF(R14="EKWRA",SUMIF('Antelope Bailey Split BA'!$B$7:$B$29,B14,'Antelope Bailey Split BA'!$AS$7:$AS$29),E14)</f>
        <v>238295.61605280172</v>
      </c>
      <c r="M14" s="130">
        <f>IF(R14="EKWRA",SUMIF('Antelope Bailey Split BA'!$B$7:$B$29,B14,'Antelope Bailey Split BA'!$AT$7:$AT$29),F14)</f>
        <v>5202475.6434176387</v>
      </c>
      <c r="N14" s="235">
        <f t="shared" si="2"/>
        <v>0</v>
      </c>
      <c r="O14" s="18" t="str">
        <f t="shared" si="0"/>
        <v>Mix</v>
      </c>
      <c r="P14" s="35" t="s">
        <v>1478</v>
      </c>
      <c r="Q14" s="39">
        <f>SUMIF('Antelope Bailey Split BA'!$B$7:$B$29,B14,'Antelope Bailey Split BA'!$C$7:$C$29)</f>
        <v>1</v>
      </c>
      <c r="R14" s="39" t="str">
        <f>IF(AND(Q14=1,'Plant Total by Account'!$J$1=2),"EKWRA","")</f>
        <v>EKWRA</v>
      </c>
    </row>
    <row r="15" spans="1:18" x14ac:dyDescent="0.2">
      <c r="A15" s="31" t="s">
        <v>2621</v>
      </c>
      <c r="B15" s="97" t="s">
        <v>1256</v>
      </c>
      <c r="C15" s="504" t="s">
        <v>3353</v>
      </c>
      <c r="D15" s="42">
        <v>0</v>
      </c>
      <c r="E15" s="42">
        <v>610351.94000000018</v>
      </c>
      <c r="F15" s="42">
        <v>8828177.4900000021</v>
      </c>
      <c r="G15" s="581">
        <f>SUM(D15:F15)</f>
        <v>9438529.4300000016</v>
      </c>
      <c r="H15" s="130">
        <f>IF(R15="EKWRA",SUMIF('Antelope Bailey Split BA'!$B$7:$B$29,B15,'Antelope Bailey Split BA'!$AO$7:$AO$29),0)</f>
        <v>0</v>
      </c>
      <c r="I15" s="130">
        <f>IF(R15="EKWRA",SUMIF('Antelope Bailey Split BA'!$B$7:$B$29,B15,'Antelope Bailey Split BA'!$AP$7:$AP$29),0)</f>
        <v>227597.62265644516</v>
      </c>
      <c r="J15" s="130">
        <f>IF(R15="EKWRA",SUMIF('Antelope Bailey Split BA'!$B$7:$B$29,B15,'Antelope Bailey Split BA'!$AQ$7:$AQ$29),0)</f>
        <v>3291832.6641748496</v>
      </c>
      <c r="K15" s="130">
        <f>IF(R15="EKWRA",SUMIF('Antelope Bailey Split BA'!$B$7:$B$29,B15,'Antelope Bailey Split BA'!$AR$7:$AR$29),D15)</f>
        <v>0</v>
      </c>
      <c r="L15" s="130">
        <f>IF(R15="EKWRA",SUMIF('Antelope Bailey Split BA'!$B$7:$B$29,B15,'Antelope Bailey Split BA'!$AS$7:$AS$29),E15)</f>
        <v>382754.31734355493</v>
      </c>
      <c r="M15" s="130">
        <f>IF(R15="EKWRA",SUMIF('Antelope Bailey Split BA'!$B$7:$B$29,B15,'Antelope Bailey Split BA'!$AT$7:$AT$29),F15)</f>
        <v>5536344.825825152</v>
      </c>
      <c r="N15" s="235">
        <f>G15-SUM(H15:M15)</f>
        <v>0</v>
      </c>
      <c r="O15" s="18" t="str">
        <f t="shared" si="0"/>
        <v>Mix</v>
      </c>
      <c r="P15" s="35" t="s">
        <v>1478</v>
      </c>
      <c r="Q15" s="39">
        <f>SUMIF('Antelope Bailey Split BA'!$B$7:$B$29,B15,'Antelope Bailey Split BA'!$C$7:$C$29)</f>
        <v>1</v>
      </c>
      <c r="R15" s="39" t="str">
        <f>IF(AND(Q15=1,'Plant Total by Account'!$J$1=2),"EKWRA","")</f>
        <v>EKWRA</v>
      </c>
    </row>
    <row r="16" spans="1:18" x14ac:dyDescent="0.2">
      <c r="A16" s="31" t="s">
        <v>2648</v>
      </c>
      <c r="B16" s="32" t="s">
        <v>122</v>
      </c>
      <c r="C16" s="504" t="s">
        <v>3353</v>
      </c>
      <c r="D16" s="42">
        <v>0</v>
      </c>
      <c r="E16" s="42">
        <v>0</v>
      </c>
      <c r="F16" s="42">
        <v>61855.119999999995</v>
      </c>
      <c r="G16" s="581">
        <f t="shared" si="1"/>
        <v>61855.119999999995</v>
      </c>
      <c r="H16" s="33">
        <v>0</v>
      </c>
      <c r="I16" s="33">
        <v>0</v>
      </c>
      <c r="J16" s="33">
        <v>0</v>
      </c>
      <c r="K16" s="33">
        <f t="shared" ref="K16:K79" si="3">D16</f>
        <v>0</v>
      </c>
      <c r="L16" s="33">
        <f t="shared" ref="L16:L79" si="4">E16</f>
        <v>0</v>
      </c>
      <c r="M16" s="33">
        <f t="shared" ref="M16:M79" si="5">F16</f>
        <v>61855.119999999995</v>
      </c>
      <c r="N16" s="235">
        <f t="shared" si="2"/>
        <v>0</v>
      </c>
      <c r="O16" s="35" t="s">
        <v>3327</v>
      </c>
      <c r="P16" s="35"/>
      <c r="Q16" s="39">
        <f>SUMIF('Antelope Bailey Split BA'!$B$7:$B$29,B16,'Antelope Bailey Split BA'!$C$7:$C$29)</f>
        <v>0</v>
      </c>
      <c r="R16" s="39" t="str">
        <f>IF(AND(Q16=1,'Plant Total by Account'!$J$1=2),"EKWRA","")</f>
        <v/>
      </c>
    </row>
    <row r="17" spans="1:18" x14ac:dyDescent="0.2">
      <c r="A17" s="31" t="s">
        <v>2634</v>
      </c>
      <c r="B17" s="36" t="s">
        <v>142</v>
      </c>
      <c r="C17" s="504" t="s">
        <v>3353</v>
      </c>
      <c r="D17" s="42">
        <v>0</v>
      </c>
      <c r="E17" s="42">
        <v>0</v>
      </c>
      <c r="F17" s="42">
        <v>56092.58</v>
      </c>
      <c r="G17" s="581">
        <f t="shared" si="1"/>
        <v>56092.58</v>
      </c>
      <c r="H17" s="33">
        <v>0</v>
      </c>
      <c r="I17" s="33">
        <v>0</v>
      </c>
      <c r="J17" s="33">
        <v>0</v>
      </c>
      <c r="K17" s="33">
        <f t="shared" si="3"/>
        <v>0</v>
      </c>
      <c r="L17" s="33">
        <f t="shared" si="4"/>
        <v>0</v>
      </c>
      <c r="M17" s="33">
        <f t="shared" si="5"/>
        <v>56092.58</v>
      </c>
      <c r="N17" s="235">
        <f t="shared" si="2"/>
        <v>0</v>
      </c>
      <c r="O17" s="35" t="s">
        <v>3327</v>
      </c>
      <c r="P17" s="35"/>
      <c r="Q17" s="39">
        <f>SUMIF('Antelope Bailey Split BA'!$B$7:$B$29,B17,'Antelope Bailey Split BA'!$C$7:$C$29)</f>
        <v>0</v>
      </c>
      <c r="R17" s="39" t="str">
        <f>IF(AND(Q17=1,'Plant Total by Account'!$J$1=2),"EKWRA","")</f>
        <v/>
      </c>
    </row>
    <row r="18" spans="1:18" x14ac:dyDescent="0.2">
      <c r="A18" s="31" t="s">
        <v>2280</v>
      </c>
      <c r="B18" s="36" t="s">
        <v>143</v>
      </c>
      <c r="C18" s="504" t="s">
        <v>3352</v>
      </c>
      <c r="D18" s="42">
        <v>0</v>
      </c>
      <c r="E18" s="42">
        <v>0</v>
      </c>
      <c r="F18" s="42">
        <v>99245.03</v>
      </c>
      <c r="G18" s="581">
        <f t="shared" si="1"/>
        <v>99245.03</v>
      </c>
      <c r="H18" s="33">
        <v>0</v>
      </c>
      <c r="I18" s="33">
        <v>0</v>
      </c>
      <c r="J18" s="33">
        <v>0</v>
      </c>
      <c r="K18" s="33">
        <f t="shared" si="3"/>
        <v>0</v>
      </c>
      <c r="L18" s="33">
        <f t="shared" si="4"/>
        <v>0</v>
      </c>
      <c r="M18" s="33">
        <f t="shared" si="5"/>
        <v>99245.03</v>
      </c>
      <c r="N18" s="235">
        <f t="shared" si="2"/>
        <v>0</v>
      </c>
      <c r="O18" s="35" t="s">
        <v>3327</v>
      </c>
      <c r="P18" s="35"/>
      <c r="Q18" s="39">
        <f>SUMIF('Antelope Bailey Split BA'!$B$7:$B$29,B18,'Antelope Bailey Split BA'!$C$7:$C$29)</f>
        <v>0</v>
      </c>
      <c r="R18" s="39" t="str">
        <f>IF(AND(Q18=1,'Plant Total by Account'!$J$1=2),"EKWRA","")</f>
        <v/>
      </c>
    </row>
    <row r="19" spans="1:18" x14ac:dyDescent="0.2">
      <c r="A19" s="31" t="s">
        <v>2281</v>
      </c>
      <c r="B19" s="32" t="s">
        <v>123</v>
      </c>
      <c r="C19" s="504" t="s">
        <v>3350</v>
      </c>
      <c r="D19" s="42">
        <v>0</v>
      </c>
      <c r="E19" s="42">
        <v>218338.21000000002</v>
      </c>
      <c r="F19" s="42">
        <v>30211.68</v>
      </c>
      <c r="G19" s="581">
        <f t="shared" si="1"/>
        <v>248549.89</v>
      </c>
      <c r="H19" s="33">
        <v>0</v>
      </c>
      <c r="I19" s="33">
        <v>0</v>
      </c>
      <c r="J19" s="33">
        <v>0</v>
      </c>
      <c r="K19" s="129">
        <f t="shared" si="3"/>
        <v>0</v>
      </c>
      <c r="L19" s="129">
        <f t="shared" si="4"/>
        <v>218338.21000000002</v>
      </c>
      <c r="M19" s="129">
        <f t="shared" si="5"/>
        <v>30211.68</v>
      </c>
      <c r="N19" s="235">
        <f t="shared" si="2"/>
        <v>0</v>
      </c>
      <c r="O19" s="35" t="s">
        <v>3327</v>
      </c>
      <c r="P19" s="35"/>
      <c r="Q19" s="39">
        <f>SUMIF('Antelope Bailey Split BA'!$B$7:$B$29,B19,'Antelope Bailey Split BA'!$C$7:$C$29)</f>
        <v>0</v>
      </c>
      <c r="R19" s="39" t="str">
        <f>IF(AND(Q19=1,'Plant Total by Account'!$J$1=2),"EKWRA","")</f>
        <v/>
      </c>
    </row>
    <row r="20" spans="1:18" x14ac:dyDescent="0.2">
      <c r="A20" s="31" t="s">
        <v>2283</v>
      </c>
      <c r="B20" s="36" t="s">
        <v>144</v>
      </c>
      <c r="C20" s="504" t="s">
        <v>3350</v>
      </c>
      <c r="D20" s="42">
        <v>0</v>
      </c>
      <c r="E20" s="42">
        <v>0</v>
      </c>
      <c r="F20" s="42">
        <v>99855.510000000009</v>
      </c>
      <c r="G20" s="581">
        <f t="shared" si="1"/>
        <v>99855.510000000009</v>
      </c>
      <c r="H20" s="33">
        <v>0</v>
      </c>
      <c r="I20" s="33">
        <v>0</v>
      </c>
      <c r="J20" s="33">
        <v>0</v>
      </c>
      <c r="K20" s="129">
        <f t="shared" si="3"/>
        <v>0</v>
      </c>
      <c r="L20" s="129">
        <f t="shared" si="4"/>
        <v>0</v>
      </c>
      <c r="M20" s="129">
        <f t="shared" si="5"/>
        <v>99855.510000000009</v>
      </c>
      <c r="N20" s="235">
        <f t="shared" si="2"/>
        <v>0</v>
      </c>
      <c r="O20" s="35" t="s">
        <v>3327</v>
      </c>
      <c r="P20" s="35"/>
      <c r="Q20" s="39">
        <f>SUMIF('Antelope Bailey Split BA'!$B$7:$B$29,B20,'Antelope Bailey Split BA'!$C$7:$C$29)</f>
        <v>0</v>
      </c>
      <c r="R20" s="39" t="str">
        <f>IF(AND(Q20=1,'Plant Total by Account'!$J$1=2),"EKWRA","")</f>
        <v/>
      </c>
    </row>
    <row r="21" spans="1:18" x14ac:dyDescent="0.2">
      <c r="A21" s="31" t="s">
        <v>2284</v>
      </c>
      <c r="B21" s="36" t="s">
        <v>145</v>
      </c>
      <c r="C21" s="504" t="s">
        <v>3350</v>
      </c>
      <c r="D21" s="42">
        <v>0</v>
      </c>
      <c r="E21" s="42">
        <v>0</v>
      </c>
      <c r="F21" s="42">
        <v>271299.11</v>
      </c>
      <c r="G21" s="581">
        <f t="shared" si="1"/>
        <v>271299.11</v>
      </c>
      <c r="H21" s="33">
        <v>0</v>
      </c>
      <c r="I21" s="33">
        <v>0</v>
      </c>
      <c r="J21" s="33">
        <v>0</v>
      </c>
      <c r="K21" s="129">
        <f t="shared" si="3"/>
        <v>0</v>
      </c>
      <c r="L21" s="129">
        <f t="shared" si="4"/>
        <v>0</v>
      </c>
      <c r="M21" s="129">
        <f t="shared" si="5"/>
        <v>271299.11</v>
      </c>
      <c r="N21" s="235">
        <f t="shared" si="2"/>
        <v>0</v>
      </c>
      <c r="O21" s="35" t="s">
        <v>3327</v>
      </c>
      <c r="P21" s="35"/>
      <c r="Q21" s="39">
        <f>SUMIF('Antelope Bailey Split BA'!$B$7:$B$29,B21,'Antelope Bailey Split BA'!$C$7:$C$29)</f>
        <v>0</v>
      </c>
      <c r="R21" s="39" t="str">
        <f>IF(AND(Q21=1,'Plant Total by Account'!$J$1=2),"EKWRA","")</f>
        <v/>
      </c>
    </row>
    <row r="22" spans="1:18" x14ac:dyDescent="0.2">
      <c r="A22" s="31" t="s">
        <v>2285</v>
      </c>
      <c r="B22" s="36" t="s">
        <v>146</v>
      </c>
      <c r="C22" s="504" t="s">
        <v>3350</v>
      </c>
      <c r="D22" s="42">
        <v>0</v>
      </c>
      <c r="E22" s="42">
        <v>0</v>
      </c>
      <c r="F22" s="42">
        <v>46173.16</v>
      </c>
      <c r="G22" s="581">
        <f t="shared" si="1"/>
        <v>46173.16</v>
      </c>
      <c r="H22" s="33">
        <v>0</v>
      </c>
      <c r="I22" s="33">
        <v>0</v>
      </c>
      <c r="J22" s="33">
        <v>0</v>
      </c>
      <c r="K22" s="129">
        <f t="shared" si="3"/>
        <v>0</v>
      </c>
      <c r="L22" s="129">
        <f t="shared" si="4"/>
        <v>0</v>
      </c>
      <c r="M22" s="129">
        <f t="shared" si="5"/>
        <v>46173.16</v>
      </c>
      <c r="N22" s="235">
        <f t="shared" si="2"/>
        <v>0</v>
      </c>
      <c r="O22" s="35" t="s">
        <v>3327</v>
      </c>
      <c r="P22" s="35"/>
      <c r="Q22" s="39">
        <f>SUMIF('Antelope Bailey Split BA'!$B$7:$B$29,B22,'Antelope Bailey Split BA'!$C$7:$C$29)</f>
        <v>0</v>
      </c>
      <c r="R22" s="39" t="str">
        <f>IF(AND(Q22=1,'Plant Total by Account'!$J$1=2),"EKWRA","")</f>
        <v/>
      </c>
    </row>
    <row r="23" spans="1:18" x14ac:dyDescent="0.2">
      <c r="A23" s="31" t="s">
        <v>2287</v>
      </c>
      <c r="B23" s="32" t="s">
        <v>124</v>
      </c>
      <c r="C23" s="504" t="s">
        <v>3352</v>
      </c>
      <c r="D23" s="42">
        <v>0</v>
      </c>
      <c r="E23" s="42">
        <v>0</v>
      </c>
      <c r="F23" s="42">
        <v>26635.75</v>
      </c>
      <c r="G23" s="581">
        <f t="shared" si="1"/>
        <v>26635.75</v>
      </c>
      <c r="H23" s="33">
        <v>0</v>
      </c>
      <c r="I23" s="33">
        <v>0</v>
      </c>
      <c r="J23" s="33">
        <v>0</v>
      </c>
      <c r="K23" s="33">
        <f t="shared" si="3"/>
        <v>0</v>
      </c>
      <c r="L23" s="33">
        <f t="shared" si="4"/>
        <v>0</v>
      </c>
      <c r="M23" s="33">
        <f t="shared" si="5"/>
        <v>26635.75</v>
      </c>
      <c r="N23" s="235">
        <f t="shared" si="2"/>
        <v>0</v>
      </c>
      <c r="O23" s="35" t="s">
        <v>3327</v>
      </c>
      <c r="P23" s="35"/>
      <c r="Q23" s="39">
        <f>SUMIF('Antelope Bailey Split BA'!$B$7:$B$29,B23,'Antelope Bailey Split BA'!$C$7:$C$29)</f>
        <v>0</v>
      </c>
      <c r="R23" s="39" t="str">
        <f>IF(AND(Q23=1,'Plant Total by Account'!$J$1=2),"EKWRA","")</f>
        <v/>
      </c>
    </row>
    <row r="24" spans="1:18" x14ac:dyDescent="0.2">
      <c r="A24" s="31" t="s">
        <v>2288</v>
      </c>
      <c r="B24" s="36" t="s">
        <v>147</v>
      </c>
      <c r="C24" s="504" t="s">
        <v>3350</v>
      </c>
      <c r="D24" s="42">
        <v>0</v>
      </c>
      <c r="E24" s="42">
        <v>0</v>
      </c>
      <c r="F24" s="42">
        <v>66509.62</v>
      </c>
      <c r="G24" s="581">
        <f t="shared" si="1"/>
        <v>66509.62</v>
      </c>
      <c r="H24" s="33">
        <v>0</v>
      </c>
      <c r="I24" s="33">
        <v>0</v>
      </c>
      <c r="J24" s="33">
        <v>0</v>
      </c>
      <c r="K24" s="33">
        <f t="shared" si="3"/>
        <v>0</v>
      </c>
      <c r="L24" s="33">
        <f t="shared" si="4"/>
        <v>0</v>
      </c>
      <c r="M24" s="33">
        <f t="shared" si="5"/>
        <v>66509.62</v>
      </c>
      <c r="N24" s="235">
        <f t="shared" si="2"/>
        <v>0</v>
      </c>
      <c r="O24" s="35" t="s">
        <v>3327</v>
      </c>
      <c r="P24" s="35"/>
      <c r="Q24" s="39">
        <f>SUMIF('Antelope Bailey Split BA'!$B$7:$B$29,B24,'Antelope Bailey Split BA'!$C$7:$C$29)</f>
        <v>0</v>
      </c>
      <c r="R24" s="39" t="str">
        <f>IF(AND(Q24=1,'Plant Total by Account'!$J$1=2),"EKWRA","")</f>
        <v/>
      </c>
    </row>
    <row r="25" spans="1:18" x14ac:dyDescent="0.2">
      <c r="A25" s="31" t="s">
        <v>3306</v>
      </c>
      <c r="B25" s="32" t="s">
        <v>125</v>
      </c>
      <c r="C25" s="504"/>
      <c r="D25" s="42">
        <v>0</v>
      </c>
      <c r="E25" s="42">
        <v>9117.44</v>
      </c>
      <c r="F25" s="42">
        <v>0</v>
      </c>
      <c r="G25" s="581">
        <f t="shared" si="1"/>
        <v>9117.44</v>
      </c>
      <c r="H25" s="33">
        <v>0</v>
      </c>
      <c r="I25" s="33">
        <v>0</v>
      </c>
      <c r="J25" s="33">
        <v>0</v>
      </c>
      <c r="K25" s="129">
        <f t="shared" si="3"/>
        <v>0</v>
      </c>
      <c r="L25" s="129">
        <f t="shared" si="4"/>
        <v>9117.44</v>
      </c>
      <c r="M25" s="129">
        <f t="shared" si="5"/>
        <v>0</v>
      </c>
      <c r="N25" s="235">
        <f t="shared" si="2"/>
        <v>0</v>
      </c>
      <c r="O25" s="35" t="s">
        <v>3327</v>
      </c>
      <c r="P25" s="35"/>
      <c r="Q25" s="39">
        <f>SUMIF('Antelope Bailey Split BA'!$B$7:$B$29,B25,'Antelope Bailey Split BA'!$C$7:$C$29)</f>
        <v>0</v>
      </c>
      <c r="R25" s="39" t="str">
        <f>IF(AND(Q25=1,'Plant Total by Account'!$J$1=2),"EKWRA","")</f>
        <v/>
      </c>
    </row>
    <row r="26" spans="1:18" x14ac:dyDescent="0.2">
      <c r="A26" s="31" t="s">
        <v>2297</v>
      </c>
      <c r="B26" s="97" t="s">
        <v>148</v>
      </c>
      <c r="C26" s="504" t="s">
        <v>3352</v>
      </c>
      <c r="D26" s="42">
        <v>0</v>
      </c>
      <c r="E26" s="42">
        <v>0</v>
      </c>
      <c r="F26" s="42">
        <v>75114.45</v>
      </c>
      <c r="G26" s="581">
        <f t="shared" si="1"/>
        <v>75114.45</v>
      </c>
      <c r="H26" s="33">
        <v>0</v>
      </c>
      <c r="I26" s="33">
        <v>0</v>
      </c>
      <c r="J26" s="33">
        <v>0</v>
      </c>
      <c r="K26" s="33">
        <f t="shared" si="3"/>
        <v>0</v>
      </c>
      <c r="L26" s="33">
        <f t="shared" si="4"/>
        <v>0</v>
      </c>
      <c r="M26" s="33">
        <f t="shared" si="5"/>
        <v>75114.45</v>
      </c>
      <c r="N26" s="235">
        <f t="shared" si="2"/>
        <v>0</v>
      </c>
      <c r="O26" s="35" t="s">
        <v>3327</v>
      </c>
      <c r="P26" s="35"/>
      <c r="Q26" s="39">
        <f>SUMIF('Antelope Bailey Split BA'!$B$7:$B$29,B26,'Antelope Bailey Split BA'!$C$7:$C$29)</f>
        <v>0</v>
      </c>
      <c r="R26" s="39" t="str">
        <f>IF(AND(Q26=1,'Plant Total by Account'!$J$1=2),"EKWRA","")</f>
        <v/>
      </c>
    </row>
    <row r="27" spans="1:18" s="38" customFormat="1" x14ac:dyDescent="0.2">
      <c r="A27" s="31" t="s">
        <v>2299</v>
      </c>
      <c r="B27" s="36" t="s">
        <v>149</v>
      </c>
      <c r="C27" s="504" t="s">
        <v>3352</v>
      </c>
      <c r="D27" s="42">
        <v>4.49</v>
      </c>
      <c r="E27" s="42">
        <v>0</v>
      </c>
      <c r="F27" s="42">
        <v>0</v>
      </c>
      <c r="G27" s="581">
        <f t="shared" si="1"/>
        <v>4.49</v>
      </c>
      <c r="H27" s="33">
        <v>0</v>
      </c>
      <c r="I27" s="33">
        <v>0</v>
      </c>
      <c r="J27" s="33">
        <v>0</v>
      </c>
      <c r="K27" s="33">
        <f t="shared" si="3"/>
        <v>4.49</v>
      </c>
      <c r="L27" s="33">
        <f t="shared" si="4"/>
        <v>0</v>
      </c>
      <c r="M27" s="33">
        <f t="shared" si="5"/>
        <v>0</v>
      </c>
      <c r="N27" s="235">
        <f t="shared" si="2"/>
        <v>0</v>
      </c>
      <c r="O27" s="35" t="s">
        <v>3327</v>
      </c>
      <c r="P27" s="35"/>
      <c r="Q27" s="39">
        <f>SUMIF('Antelope Bailey Split BA'!$B$7:$B$29,B27,'Antelope Bailey Split BA'!$C$7:$C$29)</f>
        <v>0</v>
      </c>
      <c r="R27" s="39" t="str">
        <f>IF(AND(Q27=1,'Plant Total by Account'!$J$1=2),"EKWRA","")</f>
        <v/>
      </c>
    </row>
    <row r="28" spans="1:18" x14ac:dyDescent="0.2">
      <c r="A28" s="31" t="s">
        <v>2309</v>
      </c>
      <c r="B28" s="36" t="s">
        <v>150</v>
      </c>
      <c r="C28" s="504" t="s">
        <v>3348</v>
      </c>
      <c r="D28" s="42">
        <v>0</v>
      </c>
      <c r="E28" s="42">
        <v>0</v>
      </c>
      <c r="F28" s="42">
        <v>243.99</v>
      </c>
      <c r="G28" s="581">
        <f t="shared" si="1"/>
        <v>243.99</v>
      </c>
      <c r="H28" s="33">
        <v>0</v>
      </c>
      <c r="I28" s="33">
        <v>0</v>
      </c>
      <c r="J28" s="33">
        <v>0</v>
      </c>
      <c r="K28" s="33">
        <f t="shared" si="3"/>
        <v>0</v>
      </c>
      <c r="L28" s="33">
        <f t="shared" si="4"/>
        <v>0</v>
      </c>
      <c r="M28" s="33">
        <f t="shared" si="5"/>
        <v>243.99</v>
      </c>
      <c r="N28" s="235">
        <f t="shared" si="2"/>
        <v>0</v>
      </c>
      <c r="O28" s="35" t="s">
        <v>3327</v>
      </c>
      <c r="P28" s="35"/>
      <c r="Q28" s="39">
        <f>SUMIF('Antelope Bailey Split BA'!$B$7:$B$29,B28,'Antelope Bailey Split BA'!$C$7:$C$29)</f>
        <v>0</v>
      </c>
      <c r="R28" s="39" t="str">
        <f>IF(AND(Q28=1,'Plant Total by Account'!$J$1=2),"EKWRA","")</f>
        <v/>
      </c>
    </row>
    <row r="29" spans="1:18" x14ac:dyDescent="0.2">
      <c r="A29" s="31" t="s">
        <v>2311</v>
      </c>
      <c r="B29" s="36" t="s">
        <v>151</v>
      </c>
      <c r="C29" s="504" t="s">
        <v>3354</v>
      </c>
      <c r="D29" s="42">
        <v>0</v>
      </c>
      <c r="E29" s="42">
        <v>0</v>
      </c>
      <c r="F29" s="42">
        <v>31929.520000000004</v>
      </c>
      <c r="G29" s="581">
        <f t="shared" si="1"/>
        <v>31929.520000000004</v>
      </c>
      <c r="H29" s="33">
        <v>0</v>
      </c>
      <c r="I29" s="33">
        <v>0</v>
      </c>
      <c r="J29" s="33">
        <v>0</v>
      </c>
      <c r="K29" s="33">
        <f t="shared" si="3"/>
        <v>0</v>
      </c>
      <c r="L29" s="33">
        <f t="shared" si="4"/>
        <v>0</v>
      </c>
      <c r="M29" s="33">
        <f t="shared" si="5"/>
        <v>31929.520000000004</v>
      </c>
      <c r="N29" s="235">
        <f t="shared" si="2"/>
        <v>0</v>
      </c>
      <c r="O29" s="35" t="s">
        <v>3327</v>
      </c>
      <c r="P29" s="35"/>
      <c r="Q29" s="39">
        <f>SUMIF('Antelope Bailey Split BA'!$B$7:$B$29,B29,'Antelope Bailey Split BA'!$C$7:$C$29)</f>
        <v>0</v>
      </c>
      <c r="R29" s="39" t="str">
        <f>IF(AND(Q29=1,'Plant Total by Account'!$J$1=2),"EKWRA","")</f>
        <v/>
      </c>
    </row>
    <row r="30" spans="1:18" x14ac:dyDescent="0.2">
      <c r="A30" s="31" t="s">
        <v>2312</v>
      </c>
      <c r="B30" s="32" t="s">
        <v>152</v>
      </c>
      <c r="C30" s="504" t="s">
        <v>3354</v>
      </c>
      <c r="D30" s="42">
        <v>0</v>
      </c>
      <c r="E30" s="42">
        <v>0</v>
      </c>
      <c r="F30" s="42">
        <v>243.99</v>
      </c>
      <c r="G30" s="581">
        <f t="shared" si="1"/>
        <v>243.99</v>
      </c>
      <c r="H30" s="33">
        <v>0</v>
      </c>
      <c r="I30" s="33">
        <v>0</v>
      </c>
      <c r="J30" s="33">
        <v>0</v>
      </c>
      <c r="K30" s="33">
        <f t="shared" si="3"/>
        <v>0</v>
      </c>
      <c r="L30" s="33">
        <f t="shared" si="4"/>
        <v>0</v>
      </c>
      <c r="M30" s="33">
        <f t="shared" si="5"/>
        <v>243.99</v>
      </c>
      <c r="N30" s="235">
        <f t="shared" si="2"/>
        <v>0</v>
      </c>
      <c r="O30" s="35" t="s">
        <v>3327</v>
      </c>
      <c r="P30" s="35"/>
      <c r="Q30" s="39">
        <f>SUMIF('Antelope Bailey Split BA'!$B$7:$B$29,B30,'Antelope Bailey Split BA'!$C$7:$C$29)</f>
        <v>0</v>
      </c>
      <c r="R30" s="39" t="str">
        <f>IF(AND(Q30=1,'Plant Total by Account'!$J$1=2),"EKWRA","")</f>
        <v/>
      </c>
    </row>
    <row r="31" spans="1:18" x14ac:dyDescent="0.2">
      <c r="A31" s="31" t="s">
        <v>2313</v>
      </c>
      <c r="B31" s="32" t="s">
        <v>153</v>
      </c>
      <c r="C31" s="504" t="s">
        <v>3354</v>
      </c>
      <c r="D31" s="42">
        <v>0</v>
      </c>
      <c r="E31" s="42">
        <v>0</v>
      </c>
      <c r="F31" s="42">
        <v>243.99</v>
      </c>
      <c r="G31" s="581">
        <f t="shared" si="1"/>
        <v>243.99</v>
      </c>
      <c r="H31" s="33">
        <v>0</v>
      </c>
      <c r="I31" s="33">
        <v>0</v>
      </c>
      <c r="J31" s="33">
        <v>0</v>
      </c>
      <c r="K31" s="33">
        <f t="shared" si="3"/>
        <v>0</v>
      </c>
      <c r="L31" s="33">
        <f t="shared" si="4"/>
        <v>0</v>
      </c>
      <c r="M31" s="33">
        <f t="shared" si="5"/>
        <v>243.99</v>
      </c>
      <c r="N31" s="235">
        <f t="shared" si="2"/>
        <v>0</v>
      </c>
      <c r="O31" s="35" t="s">
        <v>3327</v>
      </c>
      <c r="P31" s="35"/>
      <c r="Q31" s="39">
        <f>SUMIF('Antelope Bailey Split BA'!$B$7:$B$29,B31,'Antelope Bailey Split BA'!$C$7:$C$29)</f>
        <v>0</v>
      </c>
      <c r="R31" s="39" t="str">
        <f>IF(AND(Q31=1,'Plant Total by Account'!$J$1=2),"EKWRA","")</f>
        <v/>
      </c>
    </row>
    <row r="32" spans="1:18" x14ac:dyDescent="0.2">
      <c r="A32" s="31" t="s">
        <v>2314</v>
      </c>
      <c r="B32" s="32" t="s">
        <v>1077</v>
      </c>
      <c r="C32" s="504" t="s">
        <v>3354</v>
      </c>
      <c r="D32" s="42">
        <v>0</v>
      </c>
      <c r="E32" s="42">
        <v>0</v>
      </c>
      <c r="F32" s="42">
        <v>9878.43</v>
      </c>
      <c r="G32" s="581">
        <f t="shared" si="1"/>
        <v>9878.43</v>
      </c>
      <c r="H32" s="33">
        <v>0</v>
      </c>
      <c r="I32" s="33">
        <v>0</v>
      </c>
      <c r="J32" s="33">
        <v>0</v>
      </c>
      <c r="K32" s="33">
        <f t="shared" si="3"/>
        <v>0</v>
      </c>
      <c r="L32" s="33">
        <f t="shared" si="4"/>
        <v>0</v>
      </c>
      <c r="M32" s="33">
        <f t="shared" si="5"/>
        <v>9878.43</v>
      </c>
      <c r="N32" s="235">
        <f t="shared" si="2"/>
        <v>0</v>
      </c>
      <c r="O32" s="35" t="s">
        <v>3327</v>
      </c>
      <c r="P32" s="35"/>
      <c r="Q32" s="39">
        <f>SUMIF('Antelope Bailey Split BA'!$B$7:$B$29,B32,'Antelope Bailey Split BA'!$C$7:$C$29)</f>
        <v>0</v>
      </c>
      <c r="R32" s="39" t="str">
        <f>IF(AND(Q32=1,'Plant Total by Account'!$J$1=2),"EKWRA","")</f>
        <v/>
      </c>
    </row>
    <row r="33" spans="1:18" x14ac:dyDescent="0.2">
      <c r="A33" s="31" t="s">
        <v>2316</v>
      </c>
      <c r="B33" s="36" t="s">
        <v>1080</v>
      </c>
      <c r="C33" s="504" t="s">
        <v>3348</v>
      </c>
      <c r="D33" s="42">
        <v>0</v>
      </c>
      <c r="E33" s="42">
        <v>5038.6499999999996</v>
      </c>
      <c r="F33" s="42">
        <v>8677.68</v>
      </c>
      <c r="G33" s="581">
        <f t="shared" si="1"/>
        <v>13716.33</v>
      </c>
      <c r="H33" s="33">
        <v>0</v>
      </c>
      <c r="I33" s="33">
        <v>0</v>
      </c>
      <c r="J33" s="33">
        <v>0</v>
      </c>
      <c r="K33" s="129">
        <f t="shared" si="3"/>
        <v>0</v>
      </c>
      <c r="L33" s="129">
        <f t="shared" si="4"/>
        <v>5038.6499999999996</v>
      </c>
      <c r="M33" s="129">
        <f t="shared" si="5"/>
        <v>8677.68</v>
      </c>
      <c r="N33" s="235">
        <f t="shared" si="2"/>
        <v>0</v>
      </c>
      <c r="O33" s="35" t="s">
        <v>3327</v>
      </c>
      <c r="P33" s="35"/>
      <c r="Q33" s="39">
        <f>SUMIF('Antelope Bailey Split BA'!$B$7:$B$29,B33,'Antelope Bailey Split BA'!$C$7:$C$29)</f>
        <v>0</v>
      </c>
      <c r="R33" s="39" t="str">
        <f>IF(AND(Q33=1,'Plant Total by Account'!$J$1=2),"EKWRA","")</f>
        <v/>
      </c>
    </row>
    <row r="34" spans="1:18" x14ac:dyDescent="0.2">
      <c r="A34" s="31" t="s">
        <v>2317</v>
      </c>
      <c r="B34" s="32" t="s">
        <v>154</v>
      </c>
      <c r="C34" s="504" t="s">
        <v>3348</v>
      </c>
      <c r="D34" s="42">
        <v>0</v>
      </c>
      <c r="E34" s="42">
        <v>0</v>
      </c>
      <c r="F34" s="42">
        <v>569515.52000000002</v>
      </c>
      <c r="G34" s="581">
        <f t="shared" si="1"/>
        <v>569515.52000000002</v>
      </c>
      <c r="H34" s="33">
        <v>0</v>
      </c>
      <c r="I34" s="33">
        <v>0</v>
      </c>
      <c r="J34" s="33">
        <v>0</v>
      </c>
      <c r="K34" s="33">
        <f t="shared" si="3"/>
        <v>0</v>
      </c>
      <c r="L34" s="33">
        <f t="shared" si="4"/>
        <v>0</v>
      </c>
      <c r="M34" s="33">
        <f t="shared" si="5"/>
        <v>569515.52000000002</v>
      </c>
      <c r="N34" s="235">
        <f t="shared" si="2"/>
        <v>0</v>
      </c>
      <c r="O34" s="35" t="s">
        <v>3327</v>
      </c>
      <c r="P34" s="35"/>
      <c r="Q34" s="39">
        <f>SUMIF('Antelope Bailey Split BA'!$B$7:$B$29,B34,'Antelope Bailey Split BA'!$C$7:$C$29)</f>
        <v>0</v>
      </c>
      <c r="R34" s="39" t="str">
        <f>IF(AND(Q34=1,'Plant Total by Account'!$J$1=2),"EKWRA","")</f>
        <v/>
      </c>
    </row>
    <row r="35" spans="1:18" x14ac:dyDescent="0.2">
      <c r="A35" s="31" t="s">
        <v>2649</v>
      </c>
      <c r="B35" s="36" t="s">
        <v>127</v>
      </c>
      <c r="C35" s="504" t="s">
        <v>3354</v>
      </c>
      <c r="D35" s="42">
        <v>0</v>
      </c>
      <c r="E35" s="42">
        <v>0</v>
      </c>
      <c r="F35" s="42">
        <v>12268.54</v>
      </c>
      <c r="G35" s="581">
        <f t="shared" si="1"/>
        <v>12268.54</v>
      </c>
      <c r="H35" s="33">
        <v>0</v>
      </c>
      <c r="I35" s="33">
        <v>0</v>
      </c>
      <c r="J35" s="33">
        <v>0</v>
      </c>
      <c r="K35" s="33">
        <f t="shared" si="3"/>
        <v>0</v>
      </c>
      <c r="L35" s="33">
        <f t="shared" si="4"/>
        <v>0</v>
      </c>
      <c r="M35" s="33">
        <f t="shared" si="5"/>
        <v>12268.54</v>
      </c>
      <c r="N35" s="235">
        <f t="shared" si="2"/>
        <v>0</v>
      </c>
      <c r="O35" s="35" t="s">
        <v>3327</v>
      </c>
      <c r="P35" s="35"/>
      <c r="Q35" s="39">
        <f>SUMIF('Antelope Bailey Split BA'!$B$7:$B$29,B35,'Antelope Bailey Split BA'!$C$7:$C$29)</f>
        <v>0</v>
      </c>
      <c r="R35" s="39" t="str">
        <f>IF(AND(Q35=1,'Plant Total by Account'!$J$1=2),"EKWRA","")</f>
        <v/>
      </c>
    </row>
    <row r="36" spans="1:18" x14ac:dyDescent="0.2">
      <c r="A36" s="31" t="s">
        <v>2318</v>
      </c>
      <c r="B36" s="35" t="s">
        <v>155</v>
      </c>
      <c r="C36" s="504" t="s">
        <v>3348</v>
      </c>
      <c r="D36" s="42">
        <v>0</v>
      </c>
      <c r="E36" s="42">
        <v>0</v>
      </c>
      <c r="F36" s="42">
        <v>74331.94</v>
      </c>
      <c r="G36" s="581">
        <f t="shared" si="1"/>
        <v>74331.94</v>
      </c>
      <c r="H36" s="33">
        <v>0</v>
      </c>
      <c r="I36" s="33">
        <v>0</v>
      </c>
      <c r="J36" s="33">
        <v>0</v>
      </c>
      <c r="K36" s="33">
        <f t="shared" si="3"/>
        <v>0</v>
      </c>
      <c r="L36" s="33">
        <f t="shared" si="4"/>
        <v>0</v>
      </c>
      <c r="M36" s="33">
        <f t="shared" si="5"/>
        <v>74331.94</v>
      </c>
      <c r="N36" s="235">
        <f t="shared" si="2"/>
        <v>0</v>
      </c>
      <c r="O36" s="35" t="s">
        <v>3327</v>
      </c>
      <c r="P36" s="35"/>
      <c r="Q36" s="39">
        <f>SUMIF('Antelope Bailey Split BA'!$B$7:$B$29,B36,'Antelope Bailey Split BA'!$C$7:$C$29)</f>
        <v>0</v>
      </c>
      <c r="R36" s="39" t="str">
        <f>IF(AND(Q36=1,'Plant Total by Account'!$J$1=2),"EKWRA","")</f>
        <v/>
      </c>
    </row>
    <row r="37" spans="1:18" x14ac:dyDescent="0.2">
      <c r="A37" s="31" t="s">
        <v>2319</v>
      </c>
      <c r="B37" s="36" t="s">
        <v>156</v>
      </c>
      <c r="C37" s="504" t="s">
        <v>3348</v>
      </c>
      <c r="D37" s="42">
        <v>0</v>
      </c>
      <c r="E37" s="42">
        <v>0</v>
      </c>
      <c r="F37" s="42">
        <v>6860.1399999999994</v>
      </c>
      <c r="G37" s="581">
        <f t="shared" si="1"/>
        <v>6860.1399999999994</v>
      </c>
      <c r="H37" s="33">
        <v>0</v>
      </c>
      <c r="I37" s="33">
        <v>0</v>
      </c>
      <c r="J37" s="33">
        <v>0</v>
      </c>
      <c r="K37" s="33">
        <f t="shared" si="3"/>
        <v>0</v>
      </c>
      <c r="L37" s="33">
        <f t="shared" si="4"/>
        <v>0</v>
      </c>
      <c r="M37" s="33">
        <f t="shared" si="5"/>
        <v>6860.1399999999994</v>
      </c>
      <c r="N37" s="235">
        <f t="shared" si="2"/>
        <v>0</v>
      </c>
      <c r="O37" s="35" t="s">
        <v>3327</v>
      </c>
      <c r="P37" s="35"/>
      <c r="Q37" s="39">
        <f>SUMIF('Antelope Bailey Split BA'!$B$7:$B$29,B37,'Antelope Bailey Split BA'!$C$7:$C$29)</f>
        <v>0</v>
      </c>
      <c r="R37" s="39" t="str">
        <f>IF(AND(Q37=1,'Plant Total by Account'!$J$1=2),"EKWRA","")</f>
        <v/>
      </c>
    </row>
    <row r="38" spans="1:18" x14ac:dyDescent="0.2">
      <c r="A38" s="31" t="s">
        <v>2650</v>
      </c>
      <c r="B38" s="36" t="s">
        <v>157</v>
      </c>
      <c r="C38" s="504" t="s">
        <v>3352</v>
      </c>
      <c r="D38" s="42">
        <v>137.96</v>
      </c>
      <c r="E38" s="42">
        <v>1412.22</v>
      </c>
      <c r="F38" s="42">
        <v>6428.59</v>
      </c>
      <c r="G38" s="581">
        <f t="shared" si="1"/>
        <v>7978.77</v>
      </c>
      <c r="H38" s="33">
        <v>0</v>
      </c>
      <c r="I38" s="33">
        <v>0</v>
      </c>
      <c r="J38" s="33">
        <v>0</v>
      </c>
      <c r="K38" s="33">
        <f t="shared" si="3"/>
        <v>137.96</v>
      </c>
      <c r="L38" s="33">
        <f t="shared" si="4"/>
        <v>1412.22</v>
      </c>
      <c r="M38" s="33">
        <f t="shared" si="5"/>
        <v>6428.59</v>
      </c>
      <c r="N38" s="235">
        <f t="shared" si="2"/>
        <v>0</v>
      </c>
      <c r="O38" s="35" t="s">
        <v>3327</v>
      </c>
      <c r="P38" s="35"/>
      <c r="Q38" s="39">
        <f>SUMIF('Antelope Bailey Split BA'!$B$7:$B$29,B38,'Antelope Bailey Split BA'!$C$7:$C$29)</f>
        <v>0</v>
      </c>
      <c r="R38" s="39" t="str">
        <f>IF(AND(Q38=1,'Plant Total by Account'!$J$1=2),"EKWRA","")</f>
        <v/>
      </c>
    </row>
    <row r="39" spans="1:18" x14ac:dyDescent="0.2">
      <c r="A39" s="31" t="s">
        <v>2321</v>
      </c>
      <c r="B39" s="36" t="s">
        <v>158</v>
      </c>
      <c r="C39" s="504" t="s">
        <v>3354</v>
      </c>
      <c r="D39" s="42">
        <v>7434.47</v>
      </c>
      <c r="E39" s="42">
        <v>5808.13</v>
      </c>
      <c r="F39" s="42">
        <v>228740.53000000003</v>
      </c>
      <c r="G39" s="581">
        <f t="shared" si="1"/>
        <v>241983.13000000003</v>
      </c>
      <c r="H39" s="33">
        <v>0</v>
      </c>
      <c r="I39" s="33">
        <v>0</v>
      </c>
      <c r="J39" s="33">
        <v>0</v>
      </c>
      <c r="K39" s="33">
        <f t="shared" si="3"/>
        <v>7434.47</v>
      </c>
      <c r="L39" s="33">
        <f t="shared" si="4"/>
        <v>5808.13</v>
      </c>
      <c r="M39" s="33">
        <f t="shared" si="5"/>
        <v>228740.53000000003</v>
      </c>
      <c r="N39" s="235">
        <f t="shared" si="2"/>
        <v>0</v>
      </c>
      <c r="O39" s="35" t="s">
        <v>3327</v>
      </c>
      <c r="P39" s="35"/>
      <c r="Q39" s="39">
        <f>SUMIF('Antelope Bailey Split BA'!$B$7:$B$29,B39,'Antelope Bailey Split BA'!$C$7:$C$29)</f>
        <v>0</v>
      </c>
      <c r="R39" s="39" t="str">
        <f>IF(AND(Q39=1,'Plant Total by Account'!$J$1=2),"EKWRA","")</f>
        <v/>
      </c>
    </row>
    <row r="40" spans="1:18" x14ac:dyDescent="0.2">
      <c r="A40" s="31" t="s">
        <v>2651</v>
      </c>
      <c r="B40" s="36" t="s">
        <v>159</v>
      </c>
      <c r="C40" s="504" t="s">
        <v>3352</v>
      </c>
      <c r="D40" s="42">
        <v>0</v>
      </c>
      <c r="E40" s="42">
        <v>16176.39</v>
      </c>
      <c r="F40" s="42">
        <v>569636.11</v>
      </c>
      <c r="G40" s="581">
        <f t="shared" si="1"/>
        <v>585812.5</v>
      </c>
      <c r="H40" s="33">
        <v>0</v>
      </c>
      <c r="I40" s="33">
        <v>0</v>
      </c>
      <c r="J40" s="33">
        <v>0</v>
      </c>
      <c r="K40" s="33">
        <f t="shared" si="3"/>
        <v>0</v>
      </c>
      <c r="L40" s="33">
        <f t="shared" si="4"/>
        <v>16176.39</v>
      </c>
      <c r="M40" s="33">
        <f t="shared" si="5"/>
        <v>569636.11</v>
      </c>
      <c r="N40" s="235">
        <f t="shared" si="2"/>
        <v>0</v>
      </c>
      <c r="O40" s="35" t="s">
        <v>3327</v>
      </c>
      <c r="P40" s="35"/>
      <c r="Q40" s="39">
        <f>SUMIF('Antelope Bailey Split BA'!$B$7:$B$29,B40,'Antelope Bailey Split BA'!$C$7:$C$29)</f>
        <v>0</v>
      </c>
      <c r="R40" s="39" t="str">
        <f>IF(AND(Q40=1,'Plant Total by Account'!$J$1=2),"EKWRA","")</f>
        <v/>
      </c>
    </row>
    <row r="41" spans="1:18" x14ac:dyDescent="0.2">
      <c r="A41" s="31" t="s">
        <v>2652</v>
      </c>
      <c r="B41" s="36" t="s">
        <v>160</v>
      </c>
      <c r="C41" s="504" t="s">
        <v>3354</v>
      </c>
      <c r="D41" s="42">
        <v>0</v>
      </c>
      <c r="E41" s="42">
        <v>1190.77</v>
      </c>
      <c r="F41" s="42">
        <v>47884.95</v>
      </c>
      <c r="G41" s="581">
        <f t="shared" si="1"/>
        <v>49075.719999999994</v>
      </c>
      <c r="H41" s="33">
        <v>0</v>
      </c>
      <c r="I41" s="33">
        <v>0</v>
      </c>
      <c r="J41" s="33">
        <v>0</v>
      </c>
      <c r="K41" s="33">
        <f t="shared" si="3"/>
        <v>0</v>
      </c>
      <c r="L41" s="33">
        <f t="shared" si="4"/>
        <v>1190.77</v>
      </c>
      <c r="M41" s="33">
        <f t="shared" si="5"/>
        <v>47884.95</v>
      </c>
      <c r="N41" s="235">
        <f t="shared" si="2"/>
        <v>0</v>
      </c>
      <c r="O41" s="35" t="s">
        <v>3327</v>
      </c>
      <c r="P41" s="35"/>
      <c r="Q41" s="39">
        <f>SUMIF('Antelope Bailey Split BA'!$B$7:$B$29,B41,'Antelope Bailey Split BA'!$C$7:$C$29)</f>
        <v>0</v>
      </c>
      <c r="R41" s="39" t="str">
        <f>IF(AND(Q41=1,'Plant Total by Account'!$J$1=2),"EKWRA","")</f>
        <v/>
      </c>
    </row>
    <row r="42" spans="1:18" x14ac:dyDescent="0.2">
      <c r="A42" s="31" t="s">
        <v>2653</v>
      </c>
      <c r="B42" s="36" t="s">
        <v>161</v>
      </c>
      <c r="C42" s="504" t="s">
        <v>3354</v>
      </c>
      <c r="D42" s="42">
        <v>0</v>
      </c>
      <c r="E42" s="42">
        <v>1497.07</v>
      </c>
      <c r="F42" s="42">
        <v>13013.41</v>
      </c>
      <c r="G42" s="581">
        <f t="shared" si="1"/>
        <v>14510.48</v>
      </c>
      <c r="H42" s="33">
        <v>0</v>
      </c>
      <c r="I42" s="33">
        <v>0</v>
      </c>
      <c r="J42" s="33">
        <v>0</v>
      </c>
      <c r="K42" s="33">
        <f t="shared" si="3"/>
        <v>0</v>
      </c>
      <c r="L42" s="33">
        <f t="shared" si="4"/>
        <v>1497.07</v>
      </c>
      <c r="M42" s="33">
        <f t="shared" si="5"/>
        <v>13013.41</v>
      </c>
      <c r="N42" s="235">
        <f t="shared" si="2"/>
        <v>0</v>
      </c>
      <c r="O42" s="35" t="s">
        <v>3327</v>
      </c>
      <c r="P42" s="35"/>
      <c r="Q42" s="39">
        <f>SUMIF('Antelope Bailey Split BA'!$B$7:$B$29,B42,'Antelope Bailey Split BA'!$C$7:$C$29)</f>
        <v>0</v>
      </c>
      <c r="R42" s="39" t="str">
        <f>IF(AND(Q42=1,'Plant Total by Account'!$J$1=2),"EKWRA","")</f>
        <v/>
      </c>
    </row>
    <row r="43" spans="1:18" x14ac:dyDescent="0.2">
      <c r="A43" s="31" t="s">
        <v>2322</v>
      </c>
      <c r="B43" s="36" t="s">
        <v>162</v>
      </c>
      <c r="C43" s="504" t="s">
        <v>3354</v>
      </c>
      <c r="D43" s="42">
        <v>0</v>
      </c>
      <c r="E43" s="42">
        <v>46012.65</v>
      </c>
      <c r="F43" s="42">
        <v>974488.25999999978</v>
      </c>
      <c r="G43" s="581">
        <f t="shared" si="1"/>
        <v>1020500.9099999998</v>
      </c>
      <c r="H43" s="33">
        <v>0</v>
      </c>
      <c r="I43" s="33">
        <v>0</v>
      </c>
      <c r="J43" s="33">
        <v>0</v>
      </c>
      <c r="K43" s="33">
        <f t="shared" si="3"/>
        <v>0</v>
      </c>
      <c r="L43" s="33">
        <f t="shared" si="4"/>
        <v>46012.65</v>
      </c>
      <c r="M43" s="33">
        <f t="shared" si="5"/>
        <v>974488.25999999978</v>
      </c>
      <c r="N43" s="235">
        <f t="shared" si="2"/>
        <v>0</v>
      </c>
      <c r="O43" s="35" t="s">
        <v>3327</v>
      </c>
      <c r="P43" s="35"/>
      <c r="Q43" s="39">
        <f>SUMIF('Antelope Bailey Split BA'!$B$7:$B$29,B43,'Antelope Bailey Split BA'!$C$7:$C$29)</f>
        <v>0</v>
      </c>
      <c r="R43" s="39" t="str">
        <f>IF(AND(Q43=1,'Plant Total by Account'!$J$1=2),"EKWRA","")</f>
        <v/>
      </c>
    </row>
    <row r="44" spans="1:18" x14ac:dyDescent="0.2">
      <c r="A44" s="31" t="s">
        <v>2654</v>
      </c>
      <c r="B44" s="36" t="s">
        <v>163</v>
      </c>
      <c r="C44" s="504" t="s">
        <v>3352</v>
      </c>
      <c r="D44" s="42">
        <v>0</v>
      </c>
      <c r="E44" s="42">
        <v>0</v>
      </c>
      <c r="F44" s="42">
        <v>57327.51</v>
      </c>
      <c r="G44" s="581">
        <f t="shared" si="1"/>
        <v>57327.51</v>
      </c>
      <c r="H44" s="33">
        <v>0</v>
      </c>
      <c r="I44" s="33">
        <v>0</v>
      </c>
      <c r="J44" s="33">
        <v>0</v>
      </c>
      <c r="K44" s="33">
        <f t="shared" si="3"/>
        <v>0</v>
      </c>
      <c r="L44" s="33">
        <f t="shared" si="4"/>
        <v>0</v>
      </c>
      <c r="M44" s="33">
        <f t="shared" si="5"/>
        <v>57327.51</v>
      </c>
      <c r="N44" s="235">
        <f t="shared" si="2"/>
        <v>0</v>
      </c>
      <c r="O44" s="35" t="s">
        <v>3327</v>
      </c>
      <c r="P44" s="35"/>
      <c r="Q44" s="39">
        <f>SUMIF('Antelope Bailey Split BA'!$B$7:$B$29,B44,'Antelope Bailey Split BA'!$C$7:$C$29)</f>
        <v>0</v>
      </c>
      <c r="R44" s="39" t="str">
        <f>IF(AND(Q44=1,'Plant Total by Account'!$J$1=2),"EKWRA","")</f>
        <v/>
      </c>
    </row>
    <row r="45" spans="1:18" x14ac:dyDescent="0.2">
      <c r="A45" s="31" t="s">
        <v>2655</v>
      </c>
      <c r="B45" s="36" t="s">
        <v>164</v>
      </c>
      <c r="C45" s="504" t="s">
        <v>3352</v>
      </c>
      <c r="D45" s="42">
        <v>0</v>
      </c>
      <c r="E45" s="42">
        <v>0</v>
      </c>
      <c r="F45" s="42">
        <v>1660992.12</v>
      </c>
      <c r="G45" s="581">
        <f t="shared" si="1"/>
        <v>1660992.12</v>
      </c>
      <c r="H45" s="33">
        <v>0</v>
      </c>
      <c r="I45" s="33">
        <v>0</v>
      </c>
      <c r="J45" s="33">
        <v>0</v>
      </c>
      <c r="K45" s="33">
        <f t="shared" si="3"/>
        <v>0</v>
      </c>
      <c r="L45" s="33">
        <f t="shared" si="4"/>
        <v>0</v>
      </c>
      <c r="M45" s="33">
        <f t="shared" si="5"/>
        <v>1660992.12</v>
      </c>
      <c r="N45" s="235">
        <f t="shared" si="2"/>
        <v>0</v>
      </c>
      <c r="O45" s="35" t="s">
        <v>3327</v>
      </c>
      <c r="P45" s="35"/>
      <c r="Q45" s="39">
        <f>SUMIF('Antelope Bailey Split BA'!$B$7:$B$29,B45,'Antelope Bailey Split BA'!$C$7:$C$29)</f>
        <v>0</v>
      </c>
      <c r="R45" s="39" t="str">
        <f>IF(AND(Q45=1,'Plant Total by Account'!$J$1=2),"EKWRA","")</f>
        <v/>
      </c>
    </row>
    <row r="46" spans="1:18" x14ac:dyDescent="0.2">
      <c r="A46" s="31" t="s">
        <v>2656</v>
      </c>
      <c r="B46" s="36" t="s">
        <v>165</v>
      </c>
      <c r="C46" s="504" t="s">
        <v>3352</v>
      </c>
      <c r="D46" s="42">
        <v>24260.5</v>
      </c>
      <c r="E46" s="42">
        <v>81515.790000000008</v>
      </c>
      <c r="F46" s="42">
        <v>438219.2300000001</v>
      </c>
      <c r="G46" s="581">
        <f t="shared" si="1"/>
        <v>543995.52000000014</v>
      </c>
      <c r="H46" s="33">
        <v>0</v>
      </c>
      <c r="I46" s="33">
        <v>0</v>
      </c>
      <c r="J46" s="33">
        <v>0</v>
      </c>
      <c r="K46" s="33">
        <f t="shared" si="3"/>
        <v>24260.5</v>
      </c>
      <c r="L46" s="33">
        <f t="shared" si="4"/>
        <v>81515.790000000008</v>
      </c>
      <c r="M46" s="33">
        <f t="shared" si="5"/>
        <v>438219.2300000001</v>
      </c>
      <c r="N46" s="235">
        <f t="shared" si="2"/>
        <v>0</v>
      </c>
      <c r="O46" s="35" t="s">
        <v>3327</v>
      </c>
      <c r="P46" s="35"/>
      <c r="Q46" s="39">
        <f>SUMIF('Antelope Bailey Split BA'!$B$7:$B$29,B46,'Antelope Bailey Split BA'!$C$7:$C$29)</f>
        <v>0</v>
      </c>
      <c r="R46" s="39" t="str">
        <f>IF(AND(Q46=1,'Plant Total by Account'!$J$1=2),"EKWRA","")</f>
        <v/>
      </c>
    </row>
    <row r="47" spans="1:18" x14ac:dyDescent="0.2">
      <c r="A47" s="31" t="s">
        <v>2657</v>
      </c>
      <c r="B47" s="36" t="s">
        <v>166</v>
      </c>
      <c r="C47" s="504" t="s">
        <v>3352</v>
      </c>
      <c r="D47" s="42">
        <v>62994.73</v>
      </c>
      <c r="E47" s="42">
        <v>186428.47</v>
      </c>
      <c r="F47" s="42">
        <v>1894983.61</v>
      </c>
      <c r="G47" s="581">
        <f t="shared" si="1"/>
        <v>2144406.81</v>
      </c>
      <c r="H47" s="33">
        <v>0</v>
      </c>
      <c r="I47" s="33">
        <v>0</v>
      </c>
      <c r="J47" s="33">
        <v>0</v>
      </c>
      <c r="K47" s="33">
        <f t="shared" si="3"/>
        <v>62994.73</v>
      </c>
      <c r="L47" s="33">
        <f t="shared" si="4"/>
        <v>186428.47</v>
      </c>
      <c r="M47" s="33">
        <f t="shared" si="5"/>
        <v>1894983.61</v>
      </c>
      <c r="N47" s="235">
        <f t="shared" si="2"/>
        <v>0</v>
      </c>
      <c r="O47" s="35" t="s">
        <v>3327</v>
      </c>
      <c r="P47" s="35"/>
      <c r="Q47" s="39">
        <f>SUMIF('Antelope Bailey Split BA'!$B$7:$B$29,B47,'Antelope Bailey Split BA'!$C$7:$C$29)</f>
        <v>0</v>
      </c>
      <c r="R47" s="39" t="str">
        <f>IF(AND(Q47=1,'Plant Total by Account'!$J$1=2),"EKWRA","")</f>
        <v/>
      </c>
    </row>
    <row r="48" spans="1:18" x14ac:dyDescent="0.2">
      <c r="A48" s="31" t="s">
        <v>2658</v>
      </c>
      <c r="B48" s="36" t="s">
        <v>167</v>
      </c>
      <c r="C48" s="504" t="s">
        <v>3352</v>
      </c>
      <c r="D48" s="42">
        <v>0</v>
      </c>
      <c r="E48" s="42">
        <v>56385.070000000007</v>
      </c>
      <c r="F48" s="42">
        <v>577714.76</v>
      </c>
      <c r="G48" s="581">
        <f t="shared" si="1"/>
        <v>634099.83000000007</v>
      </c>
      <c r="H48" s="33">
        <v>0</v>
      </c>
      <c r="I48" s="33">
        <v>0</v>
      </c>
      <c r="J48" s="33">
        <v>0</v>
      </c>
      <c r="K48" s="33">
        <f t="shared" si="3"/>
        <v>0</v>
      </c>
      <c r="L48" s="33">
        <f t="shared" si="4"/>
        <v>56385.070000000007</v>
      </c>
      <c r="M48" s="33">
        <f t="shared" si="5"/>
        <v>577714.76</v>
      </c>
      <c r="N48" s="235">
        <f t="shared" si="2"/>
        <v>0</v>
      </c>
      <c r="O48" s="35" t="s">
        <v>3327</v>
      </c>
      <c r="P48" s="35"/>
      <c r="Q48" s="39">
        <f>SUMIF('Antelope Bailey Split BA'!$B$7:$B$29,B48,'Antelope Bailey Split BA'!$C$7:$C$29)</f>
        <v>0</v>
      </c>
      <c r="R48" s="39" t="str">
        <f>IF(AND(Q48=1,'Plant Total by Account'!$J$1=2),"EKWRA","")</f>
        <v/>
      </c>
    </row>
    <row r="49" spans="1:18" x14ac:dyDescent="0.2">
      <c r="A49" s="31" t="s">
        <v>2659</v>
      </c>
      <c r="B49" s="36" t="s">
        <v>168</v>
      </c>
      <c r="C49" s="504" t="s">
        <v>3353</v>
      </c>
      <c r="D49" s="42">
        <v>0</v>
      </c>
      <c r="E49" s="42">
        <v>13578.02</v>
      </c>
      <c r="F49" s="42">
        <v>1797700.5700000005</v>
      </c>
      <c r="G49" s="581">
        <f t="shared" si="1"/>
        <v>1811278.5900000005</v>
      </c>
      <c r="H49" s="33">
        <v>0</v>
      </c>
      <c r="I49" s="33">
        <v>0</v>
      </c>
      <c r="J49" s="33">
        <v>0</v>
      </c>
      <c r="K49" s="33">
        <f t="shared" si="3"/>
        <v>0</v>
      </c>
      <c r="L49" s="33">
        <f t="shared" si="4"/>
        <v>13578.02</v>
      </c>
      <c r="M49" s="33">
        <f t="shared" si="5"/>
        <v>1797700.5700000005</v>
      </c>
      <c r="N49" s="235">
        <f t="shared" si="2"/>
        <v>0</v>
      </c>
      <c r="O49" s="35" t="s">
        <v>3327</v>
      </c>
      <c r="P49" s="35"/>
      <c r="Q49" s="39">
        <f>SUMIF('Antelope Bailey Split BA'!$B$7:$B$29,B49,'Antelope Bailey Split BA'!$C$7:$C$29)</f>
        <v>0</v>
      </c>
      <c r="R49" s="39" t="str">
        <f>IF(AND(Q49=1,'Plant Total by Account'!$J$1=2),"EKWRA","")</f>
        <v/>
      </c>
    </row>
    <row r="50" spans="1:18" x14ac:dyDescent="0.2">
      <c r="A50" s="31" t="s">
        <v>2326</v>
      </c>
      <c r="B50" s="36" t="s">
        <v>169</v>
      </c>
      <c r="C50" s="504"/>
      <c r="D50" s="42">
        <v>691617.74</v>
      </c>
      <c r="E50" s="42">
        <v>0</v>
      </c>
      <c r="F50" s="42">
        <v>0</v>
      </c>
      <c r="G50" s="581">
        <f t="shared" si="1"/>
        <v>691617.74</v>
      </c>
      <c r="H50" s="33">
        <v>0</v>
      </c>
      <c r="I50" s="33">
        <v>0</v>
      </c>
      <c r="J50" s="33">
        <v>0</v>
      </c>
      <c r="K50" s="129">
        <f t="shared" si="3"/>
        <v>691617.74</v>
      </c>
      <c r="L50" s="129">
        <f t="shared" si="4"/>
        <v>0</v>
      </c>
      <c r="M50" s="129">
        <f t="shared" si="5"/>
        <v>0</v>
      </c>
      <c r="N50" s="235">
        <f t="shared" si="2"/>
        <v>0</v>
      </c>
      <c r="O50" s="35" t="s">
        <v>3327</v>
      </c>
      <c r="P50" s="35"/>
      <c r="Q50" s="39">
        <f>SUMIF('Antelope Bailey Split BA'!$B$7:$B$29,B50,'Antelope Bailey Split BA'!$C$7:$C$29)</f>
        <v>0</v>
      </c>
      <c r="R50" s="39" t="str">
        <f>IF(AND(Q50=1,'Plant Total by Account'!$J$1=2),"EKWRA","")</f>
        <v/>
      </c>
    </row>
    <row r="51" spans="1:18" x14ac:dyDescent="0.2">
      <c r="A51" s="31" t="s">
        <v>2637</v>
      </c>
      <c r="B51" s="36" t="s">
        <v>129</v>
      </c>
      <c r="C51" s="504" t="s">
        <v>2344</v>
      </c>
      <c r="D51" s="33">
        <v>0</v>
      </c>
      <c r="E51" s="33">
        <v>52105.3</v>
      </c>
      <c r="F51" s="33">
        <v>0</v>
      </c>
      <c r="G51" s="581">
        <f t="shared" si="1"/>
        <v>52105.3</v>
      </c>
      <c r="H51" s="33">
        <v>0</v>
      </c>
      <c r="I51" s="33">
        <v>0</v>
      </c>
      <c r="J51" s="33">
        <v>0</v>
      </c>
      <c r="K51" s="129">
        <f t="shared" si="3"/>
        <v>0</v>
      </c>
      <c r="L51" s="129">
        <f t="shared" si="4"/>
        <v>52105.3</v>
      </c>
      <c r="M51" s="129">
        <f t="shared" si="5"/>
        <v>0</v>
      </c>
      <c r="N51" s="235">
        <f t="shared" si="2"/>
        <v>0</v>
      </c>
      <c r="O51" s="35" t="s">
        <v>3327</v>
      </c>
      <c r="P51" s="35"/>
      <c r="Q51" s="39">
        <f>SUMIF('Antelope Bailey Split BA'!$B$7:$B$29,B51,'Antelope Bailey Split BA'!$C$7:$C$29)</f>
        <v>0</v>
      </c>
      <c r="R51" s="39" t="str">
        <f>IF(AND(Q51=1,'Plant Total by Account'!$J$1=2),"EKWRA","")</f>
        <v/>
      </c>
    </row>
    <row r="52" spans="1:18" x14ac:dyDescent="0.2">
      <c r="A52" s="31" t="s">
        <v>2638</v>
      </c>
      <c r="B52" s="36" t="s">
        <v>1107</v>
      </c>
      <c r="C52" s="504" t="s">
        <v>2344</v>
      </c>
      <c r="D52" s="33">
        <v>0</v>
      </c>
      <c r="E52" s="33">
        <v>14551.73</v>
      </c>
      <c r="F52" s="33">
        <v>0</v>
      </c>
      <c r="G52" s="581">
        <f t="shared" si="1"/>
        <v>14551.73</v>
      </c>
      <c r="H52" s="33">
        <v>0</v>
      </c>
      <c r="I52" s="33">
        <v>0</v>
      </c>
      <c r="J52" s="33">
        <v>0</v>
      </c>
      <c r="K52" s="129">
        <f t="shared" si="3"/>
        <v>0</v>
      </c>
      <c r="L52" s="129">
        <f t="shared" si="4"/>
        <v>14551.73</v>
      </c>
      <c r="M52" s="129">
        <f t="shared" si="5"/>
        <v>0</v>
      </c>
      <c r="N52" s="235">
        <f t="shared" si="2"/>
        <v>0</v>
      </c>
      <c r="O52" s="35" t="s">
        <v>3327</v>
      </c>
      <c r="P52" s="35"/>
      <c r="Q52" s="39">
        <f>SUMIF('Antelope Bailey Split BA'!$B$7:$B$29,B52,'Antelope Bailey Split BA'!$C$7:$C$29)</f>
        <v>0</v>
      </c>
      <c r="R52" s="39" t="str">
        <f>IF(AND(Q52=1,'Plant Total by Account'!$J$1=2),"EKWRA","")</f>
        <v/>
      </c>
    </row>
    <row r="53" spans="1:18" x14ac:dyDescent="0.2">
      <c r="A53" s="31" t="s">
        <v>525</v>
      </c>
      <c r="B53" s="97" t="s">
        <v>2248</v>
      </c>
      <c r="C53" s="504"/>
      <c r="D53" s="42">
        <v>83844.39</v>
      </c>
      <c r="E53" s="42">
        <v>0</v>
      </c>
      <c r="F53" s="42">
        <v>0</v>
      </c>
      <c r="G53" s="581">
        <f t="shared" si="1"/>
        <v>83844.39</v>
      </c>
      <c r="H53" s="33">
        <v>0</v>
      </c>
      <c r="I53" s="33">
        <v>0</v>
      </c>
      <c r="J53" s="33">
        <v>0</v>
      </c>
      <c r="K53" s="33">
        <f t="shared" si="3"/>
        <v>83844.39</v>
      </c>
      <c r="L53" s="33">
        <f t="shared" si="4"/>
        <v>0</v>
      </c>
      <c r="M53" s="33">
        <f t="shared" si="5"/>
        <v>0</v>
      </c>
      <c r="N53" s="235">
        <f t="shared" si="2"/>
        <v>0</v>
      </c>
      <c r="O53" s="35" t="s">
        <v>3327</v>
      </c>
      <c r="P53" s="35"/>
      <c r="Q53" s="39">
        <f>SUMIF('Antelope Bailey Split BA'!$B$7:$B$29,B53,'Antelope Bailey Split BA'!$C$7:$C$29)</f>
        <v>0</v>
      </c>
      <c r="R53" s="39" t="str">
        <f>IF(AND(Q53=1,'Plant Total by Account'!$J$1=2),"EKWRA","")</f>
        <v/>
      </c>
    </row>
    <row r="54" spans="1:18" x14ac:dyDescent="0.2">
      <c r="A54" s="31" t="s">
        <v>2639</v>
      </c>
      <c r="B54" s="98" t="s">
        <v>2264</v>
      </c>
      <c r="C54" s="504" t="s">
        <v>3353</v>
      </c>
      <c r="D54" s="42">
        <v>140014.41</v>
      </c>
      <c r="E54" s="42">
        <v>0</v>
      </c>
      <c r="F54" s="42">
        <v>0</v>
      </c>
      <c r="G54" s="581">
        <f t="shared" si="1"/>
        <v>140014.41</v>
      </c>
      <c r="H54" s="33">
        <v>0</v>
      </c>
      <c r="I54" s="33">
        <v>0</v>
      </c>
      <c r="J54" s="33">
        <v>0</v>
      </c>
      <c r="K54" s="33">
        <f t="shared" si="3"/>
        <v>140014.41</v>
      </c>
      <c r="L54" s="33">
        <f t="shared" si="4"/>
        <v>0</v>
      </c>
      <c r="M54" s="33">
        <f t="shared" si="5"/>
        <v>0</v>
      </c>
      <c r="N54" s="235">
        <f t="shared" si="2"/>
        <v>0</v>
      </c>
      <c r="O54" s="35" t="s">
        <v>3327</v>
      </c>
      <c r="P54" s="35"/>
      <c r="Q54" s="39">
        <f>SUMIF('Antelope Bailey Split BA'!$B$7:$B$29,B54,'Antelope Bailey Split BA'!$C$7:$C$29)</f>
        <v>0</v>
      </c>
      <c r="R54" s="39" t="str">
        <f>IF(AND(Q54=1,'Plant Total by Account'!$J$1=2),"EKWRA","")</f>
        <v/>
      </c>
    </row>
    <row r="55" spans="1:18" x14ac:dyDescent="0.2">
      <c r="A55" s="31" t="s">
        <v>2640</v>
      </c>
      <c r="B55" s="98" t="s">
        <v>1112</v>
      </c>
      <c r="C55" s="504" t="s">
        <v>2270</v>
      </c>
      <c r="D55" s="42">
        <v>0</v>
      </c>
      <c r="E55" s="42">
        <v>0</v>
      </c>
      <c r="F55" s="42">
        <v>485808.24</v>
      </c>
      <c r="G55" s="581">
        <f t="shared" si="1"/>
        <v>485808.24</v>
      </c>
      <c r="H55" s="33">
        <v>0</v>
      </c>
      <c r="I55" s="33">
        <v>0</v>
      </c>
      <c r="J55" s="33">
        <v>0</v>
      </c>
      <c r="K55" s="129">
        <f t="shared" si="3"/>
        <v>0</v>
      </c>
      <c r="L55" s="129">
        <f t="shared" si="4"/>
        <v>0</v>
      </c>
      <c r="M55" s="129">
        <f t="shared" si="5"/>
        <v>485808.24</v>
      </c>
      <c r="N55" s="235">
        <f t="shared" si="2"/>
        <v>0</v>
      </c>
      <c r="O55" s="35" t="s">
        <v>3327</v>
      </c>
      <c r="P55" s="35"/>
      <c r="Q55" s="39">
        <f>SUMIF('Antelope Bailey Split BA'!$B$7:$B$29,B55,'Antelope Bailey Split BA'!$C$7:$C$29)</f>
        <v>0</v>
      </c>
      <c r="R55" s="39" t="str">
        <f>IF(AND(Q55=1,'Plant Total by Account'!$J$1=2),"EKWRA","")</f>
        <v/>
      </c>
    </row>
    <row r="56" spans="1:18" x14ac:dyDescent="0.2">
      <c r="A56" s="31" t="s">
        <v>2351</v>
      </c>
      <c r="B56" s="98" t="s">
        <v>170</v>
      </c>
      <c r="C56" s="504" t="s">
        <v>3350</v>
      </c>
      <c r="D56" s="42">
        <v>0</v>
      </c>
      <c r="E56" s="42">
        <v>0</v>
      </c>
      <c r="F56" s="42">
        <v>78722.14</v>
      </c>
      <c r="G56" s="581">
        <f t="shared" si="1"/>
        <v>78722.14</v>
      </c>
      <c r="H56" s="33">
        <v>0</v>
      </c>
      <c r="I56" s="33">
        <v>0</v>
      </c>
      <c r="J56" s="33">
        <v>0</v>
      </c>
      <c r="K56" s="129">
        <f t="shared" si="3"/>
        <v>0</v>
      </c>
      <c r="L56" s="129">
        <f t="shared" si="4"/>
        <v>0</v>
      </c>
      <c r="M56" s="129">
        <f t="shared" si="5"/>
        <v>78722.14</v>
      </c>
      <c r="N56" s="235">
        <f t="shared" si="2"/>
        <v>0</v>
      </c>
      <c r="O56" s="35" t="s">
        <v>3327</v>
      </c>
      <c r="P56" s="35"/>
      <c r="Q56" s="39">
        <f>SUMIF('Antelope Bailey Split BA'!$B$7:$B$29,B56,'Antelope Bailey Split BA'!$C$7:$C$29)</f>
        <v>0</v>
      </c>
      <c r="R56" s="39" t="str">
        <f>IF(AND(Q56=1,'Plant Total by Account'!$J$1=2),"EKWRA","")</f>
        <v/>
      </c>
    </row>
    <row r="57" spans="1:18" x14ac:dyDescent="0.2">
      <c r="A57" s="31" t="s">
        <v>2355</v>
      </c>
      <c r="B57" s="97" t="s">
        <v>1120</v>
      </c>
      <c r="C57" s="504" t="s">
        <v>3350</v>
      </c>
      <c r="D57" s="42">
        <v>0</v>
      </c>
      <c r="E57" s="42">
        <v>0</v>
      </c>
      <c r="F57" s="42">
        <v>12210.7</v>
      </c>
      <c r="G57" s="581">
        <f t="shared" si="1"/>
        <v>12210.7</v>
      </c>
      <c r="H57" s="33">
        <v>0</v>
      </c>
      <c r="I57" s="33">
        <v>0</v>
      </c>
      <c r="J57" s="33">
        <v>0</v>
      </c>
      <c r="K57" s="129">
        <f t="shared" si="3"/>
        <v>0</v>
      </c>
      <c r="L57" s="129">
        <f t="shared" si="4"/>
        <v>0</v>
      </c>
      <c r="M57" s="129">
        <f t="shared" si="5"/>
        <v>12210.7</v>
      </c>
      <c r="N57" s="235">
        <f t="shared" si="2"/>
        <v>0</v>
      </c>
      <c r="O57" s="35" t="s">
        <v>3327</v>
      </c>
      <c r="P57" s="35"/>
      <c r="Q57" s="39">
        <f>SUMIF('Antelope Bailey Split BA'!$B$7:$B$29,B57,'Antelope Bailey Split BA'!$C$7:$C$29)</f>
        <v>0</v>
      </c>
      <c r="R57" s="39" t="str">
        <f>IF(AND(Q57=1,'Plant Total by Account'!$J$1=2),"EKWRA","")</f>
        <v/>
      </c>
    </row>
    <row r="58" spans="1:18" x14ac:dyDescent="0.2">
      <c r="A58" s="31" t="s">
        <v>2357</v>
      </c>
      <c r="B58" s="36" t="s">
        <v>1122</v>
      </c>
      <c r="C58" s="504" t="s">
        <v>3350</v>
      </c>
      <c r="D58" s="42">
        <v>0</v>
      </c>
      <c r="E58" s="42">
        <v>7079.03</v>
      </c>
      <c r="F58" s="42">
        <v>0</v>
      </c>
      <c r="G58" s="581">
        <f t="shared" si="1"/>
        <v>7079.03</v>
      </c>
      <c r="H58" s="33">
        <v>0</v>
      </c>
      <c r="I58" s="33">
        <v>0</v>
      </c>
      <c r="J58" s="33">
        <v>0</v>
      </c>
      <c r="K58" s="129">
        <f t="shared" si="3"/>
        <v>0</v>
      </c>
      <c r="L58" s="129">
        <f t="shared" si="4"/>
        <v>7079.03</v>
      </c>
      <c r="M58" s="129">
        <f t="shared" si="5"/>
        <v>0</v>
      </c>
      <c r="N58" s="235">
        <f t="shared" si="2"/>
        <v>0</v>
      </c>
      <c r="O58" s="35" t="s">
        <v>3327</v>
      </c>
      <c r="P58" s="35"/>
      <c r="Q58" s="39">
        <f>SUMIF('Antelope Bailey Split BA'!$B$7:$B$29,B58,'Antelope Bailey Split BA'!$C$7:$C$29)</f>
        <v>0</v>
      </c>
      <c r="R58" s="39" t="str">
        <f>IF(AND(Q58=1,'Plant Total by Account'!$J$1=2),"EKWRA","")</f>
        <v/>
      </c>
    </row>
    <row r="59" spans="1:18" x14ac:dyDescent="0.2">
      <c r="A59" s="31" t="s">
        <v>2364</v>
      </c>
      <c r="B59" s="98" t="s">
        <v>130</v>
      </c>
      <c r="C59" s="504" t="s">
        <v>3350</v>
      </c>
      <c r="D59" s="42">
        <v>0</v>
      </c>
      <c r="E59" s="42">
        <v>62128.67</v>
      </c>
      <c r="F59" s="42">
        <v>729012.1</v>
      </c>
      <c r="G59" s="581">
        <f t="shared" si="1"/>
        <v>791140.77</v>
      </c>
      <c r="H59" s="33">
        <v>0</v>
      </c>
      <c r="I59" s="33">
        <v>0</v>
      </c>
      <c r="J59" s="33">
        <v>0</v>
      </c>
      <c r="K59" s="129">
        <f t="shared" si="3"/>
        <v>0</v>
      </c>
      <c r="L59" s="129">
        <f t="shared" si="4"/>
        <v>62128.67</v>
      </c>
      <c r="M59" s="129">
        <f t="shared" si="5"/>
        <v>729012.1</v>
      </c>
      <c r="N59" s="235">
        <f t="shared" si="2"/>
        <v>0</v>
      </c>
      <c r="O59" s="35" t="s">
        <v>3327</v>
      </c>
      <c r="P59" s="35"/>
      <c r="Q59" s="39">
        <f>SUMIF('Antelope Bailey Split BA'!$B$7:$B$29,B59,'Antelope Bailey Split BA'!$C$7:$C$29)</f>
        <v>0</v>
      </c>
      <c r="R59" s="39" t="str">
        <f>IF(AND(Q59=1,'Plant Total by Account'!$J$1=2),"EKWRA","")</f>
        <v/>
      </c>
    </row>
    <row r="60" spans="1:18" x14ac:dyDescent="0.2">
      <c r="A60" s="31" t="s">
        <v>2660</v>
      </c>
      <c r="B60" s="32" t="s">
        <v>171</v>
      </c>
      <c r="C60" s="504" t="s">
        <v>3350</v>
      </c>
      <c r="D60" s="42">
        <v>0</v>
      </c>
      <c r="E60" s="42">
        <v>0</v>
      </c>
      <c r="F60" s="42">
        <v>34024.180000000008</v>
      </c>
      <c r="G60" s="581">
        <f t="shared" si="1"/>
        <v>34024.180000000008</v>
      </c>
      <c r="H60" s="33">
        <v>0</v>
      </c>
      <c r="I60" s="33">
        <v>0</v>
      </c>
      <c r="J60" s="33">
        <v>0</v>
      </c>
      <c r="K60" s="33">
        <f t="shared" si="3"/>
        <v>0</v>
      </c>
      <c r="L60" s="33">
        <f t="shared" si="4"/>
        <v>0</v>
      </c>
      <c r="M60" s="33">
        <f t="shared" si="5"/>
        <v>34024.180000000008</v>
      </c>
      <c r="N60" s="235">
        <f t="shared" si="2"/>
        <v>0</v>
      </c>
      <c r="O60" s="35" t="s">
        <v>3327</v>
      </c>
      <c r="P60" s="35"/>
      <c r="Q60" s="39">
        <f>SUMIF('Antelope Bailey Split BA'!$B$7:$B$29,B60,'Antelope Bailey Split BA'!$C$7:$C$29)</f>
        <v>0</v>
      </c>
      <c r="R60" s="39" t="str">
        <f>IF(AND(Q60=1,'Plant Total by Account'!$J$1=2),"EKWRA","")</f>
        <v/>
      </c>
    </row>
    <row r="61" spans="1:18" x14ac:dyDescent="0.2">
      <c r="A61" s="31" t="s">
        <v>2371</v>
      </c>
      <c r="B61" s="97" t="s">
        <v>1135</v>
      </c>
      <c r="C61" s="504" t="s">
        <v>3349</v>
      </c>
      <c r="D61" s="42">
        <v>0</v>
      </c>
      <c r="E61" s="42">
        <v>23654.560000000001</v>
      </c>
      <c r="F61" s="42">
        <v>0</v>
      </c>
      <c r="G61" s="581">
        <f t="shared" si="1"/>
        <v>23654.560000000001</v>
      </c>
      <c r="H61" s="33">
        <v>0</v>
      </c>
      <c r="I61" s="33">
        <v>0</v>
      </c>
      <c r="J61" s="33">
        <v>0</v>
      </c>
      <c r="K61" s="33">
        <f t="shared" si="3"/>
        <v>0</v>
      </c>
      <c r="L61" s="33">
        <f t="shared" si="4"/>
        <v>23654.560000000001</v>
      </c>
      <c r="M61" s="33">
        <f t="shared" si="5"/>
        <v>0</v>
      </c>
      <c r="N61" s="235">
        <f t="shared" si="2"/>
        <v>0</v>
      </c>
      <c r="O61" s="35" t="s">
        <v>3327</v>
      </c>
      <c r="P61" s="35"/>
      <c r="Q61" s="39">
        <f>SUMIF('Antelope Bailey Split BA'!$B$7:$B$29,B61,'Antelope Bailey Split BA'!$C$7:$C$29)</f>
        <v>0</v>
      </c>
      <c r="R61" s="39" t="str">
        <f>IF(AND(Q61=1,'Plant Total by Account'!$J$1=2),"EKWRA","")</f>
        <v/>
      </c>
    </row>
    <row r="62" spans="1:18" x14ac:dyDescent="0.2">
      <c r="A62" s="31" t="s">
        <v>2378</v>
      </c>
      <c r="B62" s="36" t="s">
        <v>1143</v>
      </c>
      <c r="C62" s="504" t="s">
        <v>3350</v>
      </c>
      <c r="D62" s="42">
        <v>0</v>
      </c>
      <c r="E62" s="42">
        <v>72202.430000000008</v>
      </c>
      <c r="F62" s="42">
        <v>19007.55</v>
      </c>
      <c r="G62" s="581">
        <f t="shared" si="1"/>
        <v>91209.98000000001</v>
      </c>
      <c r="H62" s="33">
        <v>0</v>
      </c>
      <c r="I62" s="33">
        <v>0</v>
      </c>
      <c r="J62" s="33">
        <v>0</v>
      </c>
      <c r="K62" s="129">
        <f t="shared" si="3"/>
        <v>0</v>
      </c>
      <c r="L62" s="129">
        <f t="shared" si="4"/>
        <v>72202.430000000008</v>
      </c>
      <c r="M62" s="129">
        <f t="shared" si="5"/>
        <v>19007.55</v>
      </c>
      <c r="N62" s="235">
        <f t="shared" si="2"/>
        <v>0</v>
      </c>
      <c r="O62" s="35" t="s">
        <v>3327</v>
      </c>
      <c r="P62" s="35"/>
      <c r="Q62" s="39">
        <f>SUMIF('Antelope Bailey Split BA'!$B$7:$B$29,B62,'Antelope Bailey Split BA'!$C$7:$C$29)</f>
        <v>0</v>
      </c>
      <c r="R62" s="39" t="str">
        <f>IF(AND(Q62=1,'Plant Total by Account'!$J$1=2),"EKWRA","")</f>
        <v/>
      </c>
    </row>
    <row r="63" spans="1:18" x14ac:dyDescent="0.2">
      <c r="A63" s="309" t="s">
        <v>2379</v>
      </c>
      <c r="B63" s="98" t="s">
        <v>1144</v>
      </c>
      <c r="C63" s="504" t="s">
        <v>3350</v>
      </c>
      <c r="D63" s="42">
        <v>0</v>
      </c>
      <c r="E63" s="42">
        <v>0</v>
      </c>
      <c r="F63" s="42">
        <v>343944.12</v>
      </c>
      <c r="G63" s="581">
        <f t="shared" si="1"/>
        <v>343944.12</v>
      </c>
      <c r="H63" s="33">
        <v>0</v>
      </c>
      <c r="I63" s="33">
        <v>0</v>
      </c>
      <c r="J63" s="33">
        <v>0</v>
      </c>
      <c r="K63" s="129">
        <f t="shared" si="3"/>
        <v>0</v>
      </c>
      <c r="L63" s="129">
        <f t="shared" si="4"/>
        <v>0</v>
      </c>
      <c r="M63" s="129">
        <f t="shared" si="5"/>
        <v>343944.12</v>
      </c>
      <c r="N63" s="235">
        <f t="shared" si="2"/>
        <v>0</v>
      </c>
      <c r="O63" s="35" t="s">
        <v>3327</v>
      </c>
      <c r="P63" s="35"/>
      <c r="Q63" s="39">
        <f>SUMIF('Antelope Bailey Split BA'!$B$7:$B$29,B63,'Antelope Bailey Split BA'!$C$7:$C$29)</f>
        <v>0</v>
      </c>
      <c r="R63" s="39" t="str">
        <f>IF(AND(Q63=1,'Plant Total by Account'!$J$1=2),"EKWRA","")</f>
        <v/>
      </c>
    </row>
    <row r="64" spans="1:18" ht="12.75" customHeight="1" x14ac:dyDescent="0.2">
      <c r="A64" s="31" t="s">
        <v>2382</v>
      </c>
      <c r="B64" s="97" t="s">
        <v>172</v>
      </c>
      <c r="C64" s="504" t="s">
        <v>3350</v>
      </c>
      <c r="D64" s="42">
        <v>0</v>
      </c>
      <c r="E64" s="42">
        <v>155.52000000000001</v>
      </c>
      <c r="F64" s="42">
        <v>3382.35</v>
      </c>
      <c r="G64" s="582">
        <f>SUM(D64:F64)</f>
        <v>3537.87</v>
      </c>
      <c r="H64" s="33">
        <v>0</v>
      </c>
      <c r="I64" s="33">
        <v>0</v>
      </c>
      <c r="J64" s="33">
        <v>0</v>
      </c>
      <c r="K64" s="129">
        <f>D64</f>
        <v>0</v>
      </c>
      <c r="L64" s="129">
        <f>E64</f>
        <v>155.52000000000001</v>
      </c>
      <c r="M64" s="129">
        <f>F64</f>
        <v>3382.35</v>
      </c>
      <c r="N64" s="235">
        <f>G64-SUM(H64:M64)</f>
        <v>0</v>
      </c>
      <c r="O64" s="35" t="s">
        <v>3327</v>
      </c>
      <c r="P64" s="35"/>
      <c r="Q64" s="39">
        <f>SUMIF('Antelope Bailey Split BA'!$B$7:$B$29,B64,'Antelope Bailey Split BA'!$C$7:$C$29)</f>
        <v>0</v>
      </c>
      <c r="R64" s="39" t="str">
        <f>IF(AND(Q64=1,'Plant Total by Account'!$J$1=2),"EKWRA","")</f>
        <v/>
      </c>
    </row>
    <row r="65" spans="1:18" x14ac:dyDescent="0.2">
      <c r="A65" s="31" t="s">
        <v>2383</v>
      </c>
      <c r="B65" s="98" t="s">
        <v>1147</v>
      </c>
      <c r="C65" s="504" t="s">
        <v>3350</v>
      </c>
      <c r="D65" s="42">
        <v>0</v>
      </c>
      <c r="E65" s="42">
        <v>0</v>
      </c>
      <c r="F65" s="42">
        <v>22250.95</v>
      </c>
      <c r="G65" s="581">
        <f t="shared" si="1"/>
        <v>22250.95</v>
      </c>
      <c r="H65" s="33">
        <v>0</v>
      </c>
      <c r="I65" s="33">
        <v>0</v>
      </c>
      <c r="J65" s="33">
        <v>0</v>
      </c>
      <c r="K65" s="129">
        <f t="shared" si="3"/>
        <v>0</v>
      </c>
      <c r="L65" s="129">
        <f t="shared" si="4"/>
        <v>0</v>
      </c>
      <c r="M65" s="129">
        <f t="shared" si="5"/>
        <v>22250.95</v>
      </c>
      <c r="N65" s="235">
        <f t="shared" si="2"/>
        <v>0</v>
      </c>
      <c r="O65" s="35" t="s">
        <v>3327</v>
      </c>
      <c r="P65" s="35"/>
      <c r="Q65" s="39">
        <f>SUMIF('Antelope Bailey Split BA'!$B$7:$B$29,B65,'Antelope Bailey Split BA'!$C$7:$C$29)</f>
        <v>0</v>
      </c>
      <c r="R65" s="39" t="str">
        <f>IF(AND(Q65=1,'Plant Total by Account'!$J$1=2),"EKWRA","")</f>
        <v/>
      </c>
    </row>
    <row r="66" spans="1:18" x14ac:dyDescent="0.2">
      <c r="A66" s="31" t="s">
        <v>2384</v>
      </c>
      <c r="B66" s="35" t="s">
        <v>1148</v>
      </c>
      <c r="C66" s="504" t="s">
        <v>3349</v>
      </c>
      <c r="D66" s="42">
        <v>0</v>
      </c>
      <c r="E66" s="42">
        <v>95180.950000000012</v>
      </c>
      <c r="F66" s="42">
        <v>0</v>
      </c>
      <c r="G66" s="581">
        <f t="shared" si="1"/>
        <v>95180.950000000012</v>
      </c>
      <c r="H66" s="33">
        <v>0</v>
      </c>
      <c r="I66" s="33">
        <v>0</v>
      </c>
      <c r="J66" s="33">
        <v>0</v>
      </c>
      <c r="K66" s="33">
        <f t="shared" si="3"/>
        <v>0</v>
      </c>
      <c r="L66" s="33">
        <f t="shared" si="4"/>
        <v>95180.950000000012</v>
      </c>
      <c r="M66" s="33">
        <f t="shared" si="5"/>
        <v>0</v>
      </c>
      <c r="N66" s="235">
        <f t="shared" si="2"/>
        <v>0</v>
      </c>
      <c r="O66" s="35" t="s">
        <v>3327</v>
      </c>
      <c r="P66" s="35"/>
      <c r="Q66" s="39">
        <f>SUMIF('Antelope Bailey Split BA'!$B$7:$B$29,B66,'Antelope Bailey Split BA'!$C$7:$C$29)</f>
        <v>0</v>
      </c>
      <c r="R66" s="39" t="str">
        <f>IF(AND(Q66=1,'Plant Total by Account'!$J$1=2),"EKWRA","")</f>
        <v/>
      </c>
    </row>
    <row r="67" spans="1:18" x14ac:dyDescent="0.2">
      <c r="A67" s="31" t="s">
        <v>2387</v>
      </c>
      <c r="B67" s="98" t="s">
        <v>173</v>
      </c>
      <c r="C67" s="504" t="s">
        <v>3350</v>
      </c>
      <c r="D67" s="42">
        <v>0</v>
      </c>
      <c r="E67" s="42">
        <v>454915.78</v>
      </c>
      <c r="F67" s="42">
        <v>34273.07</v>
      </c>
      <c r="G67" s="581">
        <f t="shared" si="1"/>
        <v>489188.85000000003</v>
      </c>
      <c r="H67" s="33">
        <v>0</v>
      </c>
      <c r="I67" s="33">
        <v>0</v>
      </c>
      <c r="J67" s="33">
        <v>0</v>
      </c>
      <c r="K67" s="129">
        <f t="shared" si="3"/>
        <v>0</v>
      </c>
      <c r="L67" s="129">
        <f t="shared" si="4"/>
        <v>454915.78</v>
      </c>
      <c r="M67" s="129">
        <f t="shared" si="5"/>
        <v>34273.07</v>
      </c>
      <c r="N67" s="235">
        <f t="shared" si="2"/>
        <v>0</v>
      </c>
      <c r="O67" s="35" t="s">
        <v>3327</v>
      </c>
      <c r="P67" s="35"/>
      <c r="Q67" s="39">
        <f>SUMIF('Antelope Bailey Split BA'!$B$7:$B$29,B67,'Antelope Bailey Split BA'!$C$7:$C$29)</f>
        <v>0</v>
      </c>
      <c r="R67" s="39" t="str">
        <f>IF(AND(Q67=1,'Plant Total by Account'!$J$1=2),"EKWRA","")</f>
        <v/>
      </c>
    </row>
    <row r="68" spans="1:18" x14ac:dyDescent="0.2">
      <c r="A68" s="31" t="s">
        <v>2390</v>
      </c>
      <c r="B68" s="97" t="s">
        <v>1153</v>
      </c>
      <c r="C68" s="504" t="s">
        <v>3349</v>
      </c>
      <c r="D68" s="42">
        <v>0</v>
      </c>
      <c r="E68" s="42">
        <v>0</v>
      </c>
      <c r="F68" s="42">
        <v>4588278.9499999993</v>
      </c>
      <c r="G68" s="581">
        <f t="shared" si="1"/>
        <v>4588278.9499999993</v>
      </c>
      <c r="H68" s="33">
        <v>0</v>
      </c>
      <c r="I68" s="33">
        <v>0</v>
      </c>
      <c r="J68" s="33">
        <v>0</v>
      </c>
      <c r="K68" s="129">
        <f t="shared" si="3"/>
        <v>0</v>
      </c>
      <c r="L68" s="129">
        <f t="shared" si="4"/>
        <v>0</v>
      </c>
      <c r="M68" s="129">
        <f t="shared" si="5"/>
        <v>4588278.9499999993</v>
      </c>
      <c r="N68" s="235">
        <f t="shared" si="2"/>
        <v>0</v>
      </c>
      <c r="O68" s="35" t="s">
        <v>3327</v>
      </c>
      <c r="P68" s="35"/>
      <c r="Q68" s="39">
        <f>SUMIF('Antelope Bailey Split BA'!$B$7:$B$29,B68,'Antelope Bailey Split BA'!$C$7:$C$29)</f>
        <v>0</v>
      </c>
      <c r="R68" s="39" t="str">
        <f>IF(AND(Q68=1,'Plant Total by Account'!$J$1=2),"EKWRA","")</f>
        <v/>
      </c>
    </row>
    <row r="69" spans="1:18" x14ac:dyDescent="0.2">
      <c r="A69" s="31" t="s">
        <v>2392</v>
      </c>
      <c r="B69" s="36" t="s">
        <v>174</v>
      </c>
      <c r="C69" s="504" t="s">
        <v>3349</v>
      </c>
      <c r="D69" s="127">
        <v>0</v>
      </c>
      <c r="E69" s="127">
        <v>0</v>
      </c>
      <c r="F69" s="126">
        <v>-0.16</v>
      </c>
      <c r="G69" s="582">
        <f t="shared" si="1"/>
        <v>-0.16</v>
      </c>
      <c r="H69" s="33">
        <v>0</v>
      </c>
      <c r="I69" s="33">
        <v>0</v>
      </c>
      <c r="J69" s="33">
        <v>0</v>
      </c>
      <c r="K69" s="129">
        <f t="shared" si="3"/>
        <v>0</v>
      </c>
      <c r="L69" s="129">
        <f t="shared" si="4"/>
        <v>0</v>
      </c>
      <c r="M69" s="321">
        <f t="shared" si="5"/>
        <v>-0.16</v>
      </c>
      <c r="N69" s="235">
        <f t="shared" si="2"/>
        <v>0</v>
      </c>
      <c r="O69" s="35" t="s">
        <v>3327</v>
      </c>
      <c r="P69" s="35"/>
      <c r="Q69" s="39">
        <f>SUMIF('Antelope Bailey Split BA'!$B$7:$B$29,B69,'Antelope Bailey Split BA'!$C$7:$C$29)</f>
        <v>0</v>
      </c>
      <c r="R69" s="39" t="str">
        <f>IF(AND(Q69=1,'Plant Total by Account'!$J$1=2),"EKWRA","")</f>
        <v/>
      </c>
    </row>
    <row r="70" spans="1:18" x14ac:dyDescent="0.2">
      <c r="A70" s="31" t="s">
        <v>2661</v>
      </c>
      <c r="B70" s="18" t="s">
        <v>1402</v>
      </c>
      <c r="C70" s="504" t="s">
        <v>3349</v>
      </c>
      <c r="D70" s="42">
        <v>0</v>
      </c>
      <c r="E70" s="42">
        <v>0</v>
      </c>
      <c r="F70" s="42">
        <v>2838417.43</v>
      </c>
      <c r="G70" s="581">
        <f t="shared" si="1"/>
        <v>2838417.43</v>
      </c>
      <c r="H70" s="33">
        <v>0</v>
      </c>
      <c r="I70" s="33">
        <v>0</v>
      </c>
      <c r="J70" s="33">
        <v>0</v>
      </c>
      <c r="K70" s="129">
        <f t="shared" si="3"/>
        <v>0</v>
      </c>
      <c r="L70" s="129">
        <f t="shared" si="4"/>
        <v>0</v>
      </c>
      <c r="M70" s="129">
        <f t="shared" si="5"/>
        <v>2838417.43</v>
      </c>
      <c r="N70" s="235">
        <f t="shared" si="2"/>
        <v>0</v>
      </c>
      <c r="O70" s="35" t="s">
        <v>3327</v>
      </c>
      <c r="P70" s="35"/>
      <c r="Q70" s="39">
        <f>SUMIF('Antelope Bailey Split BA'!$B$7:$B$29,B70,'Antelope Bailey Split BA'!$C$7:$C$29)</f>
        <v>0</v>
      </c>
      <c r="R70" s="39" t="str">
        <f>IF(AND(Q70=1,'Plant Total by Account'!$J$1=2),"EKWRA","")</f>
        <v/>
      </c>
    </row>
    <row r="71" spans="1:18" x14ac:dyDescent="0.2">
      <c r="A71" s="31" t="s">
        <v>2395</v>
      </c>
      <c r="B71" s="32" t="s">
        <v>1157</v>
      </c>
      <c r="C71" s="504" t="s">
        <v>3350</v>
      </c>
      <c r="D71" s="42">
        <v>0</v>
      </c>
      <c r="E71" s="42">
        <v>7569.9800000000005</v>
      </c>
      <c r="F71" s="42">
        <v>0</v>
      </c>
      <c r="G71" s="581">
        <f t="shared" si="1"/>
        <v>7569.9800000000005</v>
      </c>
      <c r="H71" s="33">
        <v>0</v>
      </c>
      <c r="I71" s="33">
        <v>0</v>
      </c>
      <c r="J71" s="33">
        <v>0</v>
      </c>
      <c r="K71" s="129">
        <f t="shared" si="3"/>
        <v>0</v>
      </c>
      <c r="L71" s="129">
        <f t="shared" si="4"/>
        <v>7569.9800000000005</v>
      </c>
      <c r="M71" s="129">
        <f t="shared" si="5"/>
        <v>0</v>
      </c>
      <c r="N71" s="235">
        <f t="shared" si="2"/>
        <v>0</v>
      </c>
      <c r="O71" s="35" t="s">
        <v>3327</v>
      </c>
      <c r="P71" s="35"/>
      <c r="Q71" s="39">
        <f>SUMIF('Antelope Bailey Split BA'!$B$7:$B$29,B71,'Antelope Bailey Split BA'!$C$7:$C$29)</f>
        <v>0</v>
      </c>
      <c r="R71" s="39" t="str">
        <f>IF(AND(Q71=1,'Plant Total by Account'!$J$1=2),"EKWRA","")</f>
        <v/>
      </c>
    </row>
    <row r="72" spans="1:18" x14ac:dyDescent="0.2">
      <c r="A72" s="31" t="s">
        <v>2400</v>
      </c>
      <c r="B72" s="98" t="s">
        <v>176</v>
      </c>
      <c r="C72" s="504" t="s">
        <v>3350</v>
      </c>
      <c r="D72" s="42">
        <v>0</v>
      </c>
      <c r="E72" s="42">
        <v>13260.78</v>
      </c>
      <c r="F72" s="42">
        <v>0</v>
      </c>
      <c r="G72" s="581">
        <f t="shared" si="1"/>
        <v>13260.78</v>
      </c>
      <c r="H72" s="33">
        <v>0</v>
      </c>
      <c r="I72" s="33">
        <v>0</v>
      </c>
      <c r="J72" s="33">
        <v>0</v>
      </c>
      <c r="K72" s="129">
        <f t="shared" si="3"/>
        <v>0</v>
      </c>
      <c r="L72" s="129">
        <f t="shared" si="4"/>
        <v>13260.78</v>
      </c>
      <c r="M72" s="129">
        <f t="shared" si="5"/>
        <v>0</v>
      </c>
      <c r="N72" s="235">
        <f t="shared" si="2"/>
        <v>0</v>
      </c>
      <c r="O72" s="35" t="s">
        <v>3327</v>
      </c>
      <c r="P72" s="35"/>
      <c r="Q72" s="39">
        <f>SUMIF('Antelope Bailey Split BA'!$B$7:$B$29,B72,'Antelope Bailey Split BA'!$C$7:$C$29)</f>
        <v>0</v>
      </c>
      <c r="R72" s="39" t="str">
        <f>IF(AND(Q72=1,'Plant Total by Account'!$J$1=2),"EKWRA","")</f>
        <v/>
      </c>
    </row>
    <row r="73" spans="1:18" x14ac:dyDescent="0.2">
      <c r="A73" s="31" t="s">
        <v>2401</v>
      </c>
      <c r="B73" s="97" t="s">
        <v>177</v>
      </c>
      <c r="C73" s="504" t="s">
        <v>3350</v>
      </c>
      <c r="D73" s="42">
        <v>0</v>
      </c>
      <c r="E73" s="42">
        <v>61293.96</v>
      </c>
      <c r="F73" s="42">
        <v>0</v>
      </c>
      <c r="G73" s="581">
        <f t="shared" si="1"/>
        <v>61293.96</v>
      </c>
      <c r="H73" s="33">
        <v>0</v>
      </c>
      <c r="I73" s="33">
        <v>0</v>
      </c>
      <c r="J73" s="33">
        <v>0</v>
      </c>
      <c r="K73" s="129">
        <f t="shared" si="3"/>
        <v>0</v>
      </c>
      <c r="L73" s="129">
        <f t="shared" si="4"/>
        <v>61293.96</v>
      </c>
      <c r="M73" s="129">
        <f t="shared" si="5"/>
        <v>0</v>
      </c>
      <c r="N73" s="235">
        <f t="shared" si="2"/>
        <v>0</v>
      </c>
      <c r="O73" s="35" t="s">
        <v>3327</v>
      </c>
      <c r="P73" s="35"/>
      <c r="Q73" s="39">
        <f>SUMIF('Antelope Bailey Split BA'!$B$7:$B$29,B73,'Antelope Bailey Split BA'!$C$7:$C$29)</f>
        <v>0</v>
      </c>
      <c r="R73" s="39" t="str">
        <f>IF(AND(Q73=1,'Plant Total by Account'!$J$1=2),"EKWRA","")</f>
        <v/>
      </c>
    </row>
    <row r="74" spans="1:18" x14ac:dyDescent="0.2">
      <c r="A74" s="31" t="s">
        <v>108</v>
      </c>
      <c r="B74" s="32" t="s">
        <v>1161</v>
      </c>
      <c r="C74" s="504" t="s">
        <v>3350</v>
      </c>
      <c r="D74" s="42">
        <v>0</v>
      </c>
      <c r="E74" s="42">
        <v>0</v>
      </c>
      <c r="F74" s="42">
        <v>649973.86</v>
      </c>
      <c r="G74" s="581">
        <f t="shared" si="1"/>
        <v>649973.86</v>
      </c>
      <c r="H74" s="33">
        <v>0</v>
      </c>
      <c r="I74" s="33">
        <v>0</v>
      </c>
      <c r="J74" s="33">
        <v>0</v>
      </c>
      <c r="K74" s="129">
        <f t="shared" si="3"/>
        <v>0</v>
      </c>
      <c r="L74" s="129">
        <f t="shared" si="4"/>
        <v>0</v>
      </c>
      <c r="M74" s="129">
        <f t="shared" si="5"/>
        <v>649973.86</v>
      </c>
      <c r="N74" s="235">
        <f t="shared" si="2"/>
        <v>0</v>
      </c>
      <c r="O74" s="35" t="s">
        <v>3327</v>
      </c>
      <c r="P74" s="35"/>
      <c r="Q74" s="39">
        <f>SUMIF('Antelope Bailey Split BA'!$B$7:$B$29,B74,'Antelope Bailey Split BA'!$C$7:$C$29)</f>
        <v>0</v>
      </c>
      <c r="R74" s="39" t="str">
        <f>IF(AND(Q74=1,'Plant Total by Account'!$J$1=2),"EKWRA","")</f>
        <v/>
      </c>
    </row>
    <row r="75" spans="1:18" x14ac:dyDescent="0.2">
      <c r="A75" s="31" t="s">
        <v>2402</v>
      </c>
      <c r="B75" s="36" t="s">
        <v>178</v>
      </c>
      <c r="C75" s="504" t="s">
        <v>3350</v>
      </c>
      <c r="D75" s="42">
        <v>0</v>
      </c>
      <c r="E75" s="42">
        <v>0</v>
      </c>
      <c r="F75" s="42">
        <v>169.09</v>
      </c>
      <c r="G75" s="581">
        <f t="shared" si="1"/>
        <v>169.09</v>
      </c>
      <c r="H75" s="33">
        <v>0</v>
      </c>
      <c r="I75" s="33">
        <v>0</v>
      </c>
      <c r="J75" s="33">
        <v>0</v>
      </c>
      <c r="K75" s="129">
        <f t="shared" si="3"/>
        <v>0</v>
      </c>
      <c r="L75" s="129">
        <f t="shared" si="4"/>
        <v>0</v>
      </c>
      <c r="M75" s="129">
        <f t="shared" si="5"/>
        <v>169.09</v>
      </c>
      <c r="N75" s="235">
        <f t="shared" si="2"/>
        <v>0</v>
      </c>
      <c r="O75" s="35" t="s">
        <v>3327</v>
      </c>
      <c r="P75" s="35"/>
      <c r="Q75" s="39">
        <f>SUMIF('Antelope Bailey Split BA'!$B$7:$B$29,B75,'Antelope Bailey Split BA'!$C$7:$C$29)</f>
        <v>0</v>
      </c>
      <c r="R75" s="39" t="str">
        <f>IF(AND(Q75=1,'Plant Total by Account'!$J$1=2),"EKWRA","")</f>
        <v/>
      </c>
    </row>
    <row r="76" spans="1:18" x14ac:dyDescent="0.2">
      <c r="A76" s="31" t="s">
        <v>118</v>
      </c>
      <c r="B76" s="36" t="s">
        <v>1341</v>
      </c>
      <c r="C76" s="504" t="s">
        <v>3353</v>
      </c>
      <c r="D76" s="125">
        <v>0</v>
      </c>
      <c r="E76" s="125">
        <v>220256.26</v>
      </c>
      <c r="F76" s="125">
        <v>5770503.6499999994</v>
      </c>
      <c r="G76" s="581">
        <f t="shared" ref="G76:G139" si="6">SUM(D76:F76)</f>
        <v>5990759.9099999992</v>
      </c>
      <c r="H76" s="33">
        <v>0</v>
      </c>
      <c r="I76" s="33">
        <v>0</v>
      </c>
      <c r="J76" s="33">
        <v>0</v>
      </c>
      <c r="K76" s="129">
        <f t="shared" si="3"/>
        <v>0</v>
      </c>
      <c r="L76" s="129">
        <f t="shared" si="4"/>
        <v>220256.26</v>
      </c>
      <c r="M76" s="129">
        <f t="shared" si="5"/>
        <v>5770503.6499999994</v>
      </c>
      <c r="N76" s="235">
        <f t="shared" ref="N76:N139" si="7">G76-SUM(H76:M76)</f>
        <v>0</v>
      </c>
      <c r="O76" s="35" t="s">
        <v>3327</v>
      </c>
      <c r="P76" s="35"/>
      <c r="Q76" s="39">
        <f>SUMIF('Antelope Bailey Split BA'!$B$7:$B$29,B76,'Antelope Bailey Split BA'!$C$7:$C$29)</f>
        <v>0</v>
      </c>
      <c r="R76" s="39" t="str">
        <f>IF(AND(Q76=1,'Plant Total by Account'!$J$1=2),"EKWRA","")</f>
        <v/>
      </c>
    </row>
    <row r="77" spans="1:18" x14ac:dyDescent="0.2">
      <c r="A77" s="31" t="s">
        <v>2406</v>
      </c>
      <c r="B77" s="32" t="s">
        <v>1164</v>
      </c>
      <c r="C77" s="504" t="s">
        <v>3350</v>
      </c>
      <c r="D77" s="42">
        <v>0</v>
      </c>
      <c r="E77" s="42">
        <v>0</v>
      </c>
      <c r="F77" s="42">
        <v>16696.55</v>
      </c>
      <c r="G77" s="581">
        <f t="shared" si="6"/>
        <v>16696.55</v>
      </c>
      <c r="H77" s="33">
        <v>0</v>
      </c>
      <c r="I77" s="33">
        <v>0</v>
      </c>
      <c r="J77" s="33">
        <v>0</v>
      </c>
      <c r="K77" s="129">
        <f t="shared" si="3"/>
        <v>0</v>
      </c>
      <c r="L77" s="129">
        <f t="shared" si="4"/>
        <v>0</v>
      </c>
      <c r="M77" s="129">
        <f t="shared" si="5"/>
        <v>16696.55</v>
      </c>
      <c r="N77" s="235">
        <f t="shared" si="7"/>
        <v>0</v>
      </c>
      <c r="O77" s="35" t="s">
        <v>3327</v>
      </c>
      <c r="P77" s="35"/>
      <c r="Q77" s="39">
        <f>SUMIF('Antelope Bailey Split BA'!$B$7:$B$29,B77,'Antelope Bailey Split BA'!$C$7:$C$29)</f>
        <v>0</v>
      </c>
      <c r="R77" s="39" t="str">
        <f>IF(AND(Q77=1,'Plant Total by Account'!$J$1=2),"EKWRA","")</f>
        <v/>
      </c>
    </row>
    <row r="78" spans="1:18" x14ac:dyDescent="0.2">
      <c r="A78" s="31" t="s">
        <v>2408</v>
      </c>
      <c r="B78" s="98" t="s">
        <v>1166</v>
      </c>
      <c r="C78" s="504" t="s">
        <v>3349</v>
      </c>
      <c r="D78" s="42">
        <v>0</v>
      </c>
      <c r="E78" s="42">
        <v>0</v>
      </c>
      <c r="F78" s="42">
        <v>26595.450000000004</v>
      </c>
      <c r="G78" s="581">
        <f t="shared" si="6"/>
        <v>26595.450000000004</v>
      </c>
      <c r="H78" s="33">
        <v>0</v>
      </c>
      <c r="I78" s="33">
        <v>0</v>
      </c>
      <c r="J78" s="33">
        <v>0</v>
      </c>
      <c r="K78" s="33">
        <f t="shared" si="3"/>
        <v>0</v>
      </c>
      <c r="L78" s="33">
        <f t="shared" si="4"/>
        <v>0</v>
      </c>
      <c r="M78" s="33">
        <f t="shared" si="5"/>
        <v>26595.450000000004</v>
      </c>
      <c r="N78" s="235">
        <f t="shared" si="7"/>
        <v>0</v>
      </c>
      <c r="O78" s="35" t="s">
        <v>3327</v>
      </c>
      <c r="P78" s="35"/>
      <c r="Q78" s="39">
        <f>SUMIF('Antelope Bailey Split BA'!$B$7:$B$29,B78,'Antelope Bailey Split BA'!$C$7:$C$29)</f>
        <v>0</v>
      </c>
      <c r="R78" s="39" t="str">
        <f>IF(AND(Q78=1,'Plant Total by Account'!$J$1=2),"EKWRA","")</f>
        <v/>
      </c>
    </row>
    <row r="79" spans="1:18" x14ac:dyDescent="0.2">
      <c r="A79" s="31" t="s">
        <v>2414</v>
      </c>
      <c r="B79" s="36" t="s">
        <v>179</v>
      </c>
      <c r="C79" s="505" t="s">
        <v>3350</v>
      </c>
      <c r="D79" s="42">
        <v>0</v>
      </c>
      <c r="E79" s="42">
        <v>0</v>
      </c>
      <c r="F79" s="42">
        <v>264.82</v>
      </c>
      <c r="G79" s="581">
        <f t="shared" si="6"/>
        <v>264.82</v>
      </c>
      <c r="H79" s="33">
        <v>0</v>
      </c>
      <c r="I79" s="33">
        <v>0</v>
      </c>
      <c r="J79" s="33">
        <v>0</v>
      </c>
      <c r="K79" s="129">
        <f t="shared" si="3"/>
        <v>0</v>
      </c>
      <c r="L79" s="129">
        <f t="shared" si="4"/>
        <v>0</v>
      </c>
      <c r="M79" s="129">
        <f t="shared" si="5"/>
        <v>264.82</v>
      </c>
      <c r="N79" s="235">
        <f t="shared" si="7"/>
        <v>0</v>
      </c>
      <c r="O79" s="35" t="s">
        <v>3327</v>
      </c>
      <c r="P79" s="35"/>
      <c r="Q79" s="39">
        <f>SUMIF('Antelope Bailey Split BA'!$B$7:$B$29,B79,'Antelope Bailey Split BA'!$C$7:$C$29)</f>
        <v>0</v>
      </c>
      <c r="R79" s="39" t="str">
        <f>IF(AND(Q79=1,'Plant Total by Account'!$J$1=2),"EKWRA","")</f>
        <v/>
      </c>
    </row>
    <row r="80" spans="1:18" x14ac:dyDescent="0.2">
      <c r="A80" s="31" t="s">
        <v>2642</v>
      </c>
      <c r="B80" s="98" t="s">
        <v>180</v>
      </c>
      <c r="C80" s="504"/>
      <c r="D80" s="42">
        <v>0</v>
      </c>
      <c r="E80" s="42">
        <v>194833.27000000002</v>
      </c>
      <c r="F80" s="42">
        <v>618308.97000000009</v>
      </c>
      <c r="G80" s="581">
        <f t="shared" si="6"/>
        <v>813142.24000000011</v>
      </c>
      <c r="H80" s="33">
        <v>0</v>
      </c>
      <c r="I80" s="33">
        <v>0</v>
      </c>
      <c r="J80" s="33">
        <v>0</v>
      </c>
      <c r="K80" s="33">
        <f t="shared" ref="K80:K143" si="8">D80</f>
        <v>0</v>
      </c>
      <c r="L80" s="33">
        <f t="shared" ref="L80:L143" si="9">E80</f>
        <v>194833.27000000002</v>
      </c>
      <c r="M80" s="33">
        <f t="shared" ref="M80:M143" si="10">F80</f>
        <v>618308.97000000009</v>
      </c>
      <c r="N80" s="235">
        <f t="shared" si="7"/>
        <v>0</v>
      </c>
      <c r="O80" s="35" t="s">
        <v>3327</v>
      </c>
      <c r="P80" s="35"/>
      <c r="Q80" s="39">
        <f>SUMIF('Antelope Bailey Split BA'!$B$7:$B$29,B80,'Antelope Bailey Split BA'!$C$7:$C$29)</f>
        <v>0</v>
      </c>
      <c r="R80" s="39" t="str">
        <f>IF(AND(Q80=1,'Plant Total by Account'!$J$1=2),"EKWRA","")</f>
        <v/>
      </c>
    </row>
    <row r="81" spans="1:18" x14ac:dyDescent="0.2">
      <c r="A81" s="31" t="s">
        <v>2415</v>
      </c>
      <c r="B81" s="35" t="s">
        <v>181</v>
      </c>
      <c r="C81" s="504" t="s">
        <v>3353</v>
      </c>
      <c r="D81" s="42">
        <v>90249.35</v>
      </c>
      <c r="E81" s="42">
        <v>235848.42999999996</v>
      </c>
      <c r="F81" s="42">
        <v>6086502.2499999944</v>
      </c>
      <c r="G81" s="581">
        <f t="shared" si="6"/>
        <v>6412600.0299999947</v>
      </c>
      <c r="H81" s="33">
        <v>0</v>
      </c>
      <c r="I81" s="33">
        <v>0</v>
      </c>
      <c r="J81" s="33">
        <v>0</v>
      </c>
      <c r="K81" s="33">
        <f t="shared" si="8"/>
        <v>90249.35</v>
      </c>
      <c r="L81" s="33">
        <f t="shared" si="9"/>
        <v>235848.42999999996</v>
      </c>
      <c r="M81" s="33">
        <f t="shared" si="10"/>
        <v>6086502.2499999944</v>
      </c>
      <c r="N81" s="235">
        <f t="shared" si="7"/>
        <v>0</v>
      </c>
      <c r="O81" s="35" t="s">
        <v>3327</v>
      </c>
      <c r="P81" s="35"/>
      <c r="Q81" s="39">
        <f>SUMIF('Antelope Bailey Split BA'!$B$7:$B$29,B81,'Antelope Bailey Split BA'!$C$7:$C$29)</f>
        <v>0</v>
      </c>
      <c r="R81" s="39" t="str">
        <f>IF(AND(Q81=1,'Plant Total by Account'!$J$1=2),"EKWRA","")</f>
        <v/>
      </c>
    </row>
    <row r="82" spans="1:18" x14ac:dyDescent="0.2">
      <c r="A82" s="31" t="s">
        <v>2662</v>
      </c>
      <c r="B82" s="36" t="s">
        <v>182</v>
      </c>
      <c r="C82" s="504" t="s">
        <v>3352</v>
      </c>
      <c r="D82" s="42">
        <v>4232.1499999999996</v>
      </c>
      <c r="E82" s="42">
        <v>53635.020000000004</v>
      </c>
      <c r="F82" s="42">
        <v>1343889.3599999996</v>
      </c>
      <c r="G82" s="581">
        <f t="shared" si="6"/>
        <v>1401756.5299999996</v>
      </c>
      <c r="H82" s="33">
        <v>0</v>
      </c>
      <c r="I82" s="33">
        <v>0</v>
      </c>
      <c r="J82" s="33">
        <v>0</v>
      </c>
      <c r="K82" s="33">
        <f t="shared" si="8"/>
        <v>4232.1499999999996</v>
      </c>
      <c r="L82" s="33">
        <f t="shared" si="9"/>
        <v>53635.020000000004</v>
      </c>
      <c r="M82" s="33">
        <f t="shared" si="10"/>
        <v>1343889.3599999996</v>
      </c>
      <c r="N82" s="235">
        <f t="shared" si="7"/>
        <v>0</v>
      </c>
      <c r="O82" s="35" t="s">
        <v>3327</v>
      </c>
      <c r="P82" s="35"/>
      <c r="Q82" s="39">
        <f>SUMIF('Antelope Bailey Split BA'!$B$7:$B$29,B82,'Antelope Bailey Split BA'!$C$7:$C$29)</f>
        <v>0</v>
      </c>
      <c r="R82" s="39" t="str">
        <f>IF(AND(Q82=1,'Plant Total by Account'!$J$1=2),"EKWRA","")</f>
        <v/>
      </c>
    </row>
    <row r="83" spans="1:18" x14ac:dyDescent="0.2">
      <c r="A83" s="31" t="s">
        <v>2663</v>
      </c>
      <c r="B83" s="36" t="s">
        <v>183</v>
      </c>
      <c r="C83" s="504" t="s">
        <v>3353</v>
      </c>
      <c r="D83" s="42">
        <v>0</v>
      </c>
      <c r="E83" s="42">
        <v>13227.37</v>
      </c>
      <c r="F83" s="42">
        <v>415697.08</v>
      </c>
      <c r="G83" s="581">
        <f t="shared" si="6"/>
        <v>428924.45</v>
      </c>
      <c r="H83" s="33">
        <v>0</v>
      </c>
      <c r="I83" s="33">
        <v>0</v>
      </c>
      <c r="J83" s="33">
        <v>0</v>
      </c>
      <c r="K83" s="33">
        <f t="shared" si="8"/>
        <v>0</v>
      </c>
      <c r="L83" s="33">
        <f t="shared" si="9"/>
        <v>13227.37</v>
      </c>
      <c r="M83" s="33">
        <f t="shared" si="10"/>
        <v>415697.08</v>
      </c>
      <c r="N83" s="235">
        <f t="shared" si="7"/>
        <v>0</v>
      </c>
      <c r="O83" s="35" t="s">
        <v>3327</v>
      </c>
      <c r="P83" s="35"/>
      <c r="Q83" s="39">
        <f>SUMIF('Antelope Bailey Split BA'!$B$7:$B$29,B83,'Antelope Bailey Split BA'!$C$7:$C$29)</f>
        <v>0</v>
      </c>
      <c r="R83" s="39" t="str">
        <f>IF(AND(Q83=1,'Plant Total by Account'!$J$1=2),"EKWRA","")</f>
        <v/>
      </c>
    </row>
    <row r="84" spans="1:18" collapsed="1" x14ac:dyDescent="0.2">
      <c r="A84" s="31" t="s">
        <v>2664</v>
      </c>
      <c r="B84" s="32" t="s">
        <v>184</v>
      </c>
      <c r="C84" s="504" t="s">
        <v>3352</v>
      </c>
      <c r="D84" s="42">
        <v>11584.400000000001</v>
      </c>
      <c r="E84" s="42">
        <v>71843.7</v>
      </c>
      <c r="F84" s="42">
        <v>1637090.3600000003</v>
      </c>
      <c r="G84" s="581">
        <f t="shared" si="6"/>
        <v>1720518.4600000004</v>
      </c>
      <c r="H84" s="33">
        <v>0</v>
      </c>
      <c r="I84" s="33">
        <v>0</v>
      </c>
      <c r="J84" s="33">
        <v>0</v>
      </c>
      <c r="K84" s="33">
        <f t="shared" si="8"/>
        <v>11584.400000000001</v>
      </c>
      <c r="L84" s="33">
        <f t="shared" si="9"/>
        <v>71843.7</v>
      </c>
      <c r="M84" s="33">
        <f t="shared" si="10"/>
        <v>1637090.3600000003</v>
      </c>
      <c r="N84" s="235">
        <f t="shared" si="7"/>
        <v>0</v>
      </c>
      <c r="O84" s="35" t="s">
        <v>3327</v>
      </c>
      <c r="P84" s="35"/>
      <c r="Q84" s="39">
        <f>SUMIF('Antelope Bailey Split BA'!$B$7:$B$29,B84,'Antelope Bailey Split BA'!$C$7:$C$29)</f>
        <v>0</v>
      </c>
      <c r="R84" s="39" t="str">
        <f>IF(AND(Q84=1,'Plant Total by Account'!$J$1=2),"EKWRA","")</f>
        <v/>
      </c>
    </row>
    <row r="85" spans="1:18" x14ac:dyDescent="0.2">
      <c r="A85" s="31" t="s">
        <v>2665</v>
      </c>
      <c r="B85" s="36" t="s">
        <v>185</v>
      </c>
      <c r="C85" s="504" t="s">
        <v>3353</v>
      </c>
      <c r="D85" s="42">
        <v>4391.43</v>
      </c>
      <c r="E85" s="42">
        <v>705921.09999999963</v>
      </c>
      <c r="F85" s="42">
        <v>6357150.5599999977</v>
      </c>
      <c r="G85" s="581">
        <f t="shared" si="6"/>
        <v>7067463.0899999971</v>
      </c>
      <c r="H85" s="33">
        <v>0</v>
      </c>
      <c r="I85" s="33">
        <v>0</v>
      </c>
      <c r="J85" s="33">
        <v>0</v>
      </c>
      <c r="K85" s="33">
        <f t="shared" si="8"/>
        <v>4391.43</v>
      </c>
      <c r="L85" s="33">
        <f t="shared" si="9"/>
        <v>705921.09999999963</v>
      </c>
      <c r="M85" s="33">
        <f t="shared" si="10"/>
        <v>6357150.5599999977</v>
      </c>
      <c r="N85" s="235">
        <f t="shared" si="7"/>
        <v>0</v>
      </c>
      <c r="O85" s="35" t="s">
        <v>3327</v>
      </c>
      <c r="P85" s="35"/>
      <c r="Q85" s="39">
        <f>SUMIF('Antelope Bailey Split BA'!$B$7:$B$29,B85,'Antelope Bailey Split BA'!$C$7:$C$29)</f>
        <v>0</v>
      </c>
      <c r="R85" s="39" t="str">
        <f>IF(AND(Q85=1,'Plant Total by Account'!$J$1=2),"EKWRA","")</f>
        <v/>
      </c>
    </row>
    <row r="86" spans="1:18" x14ac:dyDescent="0.2">
      <c r="A86" s="31" t="s">
        <v>2666</v>
      </c>
      <c r="B86" s="32" t="s">
        <v>186</v>
      </c>
      <c r="C86" s="504" t="s">
        <v>3353</v>
      </c>
      <c r="D86" s="42">
        <v>137667.15</v>
      </c>
      <c r="E86" s="42">
        <v>128821.23</v>
      </c>
      <c r="F86" s="42">
        <v>3775967.4099999992</v>
      </c>
      <c r="G86" s="581">
        <f t="shared" si="6"/>
        <v>4042455.7899999991</v>
      </c>
      <c r="H86" s="33">
        <v>0</v>
      </c>
      <c r="I86" s="33">
        <v>0</v>
      </c>
      <c r="J86" s="33">
        <v>0</v>
      </c>
      <c r="K86" s="33">
        <f t="shared" si="8"/>
        <v>137667.15</v>
      </c>
      <c r="L86" s="33">
        <f t="shared" si="9"/>
        <v>128821.23</v>
      </c>
      <c r="M86" s="33">
        <f t="shared" si="10"/>
        <v>3775967.4099999992</v>
      </c>
      <c r="N86" s="235">
        <f t="shared" si="7"/>
        <v>0</v>
      </c>
      <c r="O86" s="35" t="s">
        <v>3327</v>
      </c>
      <c r="P86" s="35"/>
      <c r="Q86" s="39">
        <f>SUMIF('Antelope Bailey Split BA'!$B$7:$B$29,B86,'Antelope Bailey Split BA'!$C$7:$C$29)</f>
        <v>0</v>
      </c>
      <c r="R86" s="39" t="str">
        <f>IF(AND(Q86=1,'Plant Total by Account'!$J$1=2),"EKWRA","")</f>
        <v/>
      </c>
    </row>
    <row r="87" spans="1:18" x14ac:dyDescent="0.2">
      <c r="A87" s="31" t="s">
        <v>2416</v>
      </c>
      <c r="B87" s="32" t="s">
        <v>187</v>
      </c>
      <c r="C87" s="504" t="s">
        <v>3353</v>
      </c>
      <c r="D87" s="42">
        <v>11615.19</v>
      </c>
      <c r="E87" s="42">
        <v>176845.04</v>
      </c>
      <c r="F87" s="42">
        <v>2798670.1500000013</v>
      </c>
      <c r="G87" s="581">
        <f t="shared" si="6"/>
        <v>2987130.3800000013</v>
      </c>
      <c r="H87" s="33">
        <v>0</v>
      </c>
      <c r="I87" s="33">
        <v>0</v>
      </c>
      <c r="J87" s="33">
        <v>0</v>
      </c>
      <c r="K87" s="33">
        <f t="shared" si="8"/>
        <v>11615.19</v>
      </c>
      <c r="L87" s="33">
        <f t="shared" si="9"/>
        <v>176845.04</v>
      </c>
      <c r="M87" s="33">
        <f t="shared" si="10"/>
        <v>2798670.1500000013</v>
      </c>
      <c r="N87" s="235">
        <f t="shared" si="7"/>
        <v>0</v>
      </c>
      <c r="O87" s="35" t="s">
        <v>3327</v>
      </c>
      <c r="P87" s="35"/>
      <c r="Q87" s="39">
        <f>SUMIF('Antelope Bailey Split BA'!$B$7:$B$29,B87,'Antelope Bailey Split BA'!$C$7:$C$29)</f>
        <v>0</v>
      </c>
      <c r="R87" s="39" t="str">
        <f>IF(AND(Q87=1,'Plant Total by Account'!$J$1=2),"EKWRA","")</f>
        <v/>
      </c>
    </row>
    <row r="88" spans="1:18" x14ac:dyDescent="0.2">
      <c r="A88" s="31" t="s">
        <v>2667</v>
      </c>
      <c r="B88" s="32" t="s">
        <v>188</v>
      </c>
      <c r="C88" s="504" t="s">
        <v>3353</v>
      </c>
      <c r="D88" s="42">
        <v>125485.63</v>
      </c>
      <c r="E88" s="42">
        <v>361924.69000000006</v>
      </c>
      <c r="F88" s="42">
        <v>2432224.8100000005</v>
      </c>
      <c r="G88" s="581">
        <f t="shared" si="6"/>
        <v>2919635.1300000008</v>
      </c>
      <c r="H88" s="33">
        <v>0</v>
      </c>
      <c r="I88" s="33">
        <v>0</v>
      </c>
      <c r="J88" s="33">
        <v>0</v>
      </c>
      <c r="K88" s="33">
        <f t="shared" si="8"/>
        <v>125485.63</v>
      </c>
      <c r="L88" s="33">
        <f t="shared" si="9"/>
        <v>361924.69000000006</v>
      </c>
      <c r="M88" s="33">
        <f t="shared" si="10"/>
        <v>2432224.8100000005</v>
      </c>
      <c r="N88" s="235">
        <f t="shared" si="7"/>
        <v>0</v>
      </c>
      <c r="O88" s="35" t="s">
        <v>3327</v>
      </c>
      <c r="P88" s="35"/>
      <c r="Q88" s="39">
        <f>SUMIF('Antelope Bailey Split BA'!$B$7:$B$29,B88,'Antelope Bailey Split BA'!$C$7:$C$29)</f>
        <v>0</v>
      </c>
      <c r="R88" s="39" t="str">
        <f>IF(AND(Q88=1,'Plant Total by Account'!$J$1=2),"EKWRA","")</f>
        <v/>
      </c>
    </row>
    <row r="89" spans="1:18" x14ac:dyDescent="0.2">
      <c r="A89" s="31" t="s">
        <v>2417</v>
      </c>
      <c r="B89" s="32" t="s">
        <v>189</v>
      </c>
      <c r="C89" s="504" t="s">
        <v>3352</v>
      </c>
      <c r="D89" s="42">
        <v>3031.9100000000003</v>
      </c>
      <c r="E89" s="42">
        <v>64327.529999999992</v>
      </c>
      <c r="F89" s="42">
        <v>1183584.3799999994</v>
      </c>
      <c r="G89" s="581">
        <f t="shared" si="6"/>
        <v>1250943.8199999994</v>
      </c>
      <c r="H89" s="33">
        <v>0</v>
      </c>
      <c r="I89" s="33">
        <v>0</v>
      </c>
      <c r="J89" s="33">
        <v>0</v>
      </c>
      <c r="K89" s="33">
        <f t="shared" si="8"/>
        <v>3031.9100000000003</v>
      </c>
      <c r="L89" s="33">
        <f t="shared" si="9"/>
        <v>64327.529999999992</v>
      </c>
      <c r="M89" s="33">
        <f t="shared" si="10"/>
        <v>1183584.3799999994</v>
      </c>
      <c r="N89" s="235">
        <f t="shared" si="7"/>
        <v>0</v>
      </c>
      <c r="O89" s="35" t="s">
        <v>3327</v>
      </c>
      <c r="P89" s="35"/>
      <c r="Q89" s="39">
        <f>SUMIF('Antelope Bailey Split BA'!$B$7:$B$29,B89,'Antelope Bailey Split BA'!$C$7:$C$29)</f>
        <v>0</v>
      </c>
      <c r="R89" s="39" t="str">
        <f>IF(AND(Q89=1,'Plant Total by Account'!$J$1=2),"EKWRA","")</f>
        <v/>
      </c>
    </row>
    <row r="90" spans="1:18" x14ac:dyDescent="0.2">
      <c r="A90" s="31" t="s">
        <v>2418</v>
      </c>
      <c r="B90" s="32" t="s">
        <v>190</v>
      </c>
      <c r="C90" s="504" t="s">
        <v>3353</v>
      </c>
      <c r="D90" s="42">
        <v>74632.87</v>
      </c>
      <c r="E90" s="42">
        <v>132774.71000000002</v>
      </c>
      <c r="F90" s="42">
        <v>1040484.9199999992</v>
      </c>
      <c r="G90" s="581">
        <f t="shared" si="6"/>
        <v>1247892.4999999993</v>
      </c>
      <c r="H90" s="33">
        <v>0</v>
      </c>
      <c r="I90" s="33">
        <v>0</v>
      </c>
      <c r="J90" s="33">
        <v>0</v>
      </c>
      <c r="K90" s="33">
        <f t="shared" si="8"/>
        <v>74632.87</v>
      </c>
      <c r="L90" s="33">
        <f t="shared" si="9"/>
        <v>132774.71000000002</v>
      </c>
      <c r="M90" s="33">
        <f t="shared" si="10"/>
        <v>1040484.9199999992</v>
      </c>
      <c r="N90" s="235">
        <f t="shared" si="7"/>
        <v>0</v>
      </c>
      <c r="O90" s="35" t="s">
        <v>3327</v>
      </c>
      <c r="P90" s="35"/>
      <c r="Q90" s="39">
        <f>SUMIF('Antelope Bailey Split BA'!$B$7:$B$29,B90,'Antelope Bailey Split BA'!$C$7:$C$29)</f>
        <v>0</v>
      </c>
      <c r="R90" s="39" t="str">
        <f>IF(AND(Q90=1,'Plant Total by Account'!$J$1=2),"EKWRA","")</f>
        <v/>
      </c>
    </row>
    <row r="91" spans="1:18" x14ac:dyDescent="0.2">
      <c r="A91" s="31" t="s">
        <v>2668</v>
      </c>
      <c r="B91" s="32" t="s">
        <v>191</v>
      </c>
      <c r="C91" s="504" t="s">
        <v>3353</v>
      </c>
      <c r="D91" s="42">
        <v>1653.96</v>
      </c>
      <c r="E91" s="42">
        <v>33215.130000000005</v>
      </c>
      <c r="F91" s="42">
        <v>64850.840000000004</v>
      </c>
      <c r="G91" s="581">
        <f t="shared" si="6"/>
        <v>99719.930000000008</v>
      </c>
      <c r="H91" s="33">
        <v>0</v>
      </c>
      <c r="I91" s="33">
        <v>0</v>
      </c>
      <c r="J91" s="33">
        <v>0</v>
      </c>
      <c r="K91" s="33">
        <f t="shared" si="8"/>
        <v>1653.96</v>
      </c>
      <c r="L91" s="33">
        <f t="shared" si="9"/>
        <v>33215.130000000005</v>
      </c>
      <c r="M91" s="33">
        <f t="shared" si="10"/>
        <v>64850.840000000004</v>
      </c>
      <c r="N91" s="235">
        <f t="shared" si="7"/>
        <v>0</v>
      </c>
      <c r="O91" s="35" t="s">
        <v>3327</v>
      </c>
      <c r="P91" s="35"/>
      <c r="Q91" s="39">
        <f>SUMIF('Antelope Bailey Split BA'!$B$7:$B$29,B91,'Antelope Bailey Split BA'!$C$7:$C$29)</f>
        <v>0</v>
      </c>
      <c r="R91" s="39" t="str">
        <f>IF(AND(Q91=1,'Plant Total by Account'!$J$1=2),"EKWRA","")</f>
        <v/>
      </c>
    </row>
    <row r="92" spans="1:18" x14ac:dyDescent="0.2">
      <c r="A92" s="31" t="s">
        <v>2669</v>
      </c>
      <c r="B92" s="32" t="s">
        <v>192</v>
      </c>
      <c r="C92" s="504" t="s">
        <v>3353</v>
      </c>
      <c r="D92" s="42">
        <v>0</v>
      </c>
      <c r="E92" s="42">
        <v>11561.789999999999</v>
      </c>
      <c r="F92" s="42">
        <v>258931.32999999996</v>
      </c>
      <c r="G92" s="581">
        <f t="shared" si="6"/>
        <v>270493.11999999994</v>
      </c>
      <c r="H92" s="33">
        <v>0</v>
      </c>
      <c r="I92" s="33">
        <v>0</v>
      </c>
      <c r="J92" s="33">
        <v>0</v>
      </c>
      <c r="K92" s="33">
        <f t="shared" si="8"/>
        <v>0</v>
      </c>
      <c r="L92" s="33">
        <f t="shared" si="9"/>
        <v>11561.789999999999</v>
      </c>
      <c r="M92" s="33">
        <f t="shared" si="10"/>
        <v>258931.32999999996</v>
      </c>
      <c r="N92" s="235">
        <f t="shared" si="7"/>
        <v>0</v>
      </c>
      <c r="O92" s="35" t="s">
        <v>3327</v>
      </c>
      <c r="P92" s="35"/>
      <c r="Q92" s="39">
        <f>SUMIF('Antelope Bailey Split BA'!$B$7:$B$29,B92,'Antelope Bailey Split BA'!$C$7:$C$29)</f>
        <v>0</v>
      </c>
      <c r="R92" s="39" t="str">
        <f>IF(AND(Q92=1,'Plant Total by Account'!$J$1=2),"EKWRA","")</f>
        <v/>
      </c>
    </row>
    <row r="93" spans="1:18" x14ac:dyDescent="0.2">
      <c r="A93" s="31" t="s">
        <v>2670</v>
      </c>
      <c r="B93" s="32" t="s">
        <v>193</v>
      </c>
      <c r="C93" s="504" t="s">
        <v>3352</v>
      </c>
      <c r="D93" s="42">
        <v>3369.59</v>
      </c>
      <c r="E93" s="42">
        <v>326842.56000000006</v>
      </c>
      <c r="F93" s="42">
        <v>1374255.0200000003</v>
      </c>
      <c r="G93" s="581">
        <f t="shared" si="6"/>
        <v>1704467.1700000004</v>
      </c>
      <c r="H93" s="33">
        <v>0</v>
      </c>
      <c r="I93" s="33">
        <v>0</v>
      </c>
      <c r="J93" s="33">
        <v>0</v>
      </c>
      <c r="K93" s="33">
        <f t="shared" si="8"/>
        <v>3369.59</v>
      </c>
      <c r="L93" s="33">
        <f t="shared" si="9"/>
        <v>326842.56000000006</v>
      </c>
      <c r="M93" s="33">
        <f t="shared" si="10"/>
        <v>1374255.0200000003</v>
      </c>
      <c r="N93" s="235">
        <f t="shared" si="7"/>
        <v>0</v>
      </c>
      <c r="O93" s="35" t="s">
        <v>3327</v>
      </c>
      <c r="P93" s="35"/>
      <c r="Q93" s="39">
        <f>SUMIF('Antelope Bailey Split BA'!$B$7:$B$29,B93,'Antelope Bailey Split BA'!$C$7:$C$29)</f>
        <v>0</v>
      </c>
      <c r="R93" s="39" t="str">
        <f>IF(AND(Q93=1,'Plant Total by Account'!$J$1=2),"EKWRA","")</f>
        <v/>
      </c>
    </row>
    <row r="94" spans="1:18" x14ac:dyDescent="0.2">
      <c r="A94" s="31" t="s">
        <v>2419</v>
      </c>
      <c r="B94" s="32" t="s">
        <v>194</v>
      </c>
      <c r="C94" s="504" t="s">
        <v>3353</v>
      </c>
      <c r="D94" s="42">
        <v>9300.68</v>
      </c>
      <c r="E94" s="42">
        <v>126749.70999999999</v>
      </c>
      <c r="F94" s="42">
        <v>2530640.6699999995</v>
      </c>
      <c r="G94" s="581">
        <f t="shared" si="6"/>
        <v>2666691.0599999996</v>
      </c>
      <c r="H94" s="33">
        <v>0</v>
      </c>
      <c r="I94" s="33">
        <v>0</v>
      </c>
      <c r="J94" s="33">
        <v>0</v>
      </c>
      <c r="K94" s="33">
        <f t="shared" si="8"/>
        <v>9300.68</v>
      </c>
      <c r="L94" s="33">
        <f t="shared" si="9"/>
        <v>126749.70999999999</v>
      </c>
      <c r="M94" s="33">
        <f t="shared" si="10"/>
        <v>2530640.6699999995</v>
      </c>
      <c r="N94" s="235">
        <f t="shared" si="7"/>
        <v>0</v>
      </c>
      <c r="O94" s="35" t="s">
        <v>3327</v>
      </c>
      <c r="P94" s="35"/>
      <c r="Q94" s="39">
        <f>SUMIF('Antelope Bailey Split BA'!$B$7:$B$29,B94,'Antelope Bailey Split BA'!$C$7:$C$29)</f>
        <v>0</v>
      </c>
      <c r="R94" s="39" t="str">
        <f>IF(AND(Q94=1,'Plant Total by Account'!$J$1=2),"EKWRA","")</f>
        <v/>
      </c>
    </row>
    <row r="95" spans="1:18" x14ac:dyDescent="0.2">
      <c r="A95" s="31" t="s">
        <v>2420</v>
      </c>
      <c r="B95" s="32" t="s">
        <v>195</v>
      </c>
      <c r="C95" s="504" t="s">
        <v>3353</v>
      </c>
      <c r="D95" s="42">
        <v>8707.4</v>
      </c>
      <c r="E95" s="42">
        <v>189844.08</v>
      </c>
      <c r="F95" s="42">
        <v>4113551.299999997</v>
      </c>
      <c r="G95" s="581">
        <f t="shared" si="6"/>
        <v>4312102.7799999975</v>
      </c>
      <c r="H95" s="33">
        <v>0</v>
      </c>
      <c r="I95" s="33">
        <v>0</v>
      </c>
      <c r="J95" s="33">
        <v>0</v>
      </c>
      <c r="K95" s="33">
        <f t="shared" si="8"/>
        <v>8707.4</v>
      </c>
      <c r="L95" s="33">
        <f t="shared" si="9"/>
        <v>189844.08</v>
      </c>
      <c r="M95" s="33">
        <f t="shared" si="10"/>
        <v>4113551.299999997</v>
      </c>
      <c r="N95" s="235">
        <f t="shared" si="7"/>
        <v>0</v>
      </c>
      <c r="O95" s="35" t="s">
        <v>3327</v>
      </c>
      <c r="P95" s="35"/>
      <c r="Q95" s="39">
        <f>SUMIF('Antelope Bailey Split BA'!$B$7:$B$29,B95,'Antelope Bailey Split BA'!$C$7:$C$29)</f>
        <v>0</v>
      </c>
      <c r="R95" s="39" t="str">
        <f>IF(AND(Q95=1,'Plant Total by Account'!$J$1=2),"EKWRA","")</f>
        <v/>
      </c>
    </row>
    <row r="96" spans="1:18" x14ac:dyDescent="0.2">
      <c r="A96" s="31" t="s">
        <v>2671</v>
      </c>
      <c r="B96" s="32" t="s">
        <v>196</v>
      </c>
      <c r="C96" s="504" t="s">
        <v>3353</v>
      </c>
      <c r="D96" s="42">
        <v>0</v>
      </c>
      <c r="E96" s="42">
        <v>24707.300000000003</v>
      </c>
      <c r="F96" s="42">
        <v>278854.56</v>
      </c>
      <c r="G96" s="581">
        <f t="shared" si="6"/>
        <v>303561.86</v>
      </c>
      <c r="H96" s="33">
        <v>0</v>
      </c>
      <c r="I96" s="33">
        <v>0</v>
      </c>
      <c r="J96" s="33">
        <v>0</v>
      </c>
      <c r="K96" s="33">
        <f t="shared" si="8"/>
        <v>0</v>
      </c>
      <c r="L96" s="33">
        <f t="shared" si="9"/>
        <v>24707.300000000003</v>
      </c>
      <c r="M96" s="33">
        <f t="shared" si="10"/>
        <v>278854.56</v>
      </c>
      <c r="N96" s="235">
        <f t="shared" si="7"/>
        <v>0</v>
      </c>
      <c r="O96" s="35" t="s">
        <v>3327</v>
      </c>
      <c r="P96" s="35"/>
      <c r="Q96" s="39">
        <f>SUMIF('Antelope Bailey Split BA'!$B$7:$B$29,B96,'Antelope Bailey Split BA'!$C$7:$C$29)</f>
        <v>0</v>
      </c>
      <c r="R96" s="39" t="str">
        <f>IF(AND(Q96=1,'Plant Total by Account'!$J$1=2),"EKWRA","")</f>
        <v/>
      </c>
    </row>
    <row r="97" spans="1:18" x14ac:dyDescent="0.2">
      <c r="A97" s="31" t="s">
        <v>2672</v>
      </c>
      <c r="B97" s="32" t="s">
        <v>197</v>
      </c>
      <c r="C97" s="504" t="s">
        <v>3353</v>
      </c>
      <c r="D97" s="42">
        <v>0</v>
      </c>
      <c r="E97" s="42">
        <v>17049.66</v>
      </c>
      <c r="F97" s="42">
        <v>925592.25</v>
      </c>
      <c r="G97" s="581">
        <f t="shared" si="6"/>
        <v>942641.91</v>
      </c>
      <c r="H97" s="33">
        <v>0</v>
      </c>
      <c r="I97" s="33">
        <v>0</v>
      </c>
      <c r="J97" s="33">
        <v>0</v>
      </c>
      <c r="K97" s="33">
        <f t="shared" si="8"/>
        <v>0</v>
      </c>
      <c r="L97" s="33">
        <f t="shared" si="9"/>
        <v>17049.66</v>
      </c>
      <c r="M97" s="33">
        <f t="shared" si="10"/>
        <v>925592.25</v>
      </c>
      <c r="N97" s="235">
        <f t="shared" si="7"/>
        <v>0</v>
      </c>
      <c r="O97" s="35" t="s">
        <v>3327</v>
      </c>
      <c r="P97" s="35"/>
      <c r="Q97" s="39">
        <f>SUMIF('Antelope Bailey Split BA'!$B$7:$B$29,B97,'Antelope Bailey Split BA'!$C$7:$C$29)</f>
        <v>0</v>
      </c>
      <c r="R97" s="39" t="str">
        <f>IF(AND(Q97=1,'Plant Total by Account'!$J$1=2),"EKWRA","")</f>
        <v/>
      </c>
    </row>
    <row r="98" spans="1:18" x14ac:dyDescent="0.2">
      <c r="A98" s="31" t="s">
        <v>2673</v>
      </c>
      <c r="B98" s="32" t="s">
        <v>198</v>
      </c>
      <c r="C98" s="504" t="s">
        <v>3353</v>
      </c>
      <c r="D98" s="42">
        <v>10256.59</v>
      </c>
      <c r="E98" s="42">
        <v>163126.31</v>
      </c>
      <c r="F98" s="42">
        <v>2107680.4499999993</v>
      </c>
      <c r="G98" s="581">
        <f t="shared" si="6"/>
        <v>2281063.3499999992</v>
      </c>
      <c r="H98" s="33">
        <v>0</v>
      </c>
      <c r="I98" s="33">
        <v>0</v>
      </c>
      <c r="J98" s="33">
        <v>0</v>
      </c>
      <c r="K98" s="33">
        <f t="shared" si="8"/>
        <v>10256.59</v>
      </c>
      <c r="L98" s="33">
        <f t="shared" si="9"/>
        <v>163126.31</v>
      </c>
      <c r="M98" s="33">
        <f t="shared" si="10"/>
        <v>2107680.4499999993</v>
      </c>
      <c r="N98" s="235">
        <f t="shared" si="7"/>
        <v>0</v>
      </c>
      <c r="O98" s="35" t="s">
        <v>3327</v>
      </c>
      <c r="P98" s="35"/>
      <c r="Q98" s="39">
        <f>SUMIF('Antelope Bailey Split BA'!$B$7:$B$29,B98,'Antelope Bailey Split BA'!$C$7:$C$29)</f>
        <v>0</v>
      </c>
      <c r="R98" s="39" t="str">
        <f>IF(AND(Q98=1,'Plant Total by Account'!$J$1=2),"EKWRA","")</f>
        <v/>
      </c>
    </row>
    <row r="99" spans="1:18" x14ac:dyDescent="0.2">
      <c r="A99" s="31" t="s">
        <v>2674</v>
      </c>
      <c r="B99" s="32" t="s">
        <v>199</v>
      </c>
      <c r="C99" s="504" t="s">
        <v>3352</v>
      </c>
      <c r="D99" s="42">
        <v>2181.62</v>
      </c>
      <c r="E99" s="42">
        <v>416034.94999999995</v>
      </c>
      <c r="F99" s="42">
        <v>1112003.7500000002</v>
      </c>
      <c r="G99" s="581">
        <f t="shared" si="6"/>
        <v>1530220.3200000003</v>
      </c>
      <c r="H99" s="33">
        <v>0</v>
      </c>
      <c r="I99" s="33">
        <v>0</v>
      </c>
      <c r="J99" s="33">
        <v>0</v>
      </c>
      <c r="K99" s="33">
        <f t="shared" si="8"/>
        <v>2181.62</v>
      </c>
      <c r="L99" s="33">
        <f t="shared" si="9"/>
        <v>416034.94999999995</v>
      </c>
      <c r="M99" s="33">
        <f t="shared" si="10"/>
        <v>1112003.7500000002</v>
      </c>
      <c r="N99" s="235">
        <f t="shared" si="7"/>
        <v>0</v>
      </c>
      <c r="O99" s="35" t="s">
        <v>3327</v>
      </c>
      <c r="P99" s="35"/>
      <c r="Q99" s="39">
        <f>SUMIF('Antelope Bailey Split BA'!$B$7:$B$29,B99,'Antelope Bailey Split BA'!$C$7:$C$29)</f>
        <v>0</v>
      </c>
      <c r="R99" s="39" t="str">
        <f>IF(AND(Q99=1,'Plant Total by Account'!$J$1=2),"EKWRA","")</f>
        <v/>
      </c>
    </row>
    <row r="100" spans="1:18" x14ac:dyDescent="0.2">
      <c r="A100" s="31" t="s">
        <v>2675</v>
      </c>
      <c r="B100" s="32" t="s">
        <v>200</v>
      </c>
      <c r="C100" s="504" t="s">
        <v>3353</v>
      </c>
      <c r="D100" s="42">
        <v>0</v>
      </c>
      <c r="E100" s="42">
        <v>23420.160000000003</v>
      </c>
      <c r="F100" s="42">
        <v>370890.2</v>
      </c>
      <c r="G100" s="581">
        <f t="shared" si="6"/>
        <v>394310.36</v>
      </c>
      <c r="H100" s="33">
        <v>0</v>
      </c>
      <c r="I100" s="33">
        <v>0</v>
      </c>
      <c r="J100" s="33">
        <v>0</v>
      </c>
      <c r="K100" s="33">
        <f t="shared" si="8"/>
        <v>0</v>
      </c>
      <c r="L100" s="33">
        <f t="shared" si="9"/>
        <v>23420.160000000003</v>
      </c>
      <c r="M100" s="33">
        <f t="shared" si="10"/>
        <v>370890.2</v>
      </c>
      <c r="N100" s="235">
        <f t="shared" si="7"/>
        <v>0</v>
      </c>
      <c r="O100" s="35" t="s">
        <v>3327</v>
      </c>
      <c r="P100" s="35"/>
      <c r="Q100" s="39">
        <f>SUMIF('Antelope Bailey Split BA'!$B$7:$B$29,B100,'Antelope Bailey Split BA'!$C$7:$C$29)</f>
        <v>0</v>
      </c>
      <c r="R100" s="39" t="str">
        <f>IF(AND(Q100=1,'Plant Total by Account'!$J$1=2),"EKWRA","")</f>
        <v/>
      </c>
    </row>
    <row r="101" spans="1:18" x14ac:dyDescent="0.2">
      <c r="A101" s="31" t="s">
        <v>2676</v>
      </c>
      <c r="B101" s="32" t="s">
        <v>201</v>
      </c>
      <c r="C101" s="504" t="s">
        <v>3352</v>
      </c>
      <c r="D101" s="42">
        <v>4592.9000000000005</v>
      </c>
      <c r="E101" s="42">
        <v>44905.5</v>
      </c>
      <c r="F101" s="42">
        <v>3288476.1700000009</v>
      </c>
      <c r="G101" s="581">
        <f t="shared" si="6"/>
        <v>3337974.5700000008</v>
      </c>
      <c r="H101" s="33">
        <v>0</v>
      </c>
      <c r="I101" s="33">
        <v>0</v>
      </c>
      <c r="J101" s="33">
        <v>0</v>
      </c>
      <c r="K101" s="33">
        <f t="shared" si="8"/>
        <v>4592.9000000000005</v>
      </c>
      <c r="L101" s="33">
        <f t="shared" si="9"/>
        <v>44905.5</v>
      </c>
      <c r="M101" s="33">
        <f t="shared" si="10"/>
        <v>3288476.1700000009</v>
      </c>
      <c r="N101" s="235">
        <f t="shared" si="7"/>
        <v>0</v>
      </c>
      <c r="O101" s="35" t="s">
        <v>3327</v>
      </c>
      <c r="P101" s="35"/>
      <c r="Q101" s="39">
        <f>SUMIF('Antelope Bailey Split BA'!$B$7:$B$29,B101,'Antelope Bailey Split BA'!$C$7:$C$29)</f>
        <v>0</v>
      </c>
      <c r="R101" s="39" t="str">
        <f>IF(AND(Q101=1,'Plant Total by Account'!$J$1=2),"EKWRA","")</f>
        <v/>
      </c>
    </row>
    <row r="102" spans="1:18" x14ac:dyDescent="0.2">
      <c r="A102" s="31" t="s">
        <v>2677</v>
      </c>
      <c r="B102" s="32" t="s">
        <v>202</v>
      </c>
      <c r="C102" s="504" t="s">
        <v>3353</v>
      </c>
      <c r="D102" s="42">
        <v>0</v>
      </c>
      <c r="E102" s="42">
        <v>0</v>
      </c>
      <c r="F102" s="42">
        <v>21866.97</v>
      </c>
      <c r="G102" s="581">
        <f t="shared" si="6"/>
        <v>21866.97</v>
      </c>
      <c r="H102" s="33">
        <v>0</v>
      </c>
      <c r="I102" s="33">
        <v>0</v>
      </c>
      <c r="J102" s="33">
        <v>0</v>
      </c>
      <c r="K102" s="33">
        <f t="shared" si="8"/>
        <v>0</v>
      </c>
      <c r="L102" s="33">
        <f t="shared" si="9"/>
        <v>0</v>
      </c>
      <c r="M102" s="33">
        <f t="shared" si="10"/>
        <v>21866.97</v>
      </c>
      <c r="N102" s="235">
        <f t="shared" si="7"/>
        <v>0</v>
      </c>
      <c r="O102" s="35" t="s">
        <v>3327</v>
      </c>
      <c r="P102" s="35"/>
      <c r="Q102" s="39">
        <f>SUMIF('Antelope Bailey Split BA'!$B$7:$B$29,B102,'Antelope Bailey Split BA'!$C$7:$C$29)</f>
        <v>0</v>
      </c>
      <c r="R102" s="39" t="str">
        <f>IF(AND(Q102=1,'Plant Total by Account'!$J$1=2),"EKWRA","")</f>
        <v/>
      </c>
    </row>
    <row r="103" spans="1:18" x14ac:dyDescent="0.2">
      <c r="A103" s="31" t="s">
        <v>2678</v>
      </c>
      <c r="B103" s="32" t="s">
        <v>203</v>
      </c>
      <c r="C103" s="504" t="s">
        <v>3353</v>
      </c>
      <c r="D103" s="42">
        <v>0</v>
      </c>
      <c r="E103" s="42">
        <v>0</v>
      </c>
      <c r="F103" s="42">
        <v>684026.67999999993</v>
      </c>
      <c r="G103" s="581">
        <f t="shared" si="6"/>
        <v>684026.67999999993</v>
      </c>
      <c r="H103" s="33">
        <v>0</v>
      </c>
      <c r="I103" s="33">
        <v>0</v>
      </c>
      <c r="J103" s="33">
        <v>0</v>
      </c>
      <c r="K103" s="33">
        <f t="shared" si="8"/>
        <v>0</v>
      </c>
      <c r="L103" s="33">
        <f t="shared" si="9"/>
        <v>0</v>
      </c>
      <c r="M103" s="33">
        <f t="shared" si="10"/>
        <v>684026.67999999993</v>
      </c>
      <c r="N103" s="235">
        <f t="shared" si="7"/>
        <v>0</v>
      </c>
      <c r="O103" s="35" t="s">
        <v>3327</v>
      </c>
      <c r="P103" s="35"/>
      <c r="Q103" s="39">
        <f>SUMIF('Antelope Bailey Split BA'!$B$7:$B$29,B103,'Antelope Bailey Split BA'!$C$7:$C$29)</f>
        <v>0</v>
      </c>
      <c r="R103" s="39" t="str">
        <f>IF(AND(Q103=1,'Plant Total by Account'!$J$1=2),"EKWRA","")</f>
        <v/>
      </c>
    </row>
    <row r="104" spans="1:18" x14ac:dyDescent="0.2">
      <c r="A104" s="31" t="s">
        <v>2679</v>
      </c>
      <c r="B104" s="36" t="s">
        <v>204</v>
      </c>
      <c r="C104" s="504" t="s">
        <v>3353</v>
      </c>
      <c r="D104" s="42">
        <v>0</v>
      </c>
      <c r="E104" s="42">
        <v>11741.550000000001</v>
      </c>
      <c r="F104" s="42">
        <v>514420.91</v>
      </c>
      <c r="G104" s="581">
        <f t="shared" si="6"/>
        <v>526162.46</v>
      </c>
      <c r="H104" s="33">
        <v>0</v>
      </c>
      <c r="I104" s="33">
        <v>0</v>
      </c>
      <c r="J104" s="33">
        <v>0</v>
      </c>
      <c r="K104" s="33">
        <f t="shared" si="8"/>
        <v>0</v>
      </c>
      <c r="L104" s="33">
        <f t="shared" si="9"/>
        <v>11741.550000000001</v>
      </c>
      <c r="M104" s="33">
        <f t="shared" si="10"/>
        <v>514420.91</v>
      </c>
      <c r="N104" s="235">
        <f t="shared" si="7"/>
        <v>0</v>
      </c>
      <c r="O104" s="35" t="s">
        <v>3327</v>
      </c>
      <c r="P104" s="35"/>
      <c r="Q104" s="39">
        <f>SUMIF('Antelope Bailey Split BA'!$B$7:$B$29,B104,'Antelope Bailey Split BA'!$C$7:$C$29)</f>
        <v>0</v>
      </c>
      <c r="R104" s="39" t="str">
        <f>IF(AND(Q104=1,'Plant Total by Account'!$J$1=2),"EKWRA","")</f>
        <v/>
      </c>
    </row>
    <row r="105" spans="1:18" x14ac:dyDescent="0.2">
      <c r="A105" s="31" t="s">
        <v>2680</v>
      </c>
      <c r="B105" s="36" t="s">
        <v>205</v>
      </c>
      <c r="C105" s="504" t="s">
        <v>3353</v>
      </c>
      <c r="D105" s="42">
        <v>0</v>
      </c>
      <c r="E105" s="42">
        <v>376764.99</v>
      </c>
      <c r="F105" s="42">
        <v>3300849.6300000018</v>
      </c>
      <c r="G105" s="581">
        <f t="shared" si="6"/>
        <v>3677614.620000002</v>
      </c>
      <c r="H105" s="33">
        <v>0</v>
      </c>
      <c r="I105" s="33">
        <v>0</v>
      </c>
      <c r="J105" s="33">
        <v>0</v>
      </c>
      <c r="K105" s="33">
        <f t="shared" si="8"/>
        <v>0</v>
      </c>
      <c r="L105" s="33">
        <f t="shared" si="9"/>
        <v>376764.99</v>
      </c>
      <c r="M105" s="33">
        <f t="shared" si="10"/>
        <v>3300849.6300000018</v>
      </c>
      <c r="N105" s="235">
        <f t="shared" si="7"/>
        <v>0</v>
      </c>
      <c r="O105" s="35" t="s">
        <v>3327</v>
      </c>
      <c r="P105" s="35"/>
      <c r="Q105" s="39">
        <f>SUMIF('Antelope Bailey Split BA'!$B$7:$B$29,B105,'Antelope Bailey Split BA'!$C$7:$C$29)</f>
        <v>0</v>
      </c>
      <c r="R105" s="39" t="str">
        <f>IF(AND(Q105=1,'Plant Total by Account'!$J$1=2),"EKWRA","")</f>
        <v/>
      </c>
    </row>
    <row r="106" spans="1:18" x14ac:dyDescent="0.2">
      <c r="A106" s="31" t="s">
        <v>2681</v>
      </c>
      <c r="B106" s="32" t="s">
        <v>206</v>
      </c>
      <c r="C106" s="504" t="s">
        <v>3353</v>
      </c>
      <c r="D106" s="42">
        <v>0</v>
      </c>
      <c r="E106" s="42">
        <v>9728.6</v>
      </c>
      <c r="F106" s="42">
        <v>1028990.74</v>
      </c>
      <c r="G106" s="581">
        <f t="shared" si="6"/>
        <v>1038719.34</v>
      </c>
      <c r="H106" s="33">
        <v>0</v>
      </c>
      <c r="I106" s="33">
        <v>0</v>
      </c>
      <c r="J106" s="33">
        <v>0</v>
      </c>
      <c r="K106" s="33">
        <f t="shared" si="8"/>
        <v>0</v>
      </c>
      <c r="L106" s="33">
        <f t="shared" si="9"/>
        <v>9728.6</v>
      </c>
      <c r="M106" s="33">
        <f t="shared" si="10"/>
        <v>1028990.74</v>
      </c>
      <c r="N106" s="235">
        <f t="shared" si="7"/>
        <v>0</v>
      </c>
      <c r="O106" s="35" t="s">
        <v>3327</v>
      </c>
      <c r="P106" s="35"/>
      <c r="Q106" s="39">
        <f>SUMIF('Antelope Bailey Split BA'!$B$7:$B$29,B106,'Antelope Bailey Split BA'!$C$7:$C$29)</f>
        <v>0</v>
      </c>
      <c r="R106" s="39" t="str">
        <f>IF(AND(Q106=1,'Plant Total by Account'!$J$1=2),"EKWRA","")</f>
        <v/>
      </c>
    </row>
    <row r="107" spans="1:18" x14ac:dyDescent="0.2">
      <c r="A107" s="31" t="s">
        <v>2682</v>
      </c>
      <c r="B107" s="32" t="s">
        <v>207</v>
      </c>
      <c r="C107" s="504" t="s">
        <v>3353</v>
      </c>
      <c r="D107" s="42">
        <v>0</v>
      </c>
      <c r="E107" s="42">
        <v>3613.4300000000003</v>
      </c>
      <c r="F107" s="42">
        <v>1280174.8300000003</v>
      </c>
      <c r="G107" s="581">
        <f t="shared" si="6"/>
        <v>1283788.2600000002</v>
      </c>
      <c r="H107" s="33">
        <v>0</v>
      </c>
      <c r="I107" s="33">
        <v>0</v>
      </c>
      <c r="J107" s="33">
        <v>0</v>
      </c>
      <c r="K107" s="33">
        <f t="shared" si="8"/>
        <v>0</v>
      </c>
      <c r="L107" s="33">
        <f t="shared" si="9"/>
        <v>3613.4300000000003</v>
      </c>
      <c r="M107" s="33">
        <f t="shared" si="10"/>
        <v>1280174.8300000003</v>
      </c>
      <c r="N107" s="235">
        <f t="shared" si="7"/>
        <v>0</v>
      </c>
      <c r="O107" s="35" t="s">
        <v>3327</v>
      </c>
      <c r="P107" s="35"/>
      <c r="Q107" s="39">
        <f>SUMIF('Antelope Bailey Split BA'!$B$7:$B$29,B107,'Antelope Bailey Split BA'!$C$7:$C$29)</f>
        <v>0</v>
      </c>
      <c r="R107" s="39" t="str">
        <f>IF(AND(Q107=1,'Plant Total by Account'!$J$1=2),"EKWRA","")</f>
        <v/>
      </c>
    </row>
    <row r="108" spans="1:18" x14ac:dyDescent="0.2">
      <c r="A108" s="31" t="s">
        <v>2683</v>
      </c>
      <c r="B108" s="32" t="s">
        <v>208</v>
      </c>
      <c r="C108" s="504" t="s">
        <v>3352</v>
      </c>
      <c r="D108" s="42">
        <v>5711.62</v>
      </c>
      <c r="E108" s="42">
        <v>35931.050000000003</v>
      </c>
      <c r="F108" s="42">
        <v>1597623.9299999981</v>
      </c>
      <c r="G108" s="581">
        <f t="shared" si="6"/>
        <v>1639266.599999998</v>
      </c>
      <c r="H108" s="33">
        <v>0</v>
      </c>
      <c r="I108" s="33">
        <v>0</v>
      </c>
      <c r="J108" s="33">
        <v>0</v>
      </c>
      <c r="K108" s="33">
        <f t="shared" si="8"/>
        <v>5711.62</v>
      </c>
      <c r="L108" s="33">
        <f t="shared" si="9"/>
        <v>35931.050000000003</v>
      </c>
      <c r="M108" s="33">
        <f t="shared" si="10"/>
        <v>1597623.9299999981</v>
      </c>
      <c r="N108" s="235">
        <f t="shared" si="7"/>
        <v>0</v>
      </c>
      <c r="O108" s="35" t="s">
        <v>3327</v>
      </c>
      <c r="P108" s="35"/>
      <c r="Q108" s="39">
        <f>SUMIF('Antelope Bailey Split BA'!$B$7:$B$29,B108,'Antelope Bailey Split BA'!$C$7:$C$29)</f>
        <v>0</v>
      </c>
      <c r="R108" s="39" t="str">
        <f>IF(AND(Q108=1,'Plant Total by Account'!$J$1=2),"EKWRA","")</f>
        <v/>
      </c>
    </row>
    <row r="109" spans="1:18" x14ac:dyDescent="0.2">
      <c r="A109" s="31" t="s">
        <v>2421</v>
      </c>
      <c r="B109" s="32" t="s">
        <v>209</v>
      </c>
      <c r="C109" s="504" t="s">
        <v>3352</v>
      </c>
      <c r="D109" s="42">
        <v>966.4</v>
      </c>
      <c r="E109" s="42">
        <v>31522.09</v>
      </c>
      <c r="F109" s="42">
        <v>1466708.24</v>
      </c>
      <c r="G109" s="581">
        <f t="shared" si="6"/>
        <v>1499196.73</v>
      </c>
      <c r="H109" s="33">
        <v>0</v>
      </c>
      <c r="I109" s="33">
        <v>0</v>
      </c>
      <c r="J109" s="33">
        <v>0</v>
      </c>
      <c r="K109" s="33">
        <f t="shared" si="8"/>
        <v>966.4</v>
      </c>
      <c r="L109" s="33">
        <f t="shared" si="9"/>
        <v>31522.09</v>
      </c>
      <c r="M109" s="33">
        <f t="shared" si="10"/>
        <v>1466708.24</v>
      </c>
      <c r="N109" s="235">
        <f t="shared" si="7"/>
        <v>0</v>
      </c>
      <c r="O109" s="35" t="s">
        <v>3327</v>
      </c>
      <c r="P109" s="35"/>
      <c r="Q109" s="39">
        <f>SUMIF('Antelope Bailey Split BA'!$B$7:$B$29,B109,'Antelope Bailey Split BA'!$C$7:$C$29)</f>
        <v>0</v>
      </c>
      <c r="R109" s="39" t="str">
        <f>IF(AND(Q109=1,'Plant Total by Account'!$J$1=2),"EKWRA","")</f>
        <v/>
      </c>
    </row>
    <row r="110" spans="1:18" x14ac:dyDescent="0.2">
      <c r="A110" s="31" t="s">
        <v>2684</v>
      </c>
      <c r="B110" s="32" t="s">
        <v>210</v>
      </c>
      <c r="C110" s="504" t="s">
        <v>3352</v>
      </c>
      <c r="D110" s="42">
        <v>1868.42</v>
      </c>
      <c r="E110" s="42">
        <v>36545.949999999997</v>
      </c>
      <c r="F110" s="42">
        <v>414119.27999999991</v>
      </c>
      <c r="G110" s="581">
        <f t="shared" si="6"/>
        <v>452533.64999999991</v>
      </c>
      <c r="H110" s="33">
        <v>0</v>
      </c>
      <c r="I110" s="33">
        <v>0</v>
      </c>
      <c r="J110" s="33">
        <v>0</v>
      </c>
      <c r="K110" s="33">
        <f t="shared" si="8"/>
        <v>1868.42</v>
      </c>
      <c r="L110" s="33">
        <f t="shared" si="9"/>
        <v>36545.949999999997</v>
      </c>
      <c r="M110" s="33">
        <f t="shared" si="10"/>
        <v>414119.27999999991</v>
      </c>
      <c r="N110" s="235">
        <f t="shared" si="7"/>
        <v>0</v>
      </c>
      <c r="O110" s="35" t="s">
        <v>3327</v>
      </c>
      <c r="P110" s="35"/>
      <c r="Q110" s="39">
        <f>SUMIF('Antelope Bailey Split BA'!$B$7:$B$29,B110,'Antelope Bailey Split BA'!$C$7:$C$29)</f>
        <v>0</v>
      </c>
      <c r="R110" s="39" t="str">
        <f>IF(AND(Q110=1,'Plant Total by Account'!$J$1=2),"EKWRA","")</f>
        <v/>
      </c>
    </row>
    <row r="111" spans="1:18" x14ac:dyDescent="0.2">
      <c r="A111" s="31" t="s">
        <v>2685</v>
      </c>
      <c r="B111" s="32" t="s">
        <v>211</v>
      </c>
      <c r="C111" s="504" t="s">
        <v>3353</v>
      </c>
      <c r="D111" s="42">
        <v>16471.079999999998</v>
      </c>
      <c r="E111" s="42">
        <v>196025.86000000004</v>
      </c>
      <c r="F111" s="42">
        <v>2607998.9299999992</v>
      </c>
      <c r="G111" s="581">
        <f t="shared" si="6"/>
        <v>2820495.8699999992</v>
      </c>
      <c r="H111" s="33">
        <v>0</v>
      </c>
      <c r="I111" s="33">
        <v>0</v>
      </c>
      <c r="J111" s="33">
        <v>0</v>
      </c>
      <c r="K111" s="33">
        <f t="shared" si="8"/>
        <v>16471.079999999998</v>
      </c>
      <c r="L111" s="33">
        <f t="shared" si="9"/>
        <v>196025.86000000004</v>
      </c>
      <c r="M111" s="33">
        <f t="shared" si="10"/>
        <v>2607998.9299999992</v>
      </c>
      <c r="N111" s="235">
        <f t="shared" si="7"/>
        <v>0</v>
      </c>
      <c r="O111" s="35" t="s">
        <v>3327</v>
      </c>
      <c r="P111" s="35"/>
      <c r="Q111" s="39">
        <f>SUMIF('Antelope Bailey Split BA'!$B$7:$B$29,B111,'Antelope Bailey Split BA'!$C$7:$C$29)</f>
        <v>0</v>
      </c>
      <c r="R111" s="39" t="str">
        <f>IF(AND(Q111=1,'Plant Total by Account'!$J$1=2),"EKWRA","")</f>
        <v/>
      </c>
    </row>
    <row r="112" spans="1:18" x14ac:dyDescent="0.2">
      <c r="A112" s="31" t="s">
        <v>2686</v>
      </c>
      <c r="B112" s="32" t="s">
        <v>2687</v>
      </c>
      <c r="C112" s="504"/>
      <c r="D112" s="42">
        <v>0</v>
      </c>
      <c r="E112" s="42">
        <v>16142.849999999999</v>
      </c>
      <c r="F112" s="42">
        <v>0</v>
      </c>
      <c r="G112" s="581">
        <f t="shared" si="6"/>
        <v>16142.849999999999</v>
      </c>
      <c r="H112" s="33">
        <v>0</v>
      </c>
      <c r="I112" s="33">
        <v>0</v>
      </c>
      <c r="J112" s="33">
        <v>0</v>
      </c>
      <c r="K112" s="33">
        <f t="shared" si="8"/>
        <v>0</v>
      </c>
      <c r="L112" s="33">
        <f t="shared" si="9"/>
        <v>16142.849999999999</v>
      </c>
      <c r="M112" s="33">
        <f t="shared" si="10"/>
        <v>0</v>
      </c>
      <c r="N112" s="235">
        <f t="shared" si="7"/>
        <v>0</v>
      </c>
      <c r="O112" s="35" t="s">
        <v>3327</v>
      </c>
      <c r="P112" s="35"/>
      <c r="Q112" s="39">
        <f>SUMIF('Antelope Bailey Split BA'!$B$7:$B$29,B112,'Antelope Bailey Split BA'!$C$7:$C$29)</f>
        <v>0</v>
      </c>
      <c r="R112" s="39" t="str">
        <f>IF(AND(Q112=1,'Plant Total by Account'!$J$1=2),"EKWRA","")</f>
        <v/>
      </c>
    </row>
    <row r="113" spans="1:18" x14ac:dyDescent="0.2">
      <c r="A113" s="31" t="s">
        <v>2688</v>
      </c>
      <c r="B113" s="32" t="s">
        <v>212</v>
      </c>
      <c r="C113" s="504" t="s">
        <v>3353</v>
      </c>
      <c r="D113" s="42">
        <v>2142.87</v>
      </c>
      <c r="E113" s="42">
        <v>188877.12</v>
      </c>
      <c r="F113" s="42">
        <v>1467204.4200000011</v>
      </c>
      <c r="G113" s="581">
        <f t="shared" si="6"/>
        <v>1658224.4100000011</v>
      </c>
      <c r="H113" s="33">
        <v>0</v>
      </c>
      <c r="I113" s="33">
        <v>0</v>
      </c>
      <c r="J113" s="33">
        <v>0</v>
      </c>
      <c r="K113" s="33">
        <f t="shared" si="8"/>
        <v>2142.87</v>
      </c>
      <c r="L113" s="33">
        <f t="shared" si="9"/>
        <v>188877.12</v>
      </c>
      <c r="M113" s="33">
        <f t="shared" si="10"/>
        <v>1467204.4200000011</v>
      </c>
      <c r="N113" s="235">
        <f t="shared" si="7"/>
        <v>0</v>
      </c>
      <c r="O113" s="35" t="s">
        <v>3327</v>
      </c>
      <c r="P113" s="35"/>
      <c r="Q113" s="39">
        <f>SUMIF('Antelope Bailey Split BA'!$B$7:$B$29,B113,'Antelope Bailey Split BA'!$C$7:$C$29)</f>
        <v>0</v>
      </c>
      <c r="R113" s="39" t="str">
        <f>IF(AND(Q113=1,'Plant Total by Account'!$J$1=2),"EKWRA","")</f>
        <v/>
      </c>
    </row>
    <row r="114" spans="1:18" x14ac:dyDescent="0.2">
      <c r="A114" s="31" t="s">
        <v>2689</v>
      </c>
      <c r="B114" s="32" t="s">
        <v>213</v>
      </c>
      <c r="C114" s="504" t="s">
        <v>3353</v>
      </c>
      <c r="D114" s="42">
        <v>246411.62</v>
      </c>
      <c r="E114" s="42">
        <v>123270.47</v>
      </c>
      <c r="F114" s="42">
        <v>2502141.4200000023</v>
      </c>
      <c r="G114" s="581">
        <f t="shared" si="6"/>
        <v>2871823.5100000021</v>
      </c>
      <c r="H114" s="33">
        <v>0</v>
      </c>
      <c r="I114" s="33">
        <v>0</v>
      </c>
      <c r="J114" s="33">
        <v>0</v>
      </c>
      <c r="K114" s="33">
        <f t="shared" si="8"/>
        <v>246411.62</v>
      </c>
      <c r="L114" s="33">
        <f t="shared" si="9"/>
        <v>123270.47</v>
      </c>
      <c r="M114" s="33">
        <f t="shared" si="10"/>
        <v>2502141.4200000023</v>
      </c>
      <c r="N114" s="235">
        <f t="shared" si="7"/>
        <v>0</v>
      </c>
      <c r="O114" s="35" t="s">
        <v>3327</v>
      </c>
      <c r="P114" s="35"/>
      <c r="Q114" s="39">
        <f>SUMIF('Antelope Bailey Split BA'!$B$7:$B$29,B114,'Antelope Bailey Split BA'!$C$7:$C$29)</f>
        <v>0</v>
      </c>
      <c r="R114" s="39" t="str">
        <f>IF(AND(Q114=1,'Plant Total by Account'!$J$1=2),"EKWRA","")</f>
        <v/>
      </c>
    </row>
    <row r="115" spans="1:18" x14ac:dyDescent="0.2">
      <c r="A115" s="31" t="s">
        <v>2422</v>
      </c>
      <c r="B115" s="32" t="s">
        <v>214</v>
      </c>
      <c r="C115" s="504" t="s">
        <v>3353</v>
      </c>
      <c r="D115" s="42">
        <v>12791.9</v>
      </c>
      <c r="E115" s="42">
        <v>81570.599999999991</v>
      </c>
      <c r="F115" s="42">
        <v>4596962.1300000027</v>
      </c>
      <c r="G115" s="581">
        <f t="shared" si="6"/>
        <v>4691324.6300000027</v>
      </c>
      <c r="H115" s="33">
        <v>0</v>
      </c>
      <c r="I115" s="33">
        <v>0</v>
      </c>
      <c r="J115" s="33">
        <v>0</v>
      </c>
      <c r="K115" s="33">
        <f t="shared" si="8"/>
        <v>12791.9</v>
      </c>
      <c r="L115" s="33">
        <f t="shared" si="9"/>
        <v>81570.599999999991</v>
      </c>
      <c r="M115" s="33">
        <f t="shared" si="10"/>
        <v>4596962.1300000027</v>
      </c>
      <c r="N115" s="235">
        <f t="shared" si="7"/>
        <v>0</v>
      </c>
      <c r="O115" s="35" t="s">
        <v>3327</v>
      </c>
      <c r="P115" s="35"/>
      <c r="Q115" s="39">
        <f>SUMIF('Antelope Bailey Split BA'!$B$7:$B$29,B115,'Antelope Bailey Split BA'!$C$7:$C$29)</f>
        <v>0</v>
      </c>
      <c r="R115" s="39" t="str">
        <f>IF(AND(Q115=1,'Plant Total by Account'!$J$1=2),"EKWRA","")</f>
        <v/>
      </c>
    </row>
    <row r="116" spans="1:18" x14ac:dyDescent="0.2">
      <c r="A116" s="31" t="s">
        <v>2690</v>
      </c>
      <c r="B116" s="32" t="s">
        <v>215</v>
      </c>
      <c r="C116" s="504" t="s">
        <v>3353</v>
      </c>
      <c r="D116" s="42">
        <v>6711.97</v>
      </c>
      <c r="E116" s="42">
        <v>90059.17</v>
      </c>
      <c r="F116" s="42">
        <v>1332769.6400000006</v>
      </c>
      <c r="G116" s="581">
        <f t="shared" si="6"/>
        <v>1429540.7800000005</v>
      </c>
      <c r="H116" s="33">
        <v>0</v>
      </c>
      <c r="I116" s="33">
        <v>0</v>
      </c>
      <c r="J116" s="33">
        <v>0</v>
      </c>
      <c r="K116" s="33">
        <f t="shared" si="8"/>
        <v>6711.97</v>
      </c>
      <c r="L116" s="33">
        <f t="shared" si="9"/>
        <v>90059.17</v>
      </c>
      <c r="M116" s="33">
        <f t="shared" si="10"/>
        <v>1332769.6400000006</v>
      </c>
      <c r="N116" s="235">
        <f t="shared" si="7"/>
        <v>0</v>
      </c>
      <c r="O116" s="35" t="s">
        <v>3327</v>
      </c>
      <c r="P116" s="35"/>
      <c r="Q116" s="39">
        <f>SUMIF('Antelope Bailey Split BA'!$B$7:$B$29,B116,'Antelope Bailey Split BA'!$C$7:$C$29)</f>
        <v>0</v>
      </c>
      <c r="R116" s="39" t="str">
        <f>IF(AND(Q116=1,'Plant Total by Account'!$J$1=2),"EKWRA","")</f>
        <v/>
      </c>
    </row>
    <row r="117" spans="1:18" x14ac:dyDescent="0.2">
      <c r="A117" s="31" t="s">
        <v>2691</v>
      </c>
      <c r="B117" s="32" t="s">
        <v>216</v>
      </c>
      <c r="C117" s="504" t="s">
        <v>3352</v>
      </c>
      <c r="D117" s="42">
        <v>3835.12</v>
      </c>
      <c r="E117" s="42">
        <v>29520.95</v>
      </c>
      <c r="F117" s="42">
        <v>1666336.39</v>
      </c>
      <c r="G117" s="581">
        <f t="shared" si="6"/>
        <v>1699692.46</v>
      </c>
      <c r="H117" s="33">
        <v>0</v>
      </c>
      <c r="I117" s="33">
        <v>0</v>
      </c>
      <c r="J117" s="33">
        <v>0</v>
      </c>
      <c r="K117" s="33">
        <f t="shared" si="8"/>
        <v>3835.12</v>
      </c>
      <c r="L117" s="33">
        <f t="shared" si="9"/>
        <v>29520.95</v>
      </c>
      <c r="M117" s="33">
        <f t="shared" si="10"/>
        <v>1666336.39</v>
      </c>
      <c r="N117" s="235">
        <f t="shared" si="7"/>
        <v>0</v>
      </c>
      <c r="O117" s="35" t="s">
        <v>3327</v>
      </c>
      <c r="P117" s="35"/>
      <c r="Q117" s="39">
        <f>SUMIF('Antelope Bailey Split BA'!$B$7:$B$29,B117,'Antelope Bailey Split BA'!$C$7:$C$29)</f>
        <v>0</v>
      </c>
      <c r="R117" s="39" t="str">
        <f>IF(AND(Q117=1,'Plant Total by Account'!$J$1=2),"EKWRA","")</f>
        <v/>
      </c>
    </row>
    <row r="118" spans="1:18" x14ac:dyDescent="0.2">
      <c r="A118" s="31" t="s">
        <v>2692</v>
      </c>
      <c r="B118" s="32" t="s">
        <v>217</v>
      </c>
      <c r="C118" s="504" t="s">
        <v>3352</v>
      </c>
      <c r="D118" s="42">
        <v>675.66000000000008</v>
      </c>
      <c r="E118" s="42">
        <v>10231.219999999999</v>
      </c>
      <c r="F118" s="42">
        <v>688622.73000000021</v>
      </c>
      <c r="G118" s="581">
        <f t="shared" si="6"/>
        <v>699529.61000000022</v>
      </c>
      <c r="H118" s="33">
        <v>0</v>
      </c>
      <c r="I118" s="33">
        <v>0</v>
      </c>
      <c r="J118" s="33">
        <v>0</v>
      </c>
      <c r="K118" s="33">
        <f t="shared" si="8"/>
        <v>675.66000000000008</v>
      </c>
      <c r="L118" s="33">
        <f t="shared" si="9"/>
        <v>10231.219999999999</v>
      </c>
      <c r="M118" s="33">
        <f t="shared" si="10"/>
        <v>688622.73000000021</v>
      </c>
      <c r="N118" s="235">
        <f t="shared" si="7"/>
        <v>0</v>
      </c>
      <c r="O118" s="35" t="s">
        <v>3327</v>
      </c>
      <c r="P118" s="35"/>
      <c r="Q118" s="39">
        <f>SUMIF('Antelope Bailey Split BA'!$B$7:$B$29,B118,'Antelope Bailey Split BA'!$C$7:$C$29)</f>
        <v>0</v>
      </c>
      <c r="R118" s="39" t="str">
        <f>IF(AND(Q118=1,'Plant Total by Account'!$J$1=2),"EKWRA","")</f>
        <v/>
      </c>
    </row>
    <row r="119" spans="1:18" x14ac:dyDescent="0.2">
      <c r="A119" s="31" t="s">
        <v>2693</v>
      </c>
      <c r="B119" s="32" t="s">
        <v>218</v>
      </c>
      <c r="C119" s="504" t="s">
        <v>3352</v>
      </c>
      <c r="D119" s="42">
        <v>17347.28</v>
      </c>
      <c r="E119" s="42">
        <v>26832.49</v>
      </c>
      <c r="F119" s="42">
        <v>768949.7200000002</v>
      </c>
      <c r="G119" s="581">
        <f t="shared" si="6"/>
        <v>813129.49000000022</v>
      </c>
      <c r="H119" s="33">
        <v>0</v>
      </c>
      <c r="I119" s="33">
        <v>0</v>
      </c>
      <c r="J119" s="33">
        <v>0</v>
      </c>
      <c r="K119" s="33">
        <f t="shared" si="8"/>
        <v>17347.28</v>
      </c>
      <c r="L119" s="33">
        <f t="shared" si="9"/>
        <v>26832.49</v>
      </c>
      <c r="M119" s="33">
        <f t="shared" si="10"/>
        <v>768949.7200000002</v>
      </c>
      <c r="N119" s="235">
        <f t="shared" si="7"/>
        <v>0</v>
      </c>
      <c r="O119" s="35" t="s">
        <v>3327</v>
      </c>
      <c r="P119" s="35"/>
      <c r="Q119" s="39">
        <f>SUMIF('Antelope Bailey Split BA'!$B$7:$B$29,B119,'Antelope Bailey Split BA'!$C$7:$C$29)</f>
        <v>0</v>
      </c>
      <c r="R119" s="39" t="str">
        <f>IF(AND(Q119=1,'Plant Total by Account'!$J$1=2),"EKWRA","")</f>
        <v/>
      </c>
    </row>
    <row r="120" spans="1:18" x14ac:dyDescent="0.2">
      <c r="A120" s="31" t="s">
        <v>2694</v>
      </c>
      <c r="B120" s="32" t="s">
        <v>219</v>
      </c>
      <c r="C120" s="504" t="s">
        <v>3352</v>
      </c>
      <c r="D120" s="42">
        <v>4514.24</v>
      </c>
      <c r="E120" s="42">
        <v>43432.689999999995</v>
      </c>
      <c r="F120" s="42">
        <v>1633119.2199999995</v>
      </c>
      <c r="G120" s="581">
        <f t="shared" si="6"/>
        <v>1681066.1499999994</v>
      </c>
      <c r="H120" s="33">
        <v>0</v>
      </c>
      <c r="I120" s="33">
        <v>0</v>
      </c>
      <c r="J120" s="33">
        <v>0</v>
      </c>
      <c r="K120" s="33">
        <f t="shared" si="8"/>
        <v>4514.24</v>
      </c>
      <c r="L120" s="33">
        <f t="shared" si="9"/>
        <v>43432.689999999995</v>
      </c>
      <c r="M120" s="33">
        <f t="shared" si="10"/>
        <v>1633119.2199999995</v>
      </c>
      <c r="N120" s="235">
        <f t="shared" si="7"/>
        <v>0</v>
      </c>
      <c r="O120" s="35" t="s">
        <v>3327</v>
      </c>
      <c r="P120" s="35"/>
      <c r="Q120" s="39">
        <f>SUMIF('Antelope Bailey Split BA'!$B$7:$B$29,B120,'Antelope Bailey Split BA'!$C$7:$C$29)</f>
        <v>0</v>
      </c>
      <c r="R120" s="39" t="str">
        <f>IF(AND(Q120=1,'Plant Total by Account'!$J$1=2),"EKWRA","")</f>
        <v/>
      </c>
    </row>
    <row r="121" spans="1:18" x14ac:dyDescent="0.2">
      <c r="A121" s="31" t="s">
        <v>2695</v>
      </c>
      <c r="B121" s="32" t="s">
        <v>220</v>
      </c>
      <c r="C121" s="504" t="s">
        <v>3353</v>
      </c>
      <c r="D121" s="42">
        <v>36627.130000000005</v>
      </c>
      <c r="E121" s="42">
        <v>2876.2400000000002</v>
      </c>
      <c r="F121" s="42">
        <v>583834.14999999991</v>
      </c>
      <c r="G121" s="581">
        <f t="shared" si="6"/>
        <v>623337.5199999999</v>
      </c>
      <c r="H121" s="33">
        <v>0</v>
      </c>
      <c r="I121" s="33">
        <v>0</v>
      </c>
      <c r="J121" s="33">
        <v>0</v>
      </c>
      <c r="K121" s="33">
        <f t="shared" si="8"/>
        <v>36627.130000000005</v>
      </c>
      <c r="L121" s="33">
        <f t="shared" si="9"/>
        <v>2876.2400000000002</v>
      </c>
      <c r="M121" s="33">
        <f t="shared" si="10"/>
        <v>583834.14999999991</v>
      </c>
      <c r="N121" s="235">
        <f t="shared" si="7"/>
        <v>0</v>
      </c>
      <c r="O121" s="35" t="s">
        <v>3327</v>
      </c>
      <c r="P121" s="35"/>
      <c r="Q121" s="39">
        <f>SUMIF('Antelope Bailey Split BA'!$B$7:$B$29,B121,'Antelope Bailey Split BA'!$C$7:$C$29)</f>
        <v>0</v>
      </c>
      <c r="R121" s="39" t="str">
        <f>IF(AND(Q121=1,'Plant Total by Account'!$J$1=2),"EKWRA","")</f>
        <v/>
      </c>
    </row>
    <row r="122" spans="1:18" x14ac:dyDescent="0.2">
      <c r="A122" s="31" t="s">
        <v>2696</v>
      </c>
      <c r="B122" s="32" t="s">
        <v>221</v>
      </c>
      <c r="C122" s="504" t="s">
        <v>3353</v>
      </c>
      <c r="D122" s="42">
        <v>0</v>
      </c>
      <c r="E122" s="42">
        <v>36391.620000000003</v>
      </c>
      <c r="F122" s="42">
        <v>418219.15999999992</v>
      </c>
      <c r="G122" s="581">
        <f t="shared" si="6"/>
        <v>454610.77999999991</v>
      </c>
      <c r="H122" s="33">
        <v>0</v>
      </c>
      <c r="I122" s="33">
        <v>0</v>
      </c>
      <c r="J122" s="33">
        <v>0</v>
      </c>
      <c r="K122" s="33">
        <f t="shared" si="8"/>
        <v>0</v>
      </c>
      <c r="L122" s="33">
        <f t="shared" si="9"/>
        <v>36391.620000000003</v>
      </c>
      <c r="M122" s="33">
        <f t="shared" si="10"/>
        <v>418219.15999999992</v>
      </c>
      <c r="N122" s="235">
        <f t="shared" si="7"/>
        <v>0</v>
      </c>
      <c r="O122" s="35" t="s">
        <v>3327</v>
      </c>
      <c r="P122" s="35"/>
      <c r="Q122" s="39">
        <f>SUMIF('Antelope Bailey Split BA'!$B$7:$B$29,B122,'Antelope Bailey Split BA'!$C$7:$C$29)</f>
        <v>0</v>
      </c>
      <c r="R122" s="39" t="str">
        <f>IF(AND(Q122=1,'Plant Total by Account'!$J$1=2),"EKWRA","")</f>
        <v/>
      </c>
    </row>
    <row r="123" spans="1:18" x14ac:dyDescent="0.2">
      <c r="A123" s="31" t="s">
        <v>2697</v>
      </c>
      <c r="B123" s="32" t="s">
        <v>222</v>
      </c>
      <c r="C123" s="504" t="s">
        <v>3353</v>
      </c>
      <c r="D123" s="42">
        <v>11866.41</v>
      </c>
      <c r="E123" s="42">
        <v>34056.240000000005</v>
      </c>
      <c r="F123" s="42">
        <v>455234.83</v>
      </c>
      <c r="G123" s="581">
        <f t="shared" si="6"/>
        <v>501157.48000000004</v>
      </c>
      <c r="H123" s="33">
        <v>0</v>
      </c>
      <c r="I123" s="33">
        <v>0</v>
      </c>
      <c r="J123" s="33">
        <v>0</v>
      </c>
      <c r="K123" s="33">
        <f t="shared" si="8"/>
        <v>11866.41</v>
      </c>
      <c r="L123" s="33">
        <f t="shared" si="9"/>
        <v>34056.240000000005</v>
      </c>
      <c r="M123" s="33">
        <f t="shared" si="10"/>
        <v>455234.83</v>
      </c>
      <c r="N123" s="235">
        <f t="shared" si="7"/>
        <v>0</v>
      </c>
      <c r="O123" s="35" t="s">
        <v>3327</v>
      </c>
      <c r="P123" s="35"/>
      <c r="Q123" s="39">
        <f>SUMIF('Antelope Bailey Split BA'!$B$7:$B$29,B123,'Antelope Bailey Split BA'!$C$7:$C$29)</f>
        <v>0</v>
      </c>
      <c r="R123" s="39" t="str">
        <f>IF(AND(Q123=1,'Plant Total by Account'!$J$1=2),"EKWRA","")</f>
        <v/>
      </c>
    </row>
    <row r="124" spans="1:18" x14ac:dyDescent="0.2">
      <c r="A124" s="31" t="s">
        <v>2423</v>
      </c>
      <c r="B124" s="32" t="s">
        <v>223</v>
      </c>
      <c r="C124" s="504" t="s">
        <v>3352</v>
      </c>
      <c r="D124" s="42">
        <v>11359.86</v>
      </c>
      <c r="E124" s="42">
        <v>30926.010000000002</v>
      </c>
      <c r="F124" s="42">
        <v>742845.01999999979</v>
      </c>
      <c r="G124" s="581">
        <f t="shared" si="6"/>
        <v>785130.88999999978</v>
      </c>
      <c r="H124" s="33">
        <v>0</v>
      </c>
      <c r="I124" s="33">
        <v>0</v>
      </c>
      <c r="J124" s="33">
        <v>0</v>
      </c>
      <c r="K124" s="33">
        <f t="shared" si="8"/>
        <v>11359.86</v>
      </c>
      <c r="L124" s="33">
        <f t="shared" si="9"/>
        <v>30926.010000000002</v>
      </c>
      <c r="M124" s="33">
        <f t="shared" si="10"/>
        <v>742845.01999999979</v>
      </c>
      <c r="N124" s="235">
        <f t="shared" si="7"/>
        <v>0</v>
      </c>
      <c r="O124" s="35" t="s">
        <v>3327</v>
      </c>
      <c r="P124" s="35"/>
      <c r="Q124" s="39">
        <f>SUMIF('Antelope Bailey Split BA'!$B$7:$B$29,B124,'Antelope Bailey Split BA'!$C$7:$C$29)</f>
        <v>0</v>
      </c>
      <c r="R124" s="39" t="str">
        <f>IF(AND(Q124=1,'Plant Total by Account'!$J$1=2),"EKWRA","")</f>
        <v/>
      </c>
    </row>
    <row r="125" spans="1:18" x14ac:dyDescent="0.2">
      <c r="A125" s="31" t="s">
        <v>2698</v>
      </c>
      <c r="B125" s="32" t="s">
        <v>224</v>
      </c>
      <c r="C125" s="504" t="s">
        <v>3352</v>
      </c>
      <c r="D125" s="42">
        <v>8899.27</v>
      </c>
      <c r="E125" s="42">
        <v>23105.079999999994</v>
      </c>
      <c r="F125" s="42">
        <v>1001630.29</v>
      </c>
      <c r="G125" s="581">
        <f t="shared" si="6"/>
        <v>1033634.64</v>
      </c>
      <c r="H125" s="33">
        <v>0</v>
      </c>
      <c r="I125" s="33">
        <v>0</v>
      </c>
      <c r="J125" s="33">
        <v>0</v>
      </c>
      <c r="K125" s="33">
        <f t="shared" si="8"/>
        <v>8899.27</v>
      </c>
      <c r="L125" s="33">
        <f t="shared" si="9"/>
        <v>23105.079999999994</v>
      </c>
      <c r="M125" s="33">
        <f t="shared" si="10"/>
        <v>1001630.29</v>
      </c>
      <c r="N125" s="235">
        <f t="shared" si="7"/>
        <v>0</v>
      </c>
      <c r="O125" s="35" t="s">
        <v>3327</v>
      </c>
      <c r="P125" s="35"/>
      <c r="Q125" s="39">
        <f>SUMIF('Antelope Bailey Split BA'!$B$7:$B$29,B125,'Antelope Bailey Split BA'!$C$7:$C$29)</f>
        <v>0</v>
      </c>
      <c r="R125" s="39" t="str">
        <f>IF(AND(Q125=1,'Plant Total by Account'!$J$1=2),"EKWRA","")</f>
        <v/>
      </c>
    </row>
    <row r="126" spans="1:18" x14ac:dyDescent="0.2">
      <c r="A126" s="31" t="s">
        <v>2699</v>
      </c>
      <c r="B126" s="32" t="s">
        <v>225</v>
      </c>
      <c r="C126" s="504" t="s">
        <v>3353</v>
      </c>
      <c r="D126" s="42">
        <v>16667.03</v>
      </c>
      <c r="E126" s="42">
        <v>10765.53</v>
      </c>
      <c r="F126" s="42">
        <v>309244.78999999998</v>
      </c>
      <c r="G126" s="581">
        <f t="shared" si="6"/>
        <v>336677.35</v>
      </c>
      <c r="H126" s="33">
        <v>0</v>
      </c>
      <c r="I126" s="33">
        <v>0</v>
      </c>
      <c r="J126" s="33">
        <v>0</v>
      </c>
      <c r="K126" s="33">
        <f t="shared" si="8"/>
        <v>16667.03</v>
      </c>
      <c r="L126" s="33">
        <f t="shared" si="9"/>
        <v>10765.53</v>
      </c>
      <c r="M126" s="33">
        <f t="shared" si="10"/>
        <v>309244.78999999998</v>
      </c>
      <c r="N126" s="235">
        <f t="shared" si="7"/>
        <v>0</v>
      </c>
      <c r="O126" s="35" t="s">
        <v>3327</v>
      </c>
      <c r="P126" s="35"/>
      <c r="Q126" s="39">
        <f>SUMIF('Antelope Bailey Split BA'!$B$7:$B$29,B126,'Antelope Bailey Split BA'!$C$7:$C$29)</f>
        <v>0</v>
      </c>
      <c r="R126" s="39" t="str">
        <f>IF(AND(Q126=1,'Plant Total by Account'!$J$1=2),"EKWRA","")</f>
        <v/>
      </c>
    </row>
    <row r="127" spans="1:18" x14ac:dyDescent="0.2">
      <c r="A127" s="31" t="s">
        <v>2700</v>
      </c>
      <c r="B127" s="32" t="s">
        <v>226</v>
      </c>
      <c r="C127" s="504" t="s">
        <v>3352</v>
      </c>
      <c r="D127" s="42">
        <v>4184.26</v>
      </c>
      <c r="E127" s="42">
        <v>20950.47</v>
      </c>
      <c r="F127" s="42">
        <v>846794.32000000007</v>
      </c>
      <c r="G127" s="581">
        <f t="shared" si="6"/>
        <v>871929.05</v>
      </c>
      <c r="H127" s="33">
        <v>0</v>
      </c>
      <c r="I127" s="33">
        <v>0</v>
      </c>
      <c r="J127" s="33">
        <v>0</v>
      </c>
      <c r="K127" s="33">
        <f t="shared" si="8"/>
        <v>4184.26</v>
      </c>
      <c r="L127" s="33">
        <f t="shared" si="9"/>
        <v>20950.47</v>
      </c>
      <c r="M127" s="33">
        <f t="shared" si="10"/>
        <v>846794.32000000007</v>
      </c>
      <c r="N127" s="235">
        <f t="shared" si="7"/>
        <v>0</v>
      </c>
      <c r="O127" s="35" t="s">
        <v>3327</v>
      </c>
      <c r="P127" s="35"/>
      <c r="Q127" s="39">
        <f>SUMIF('Antelope Bailey Split BA'!$B$7:$B$29,B127,'Antelope Bailey Split BA'!$C$7:$C$29)</f>
        <v>0</v>
      </c>
      <c r="R127" s="39" t="str">
        <f>IF(AND(Q127=1,'Plant Total by Account'!$J$1=2),"EKWRA","")</f>
        <v/>
      </c>
    </row>
    <row r="128" spans="1:18" x14ac:dyDescent="0.2">
      <c r="A128" s="31" t="s">
        <v>2701</v>
      </c>
      <c r="B128" s="32" t="s">
        <v>227</v>
      </c>
      <c r="C128" s="504" t="s">
        <v>3353</v>
      </c>
      <c r="D128" s="42">
        <v>16257.29</v>
      </c>
      <c r="E128" s="42">
        <v>23366.77</v>
      </c>
      <c r="F128" s="42">
        <v>432417.64999999997</v>
      </c>
      <c r="G128" s="581">
        <f t="shared" si="6"/>
        <v>472041.70999999996</v>
      </c>
      <c r="H128" s="33">
        <v>0</v>
      </c>
      <c r="I128" s="33">
        <v>0</v>
      </c>
      <c r="J128" s="33">
        <v>0</v>
      </c>
      <c r="K128" s="33">
        <f t="shared" si="8"/>
        <v>16257.29</v>
      </c>
      <c r="L128" s="33">
        <f t="shared" si="9"/>
        <v>23366.77</v>
      </c>
      <c r="M128" s="33">
        <f t="shared" si="10"/>
        <v>432417.64999999997</v>
      </c>
      <c r="N128" s="235">
        <f t="shared" si="7"/>
        <v>0</v>
      </c>
      <c r="O128" s="35" t="s">
        <v>3327</v>
      </c>
      <c r="P128" s="35"/>
      <c r="Q128" s="39">
        <f>SUMIF('Antelope Bailey Split BA'!$B$7:$B$29,B128,'Antelope Bailey Split BA'!$C$7:$C$29)</f>
        <v>0</v>
      </c>
      <c r="R128" s="39" t="str">
        <f>IF(AND(Q128=1,'Plant Total by Account'!$J$1=2),"EKWRA","")</f>
        <v/>
      </c>
    </row>
    <row r="129" spans="1:18" x14ac:dyDescent="0.2">
      <c r="A129" s="31" t="s">
        <v>2702</v>
      </c>
      <c r="B129" s="32" t="s">
        <v>228</v>
      </c>
      <c r="C129" s="504" t="s">
        <v>3352</v>
      </c>
      <c r="D129" s="42">
        <v>3524.48</v>
      </c>
      <c r="E129" s="42">
        <v>14282.62</v>
      </c>
      <c r="F129" s="42">
        <v>976504.58</v>
      </c>
      <c r="G129" s="581">
        <f t="shared" si="6"/>
        <v>994311.67999999993</v>
      </c>
      <c r="H129" s="33">
        <v>0</v>
      </c>
      <c r="I129" s="33">
        <v>0</v>
      </c>
      <c r="J129" s="33">
        <v>0</v>
      </c>
      <c r="K129" s="33">
        <f t="shared" si="8"/>
        <v>3524.48</v>
      </c>
      <c r="L129" s="33">
        <f t="shared" si="9"/>
        <v>14282.62</v>
      </c>
      <c r="M129" s="33">
        <f t="shared" si="10"/>
        <v>976504.58</v>
      </c>
      <c r="N129" s="235">
        <f t="shared" si="7"/>
        <v>0</v>
      </c>
      <c r="O129" s="35" t="s">
        <v>3327</v>
      </c>
      <c r="P129" s="35"/>
      <c r="Q129" s="39">
        <f>SUMIF('Antelope Bailey Split BA'!$B$7:$B$29,B129,'Antelope Bailey Split BA'!$C$7:$C$29)</f>
        <v>0</v>
      </c>
      <c r="R129" s="39" t="str">
        <f>IF(AND(Q129=1,'Plant Total by Account'!$J$1=2),"EKWRA","")</f>
        <v/>
      </c>
    </row>
    <row r="130" spans="1:18" x14ac:dyDescent="0.2">
      <c r="A130" s="31" t="s">
        <v>2424</v>
      </c>
      <c r="B130" s="32" t="s">
        <v>229</v>
      </c>
      <c r="C130" s="504" t="s">
        <v>3353</v>
      </c>
      <c r="D130" s="42">
        <v>3910.28</v>
      </c>
      <c r="E130" s="42">
        <v>1706166.91</v>
      </c>
      <c r="F130" s="42">
        <v>8021780.2900000028</v>
      </c>
      <c r="G130" s="581">
        <f t="shared" si="6"/>
        <v>9731857.4800000023</v>
      </c>
      <c r="H130" s="33">
        <v>0</v>
      </c>
      <c r="I130" s="33">
        <v>0</v>
      </c>
      <c r="J130" s="33">
        <v>0</v>
      </c>
      <c r="K130" s="33">
        <f t="shared" si="8"/>
        <v>3910.28</v>
      </c>
      <c r="L130" s="33">
        <f t="shared" si="9"/>
        <v>1706166.91</v>
      </c>
      <c r="M130" s="33">
        <f t="shared" si="10"/>
        <v>8021780.2900000028</v>
      </c>
      <c r="N130" s="235">
        <f t="shared" si="7"/>
        <v>0</v>
      </c>
      <c r="O130" s="35" t="s">
        <v>3327</v>
      </c>
      <c r="P130" s="35"/>
      <c r="Q130" s="39">
        <f>SUMIF('Antelope Bailey Split BA'!$B$7:$B$29,B130,'Antelope Bailey Split BA'!$C$7:$C$29)</f>
        <v>0</v>
      </c>
      <c r="R130" s="39" t="str">
        <f>IF(AND(Q130=1,'Plant Total by Account'!$J$1=2),"EKWRA","")</f>
        <v/>
      </c>
    </row>
    <row r="131" spans="1:18" x14ac:dyDescent="0.2">
      <c r="A131" s="31" t="s">
        <v>2703</v>
      </c>
      <c r="B131" s="32" t="s">
        <v>230</v>
      </c>
      <c r="C131" s="504"/>
      <c r="D131" s="42">
        <v>0</v>
      </c>
      <c r="E131" s="42">
        <v>1791.91</v>
      </c>
      <c r="F131" s="42">
        <v>102152.03</v>
      </c>
      <c r="G131" s="581">
        <f t="shared" si="6"/>
        <v>103943.94</v>
      </c>
      <c r="H131" s="33">
        <v>0</v>
      </c>
      <c r="I131" s="33">
        <v>0</v>
      </c>
      <c r="J131" s="33">
        <v>0</v>
      </c>
      <c r="K131" s="33">
        <f t="shared" si="8"/>
        <v>0</v>
      </c>
      <c r="L131" s="33">
        <f t="shared" si="9"/>
        <v>1791.91</v>
      </c>
      <c r="M131" s="33">
        <f t="shared" si="10"/>
        <v>102152.03</v>
      </c>
      <c r="N131" s="235">
        <f t="shared" si="7"/>
        <v>0</v>
      </c>
      <c r="O131" s="35" t="s">
        <v>3327</v>
      </c>
      <c r="P131" s="35"/>
      <c r="Q131" s="39">
        <f>SUMIF('Antelope Bailey Split BA'!$B$7:$B$29,B131,'Antelope Bailey Split BA'!$C$7:$C$29)</f>
        <v>0</v>
      </c>
      <c r="R131" s="39" t="str">
        <f>IF(AND(Q131=1,'Plant Total by Account'!$J$1=2),"EKWRA","")</f>
        <v/>
      </c>
    </row>
    <row r="132" spans="1:18" x14ac:dyDescent="0.2">
      <c r="A132" s="31" t="s">
        <v>2704</v>
      </c>
      <c r="B132" s="32" t="s">
        <v>231</v>
      </c>
      <c r="C132" s="504" t="s">
        <v>3353</v>
      </c>
      <c r="D132" s="42">
        <v>19315.689999999999</v>
      </c>
      <c r="E132" s="42">
        <v>12011.32</v>
      </c>
      <c r="F132" s="42">
        <v>343576.63</v>
      </c>
      <c r="G132" s="581">
        <f t="shared" si="6"/>
        <v>374903.64</v>
      </c>
      <c r="H132" s="33">
        <v>0</v>
      </c>
      <c r="I132" s="33">
        <v>0</v>
      </c>
      <c r="J132" s="33">
        <v>0</v>
      </c>
      <c r="K132" s="33">
        <f t="shared" si="8"/>
        <v>19315.689999999999</v>
      </c>
      <c r="L132" s="33">
        <f t="shared" si="9"/>
        <v>12011.32</v>
      </c>
      <c r="M132" s="33">
        <f t="shared" si="10"/>
        <v>343576.63</v>
      </c>
      <c r="N132" s="235">
        <f t="shared" si="7"/>
        <v>0</v>
      </c>
      <c r="O132" s="35" t="s">
        <v>3327</v>
      </c>
      <c r="P132" s="35"/>
      <c r="Q132" s="39">
        <f>SUMIF('Antelope Bailey Split BA'!$B$7:$B$29,B132,'Antelope Bailey Split BA'!$C$7:$C$29)</f>
        <v>0</v>
      </c>
      <c r="R132" s="39" t="str">
        <f>IF(AND(Q132=1,'Plant Total by Account'!$J$1=2),"EKWRA","")</f>
        <v/>
      </c>
    </row>
    <row r="133" spans="1:18" x14ac:dyDescent="0.2">
      <c r="A133" s="31" t="s">
        <v>2425</v>
      </c>
      <c r="B133" s="32" t="s">
        <v>232</v>
      </c>
      <c r="C133" s="504" t="s">
        <v>3353</v>
      </c>
      <c r="D133" s="42">
        <v>27985.65</v>
      </c>
      <c r="E133" s="42">
        <v>70090.3</v>
      </c>
      <c r="F133" s="42">
        <v>5263951.5899999887</v>
      </c>
      <c r="G133" s="581">
        <f t="shared" si="6"/>
        <v>5362027.5399999889</v>
      </c>
      <c r="H133" s="33">
        <v>0</v>
      </c>
      <c r="I133" s="33">
        <v>0</v>
      </c>
      <c r="J133" s="33">
        <v>0</v>
      </c>
      <c r="K133" s="33">
        <f t="shared" si="8"/>
        <v>27985.65</v>
      </c>
      <c r="L133" s="33">
        <f t="shared" si="9"/>
        <v>70090.3</v>
      </c>
      <c r="M133" s="33">
        <f t="shared" si="10"/>
        <v>5263951.5899999887</v>
      </c>
      <c r="N133" s="235">
        <f t="shared" si="7"/>
        <v>0</v>
      </c>
      <c r="O133" s="35" t="s">
        <v>3327</v>
      </c>
      <c r="P133" s="35"/>
      <c r="Q133" s="39">
        <f>SUMIF('Antelope Bailey Split BA'!$B$7:$B$29,B133,'Antelope Bailey Split BA'!$C$7:$C$29)</f>
        <v>0</v>
      </c>
      <c r="R133" s="39" t="str">
        <f>IF(AND(Q133=1,'Plant Total by Account'!$J$1=2),"EKWRA","")</f>
        <v/>
      </c>
    </row>
    <row r="134" spans="1:18" x14ac:dyDescent="0.2">
      <c r="A134" s="31" t="s">
        <v>2426</v>
      </c>
      <c r="B134" s="32" t="s">
        <v>233</v>
      </c>
      <c r="C134" s="504" t="s">
        <v>3352</v>
      </c>
      <c r="D134" s="42">
        <v>9203.52</v>
      </c>
      <c r="E134" s="42">
        <v>18974.93</v>
      </c>
      <c r="F134" s="42">
        <v>1882303.1499999997</v>
      </c>
      <c r="G134" s="581">
        <f t="shared" si="6"/>
        <v>1910481.5999999996</v>
      </c>
      <c r="H134" s="33">
        <v>0</v>
      </c>
      <c r="I134" s="33">
        <v>0</v>
      </c>
      <c r="J134" s="33">
        <v>0</v>
      </c>
      <c r="K134" s="33">
        <f t="shared" si="8"/>
        <v>9203.52</v>
      </c>
      <c r="L134" s="33">
        <f t="shared" si="9"/>
        <v>18974.93</v>
      </c>
      <c r="M134" s="33">
        <f t="shared" si="10"/>
        <v>1882303.1499999997</v>
      </c>
      <c r="N134" s="235">
        <f t="shared" si="7"/>
        <v>0</v>
      </c>
      <c r="O134" s="35" t="s">
        <v>3327</v>
      </c>
      <c r="P134" s="35"/>
      <c r="Q134" s="39">
        <f>SUMIF('Antelope Bailey Split BA'!$B$7:$B$29,B134,'Antelope Bailey Split BA'!$C$7:$C$29)</f>
        <v>0</v>
      </c>
      <c r="R134" s="39" t="str">
        <f>IF(AND(Q134=1,'Plant Total by Account'!$J$1=2),"EKWRA","")</f>
        <v/>
      </c>
    </row>
    <row r="135" spans="1:18" x14ac:dyDescent="0.2">
      <c r="A135" s="31" t="s">
        <v>2705</v>
      </c>
      <c r="B135" s="32" t="s">
        <v>234</v>
      </c>
      <c r="C135" s="504" t="s">
        <v>3353</v>
      </c>
      <c r="D135" s="42">
        <v>11399.170000000002</v>
      </c>
      <c r="E135" s="42">
        <v>159286.08999999997</v>
      </c>
      <c r="F135" s="42">
        <v>3296137.9500000011</v>
      </c>
      <c r="G135" s="581">
        <f t="shared" si="6"/>
        <v>3466823.2100000009</v>
      </c>
      <c r="H135" s="33">
        <v>0</v>
      </c>
      <c r="I135" s="33">
        <v>0</v>
      </c>
      <c r="J135" s="33">
        <v>0</v>
      </c>
      <c r="K135" s="33">
        <f t="shared" si="8"/>
        <v>11399.170000000002</v>
      </c>
      <c r="L135" s="33">
        <f t="shared" si="9"/>
        <v>159286.08999999997</v>
      </c>
      <c r="M135" s="33">
        <f t="shared" si="10"/>
        <v>3296137.9500000011</v>
      </c>
      <c r="N135" s="235">
        <f t="shared" si="7"/>
        <v>0</v>
      </c>
      <c r="O135" s="35" t="s">
        <v>3327</v>
      </c>
      <c r="P135" s="35"/>
      <c r="Q135" s="39">
        <f>SUMIF('Antelope Bailey Split BA'!$B$7:$B$29,B135,'Antelope Bailey Split BA'!$C$7:$C$29)</f>
        <v>0</v>
      </c>
      <c r="R135" s="39" t="str">
        <f>IF(AND(Q135=1,'Plant Total by Account'!$J$1=2),"EKWRA","")</f>
        <v/>
      </c>
    </row>
    <row r="136" spans="1:18" x14ac:dyDescent="0.2">
      <c r="A136" s="31" t="s">
        <v>2428</v>
      </c>
      <c r="B136" s="32" t="s">
        <v>235</v>
      </c>
      <c r="C136" s="504" t="s">
        <v>3352</v>
      </c>
      <c r="D136" s="42">
        <v>12983.58</v>
      </c>
      <c r="E136" s="42">
        <v>44226.25</v>
      </c>
      <c r="F136" s="42">
        <v>1570860.4799999995</v>
      </c>
      <c r="G136" s="581">
        <f t="shared" si="6"/>
        <v>1628070.3099999996</v>
      </c>
      <c r="H136" s="33">
        <v>0</v>
      </c>
      <c r="I136" s="33">
        <v>0</v>
      </c>
      <c r="J136" s="33">
        <v>0</v>
      </c>
      <c r="K136" s="33">
        <f t="shared" si="8"/>
        <v>12983.58</v>
      </c>
      <c r="L136" s="33">
        <f t="shared" si="9"/>
        <v>44226.25</v>
      </c>
      <c r="M136" s="33">
        <f t="shared" si="10"/>
        <v>1570860.4799999995</v>
      </c>
      <c r="N136" s="235">
        <f t="shared" si="7"/>
        <v>0</v>
      </c>
      <c r="O136" s="35" t="s">
        <v>3327</v>
      </c>
      <c r="P136" s="35"/>
      <c r="Q136" s="39">
        <f>SUMIF('Antelope Bailey Split BA'!$B$7:$B$29,B136,'Antelope Bailey Split BA'!$C$7:$C$29)</f>
        <v>0</v>
      </c>
      <c r="R136" s="39" t="str">
        <f>IF(AND(Q136=1,'Plant Total by Account'!$J$1=2),"EKWRA","")</f>
        <v/>
      </c>
    </row>
    <row r="137" spans="1:18" x14ac:dyDescent="0.2">
      <c r="A137" s="31" t="s">
        <v>2706</v>
      </c>
      <c r="B137" s="32" t="s">
        <v>236</v>
      </c>
      <c r="C137" s="504" t="s">
        <v>3352</v>
      </c>
      <c r="D137" s="42">
        <v>10403.42</v>
      </c>
      <c r="E137" s="42">
        <v>15902.970000000001</v>
      </c>
      <c r="F137" s="42">
        <v>299685.35000000003</v>
      </c>
      <c r="G137" s="581">
        <f t="shared" si="6"/>
        <v>325991.74000000005</v>
      </c>
      <c r="H137" s="33">
        <v>0</v>
      </c>
      <c r="I137" s="33">
        <v>0</v>
      </c>
      <c r="J137" s="33">
        <v>0</v>
      </c>
      <c r="K137" s="33">
        <f t="shared" si="8"/>
        <v>10403.42</v>
      </c>
      <c r="L137" s="33">
        <f t="shared" si="9"/>
        <v>15902.970000000001</v>
      </c>
      <c r="M137" s="33">
        <f t="shared" si="10"/>
        <v>299685.35000000003</v>
      </c>
      <c r="N137" s="235">
        <f t="shared" si="7"/>
        <v>0</v>
      </c>
      <c r="O137" s="35" t="s">
        <v>3327</v>
      </c>
      <c r="P137" s="35"/>
      <c r="Q137" s="39">
        <f>SUMIF('Antelope Bailey Split BA'!$B$7:$B$29,B137,'Antelope Bailey Split BA'!$C$7:$C$29)</f>
        <v>0</v>
      </c>
      <c r="R137" s="39" t="str">
        <f>IF(AND(Q137=1,'Plant Total by Account'!$J$1=2),"EKWRA","")</f>
        <v/>
      </c>
    </row>
    <row r="138" spans="1:18" x14ac:dyDescent="0.2">
      <c r="A138" s="31" t="s">
        <v>2707</v>
      </c>
      <c r="B138" s="32" t="s">
        <v>237</v>
      </c>
      <c r="C138" s="504" t="s">
        <v>3352</v>
      </c>
      <c r="D138" s="42">
        <v>0</v>
      </c>
      <c r="E138" s="42">
        <v>6085.49</v>
      </c>
      <c r="F138" s="42">
        <v>31.37</v>
      </c>
      <c r="G138" s="581">
        <f t="shared" si="6"/>
        <v>6116.86</v>
      </c>
      <c r="H138" s="33">
        <v>0</v>
      </c>
      <c r="I138" s="33">
        <v>0</v>
      </c>
      <c r="J138" s="33">
        <v>0</v>
      </c>
      <c r="K138" s="33">
        <f t="shared" si="8"/>
        <v>0</v>
      </c>
      <c r="L138" s="33">
        <f t="shared" si="9"/>
        <v>6085.49</v>
      </c>
      <c r="M138" s="33">
        <f t="shared" si="10"/>
        <v>31.37</v>
      </c>
      <c r="N138" s="235">
        <f t="shared" si="7"/>
        <v>0</v>
      </c>
      <c r="O138" s="35" t="s">
        <v>3327</v>
      </c>
      <c r="P138" s="35"/>
      <c r="Q138" s="39">
        <f>SUMIF('Antelope Bailey Split BA'!$B$7:$B$29,B138,'Antelope Bailey Split BA'!$C$7:$C$29)</f>
        <v>0</v>
      </c>
      <c r="R138" s="39" t="str">
        <f>IF(AND(Q138=1,'Plant Total by Account'!$J$1=2),"EKWRA","")</f>
        <v/>
      </c>
    </row>
    <row r="139" spans="1:18" x14ac:dyDescent="0.2">
      <c r="A139" s="31" t="s">
        <v>2429</v>
      </c>
      <c r="B139" s="32" t="s">
        <v>238</v>
      </c>
      <c r="C139" s="504" t="s">
        <v>3352</v>
      </c>
      <c r="D139" s="42">
        <v>16468.7</v>
      </c>
      <c r="E139" s="42">
        <v>27218.47</v>
      </c>
      <c r="F139" s="42">
        <v>827586.06</v>
      </c>
      <c r="G139" s="581">
        <f t="shared" si="6"/>
        <v>871273.2300000001</v>
      </c>
      <c r="H139" s="33">
        <v>0</v>
      </c>
      <c r="I139" s="33">
        <v>0</v>
      </c>
      <c r="J139" s="33">
        <v>0</v>
      </c>
      <c r="K139" s="33">
        <f t="shared" si="8"/>
        <v>16468.7</v>
      </c>
      <c r="L139" s="33">
        <f t="shared" si="9"/>
        <v>27218.47</v>
      </c>
      <c r="M139" s="33">
        <f t="shared" si="10"/>
        <v>827586.06</v>
      </c>
      <c r="N139" s="235">
        <f t="shared" si="7"/>
        <v>0</v>
      </c>
      <c r="O139" s="35" t="s">
        <v>3327</v>
      </c>
      <c r="P139" s="35"/>
      <c r="Q139" s="39">
        <f>SUMIF('Antelope Bailey Split BA'!$B$7:$B$29,B139,'Antelope Bailey Split BA'!$C$7:$C$29)</f>
        <v>0</v>
      </c>
      <c r="R139" s="39" t="str">
        <f>IF(AND(Q139=1,'Plant Total by Account'!$J$1=2),"EKWRA","")</f>
        <v/>
      </c>
    </row>
    <row r="140" spans="1:18" x14ac:dyDescent="0.2">
      <c r="A140" s="31" t="s">
        <v>2708</v>
      </c>
      <c r="B140" s="32" t="s">
        <v>239</v>
      </c>
      <c r="C140" s="504" t="s">
        <v>3353</v>
      </c>
      <c r="D140" s="42">
        <v>11331.11</v>
      </c>
      <c r="E140" s="42">
        <v>165975.35</v>
      </c>
      <c r="F140" s="42">
        <v>5063651.9200000018</v>
      </c>
      <c r="G140" s="581">
        <f t="shared" ref="G140:G203" si="11">SUM(D140:F140)</f>
        <v>5240958.3800000018</v>
      </c>
      <c r="H140" s="33">
        <v>0</v>
      </c>
      <c r="I140" s="33">
        <v>0</v>
      </c>
      <c r="J140" s="33">
        <v>0</v>
      </c>
      <c r="K140" s="33">
        <f t="shared" si="8"/>
        <v>11331.11</v>
      </c>
      <c r="L140" s="33">
        <f t="shared" si="9"/>
        <v>165975.35</v>
      </c>
      <c r="M140" s="33">
        <f t="shared" si="10"/>
        <v>5063651.9200000018</v>
      </c>
      <c r="N140" s="235">
        <f t="shared" ref="N140:N203" si="12">G140-SUM(H140:M140)</f>
        <v>0</v>
      </c>
      <c r="O140" s="35" t="s">
        <v>3327</v>
      </c>
      <c r="P140" s="35"/>
      <c r="Q140" s="39">
        <f>SUMIF('Antelope Bailey Split BA'!$B$7:$B$29,B140,'Antelope Bailey Split BA'!$C$7:$C$29)</f>
        <v>0</v>
      </c>
      <c r="R140" s="39" t="str">
        <f>IF(AND(Q140=1,'Plant Total by Account'!$J$1=2),"EKWRA","")</f>
        <v/>
      </c>
    </row>
    <row r="141" spans="1:18" x14ac:dyDescent="0.2">
      <c r="A141" s="31" t="s">
        <v>2709</v>
      </c>
      <c r="B141" s="32" t="s">
        <v>240</v>
      </c>
      <c r="C141" s="504" t="s">
        <v>3353</v>
      </c>
      <c r="D141" s="42">
        <v>0</v>
      </c>
      <c r="E141" s="42">
        <v>49795.29</v>
      </c>
      <c r="F141" s="42">
        <v>908111.41</v>
      </c>
      <c r="G141" s="581">
        <f t="shared" si="11"/>
        <v>957906.70000000007</v>
      </c>
      <c r="H141" s="33">
        <v>0</v>
      </c>
      <c r="I141" s="33">
        <v>0</v>
      </c>
      <c r="J141" s="33">
        <v>0</v>
      </c>
      <c r="K141" s="33">
        <f t="shared" si="8"/>
        <v>0</v>
      </c>
      <c r="L141" s="33">
        <f t="shared" si="9"/>
        <v>49795.29</v>
      </c>
      <c r="M141" s="33">
        <f t="shared" si="10"/>
        <v>908111.41</v>
      </c>
      <c r="N141" s="235">
        <f t="shared" si="12"/>
        <v>0</v>
      </c>
      <c r="O141" s="35" t="s">
        <v>3327</v>
      </c>
      <c r="P141" s="35"/>
      <c r="Q141" s="39">
        <f>SUMIF('Antelope Bailey Split BA'!$B$7:$B$29,B141,'Antelope Bailey Split BA'!$C$7:$C$29)</f>
        <v>0</v>
      </c>
      <c r="R141" s="39" t="str">
        <f>IF(AND(Q141=1,'Plant Total by Account'!$J$1=2),"EKWRA","")</f>
        <v/>
      </c>
    </row>
    <row r="142" spans="1:18" x14ac:dyDescent="0.2">
      <c r="A142" s="31" t="s">
        <v>2710</v>
      </c>
      <c r="B142" s="32" t="s">
        <v>241</v>
      </c>
      <c r="C142" s="504" t="s">
        <v>3352</v>
      </c>
      <c r="D142" s="42">
        <v>21259.49</v>
      </c>
      <c r="E142" s="42">
        <v>49677.189999999995</v>
      </c>
      <c r="F142" s="42">
        <v>869313.85999999987</v>
      </c>
      <c r="G142" s="581">
        <f t="shared" si="11"/>
        <v>940250.5399999998</v>
      </c>
      <c r="H142" s="33">
        <v>0</v>
      </c>
      <c r="I142" s="33">
        <v>0</v>
      </c>
      <c r="J142" s="33">
        <v>0</v>
      </c>
      <c r="K142" s="33">
        <f t="shared" si="8"/>
        <v>21259.49</v>
      </c>
      <c r="L142" s="33">
        <f t="shared" si="9"/>
        <v>49677.189999999995</v>
      </c>
      <c r="M142" s="33">
        <f t="shared" si="10"/>
        <v>869313.85999999987</v>
      </c>
      <c r="N142" s="235">
        <f t="shared" si="12"/>
        <v>0</v>
      </c>
      <c r="O142" s="35" t="s">
        <v>3327</v>
      </c>
      <c r="P142" s="35"/>
      <c r="Q142" s="39">
        <f>SUMIF('Antelope Bailey Split BA'!$B$7:$B$29,B142,'Antelope Bailey Split BA'!$C$7:$C$29)</f>
        <v>0</v>
      </c>
      <c r="R142" s="39" t="str">
        <f>IF(AND(Q142=1,'Plant Total by Account'!$J$1=2),"EKWRA","")</f>
        <v/>
      </c>
    </row>
    <row r="143" spans="1:18" x14ac:dyDescent="0.2">
      <c r="A143" s="31" t="s">
        <v>2711</v>
      </c>
      <c r="B143" s="32" t="s">
        <v>242</v>
      </c>
      <c r="C143" s="504" t="s">
        <v>3353</v>
      </c>
      <c r="D143" s="42">
        <v>52686.68</v>
      </c>
      <c r="E143" s="42">
        <v>174650.77000000002</v>
      </c>
      <c r="F143" s="42">
        <v>3554291.7299999991</v>
      </c>
      <c r="G143" s="581">
        <f t="shared" si="11"/>
        <v>3781629.1799999992</v>
      </c>
      <c r="H143" s="33">
        <v>0</v>
      </c>
      <c r="I143" s="33">
        <v>0</v>
      </c>
      <c r="J143" s="33">
        <v>0</v>
      </c>
      <c r="K143" s="33">
        <f t="shared" si="8"/>
        <v>52686.68</v>
      </c>
      <c r="L143" s="33">
        <f t="shared" si="9"/>
        <v>174650.77000000002</v>
      </c>
      <c r="M143" s="33">
        <f t="shared" si="10"/>
        <v>3554291.7299999991</v>
      </c>
      <c r="N143" s="235">
        <f t="shared" si="12"/>
        <v>0</v>
      </c>
      <c r="O143" s="35" t="s">
        <v>3327</v>
      </c>
      <c r="P143" s="35"/>
      <c r="Q143" s="39">
        <f>SUMIF('Antelope Bailey Split BA'!$B$7:$B$29,B143,'Antelope Bailey Split BA'!$C$7:$C$29)</f>
        <v>0</v>
      </c>
      <c r="R143" s="39" t="str">
        <f>IF(AND(Q143=1,'Plant Total by Account'!$J$1=2),"EKWRA","")</f>
        <v/>
      </c>
    </row>
    <row r="144" spans="1:18" x14ac:dyDescent="0.2">
      <c r="A144" s="31" t="s">
        <v>2712</v>
      </c>
      <c r="B144" s="32" t="s">
        <v>2713</v>
      </c>
      <c r="C144" s="504" t="s">
        <v>3353</v>
      </c>
      <c r="D144" s="42">
        <v>0</v>
      </c>
      <c r="E144" s="42">
        <v>2079020.72</v>
      </c>
      <c r="F144" s="42">
        <v>10979039.33</v>
      </c>
      <c r="G144" s="581">
        <f t="shared" si="11"/>
        <v>13058060.050000001</v>
      </c>
      <c r="H144" s="33">
        <v>0</v>
      </c>
      <c r="I144" s="33">
        <v>0</v>
      </c>
      <c r="J144" s="33">
        <v>0</v>
      </c>
      <c r="K144" s="33">
        <f t="shared" ref="K144:K207" si="13">D144</f>
        <v>0</v>
      </c>
      <c r="L144" s="33">
        <f t="shared" ref="L144:L207" si="14">E144</f>
        <v>2079020.72</v>
      </c>
      <c r="M144" s="33">
        <f t="shared" ref="M144:M207" si="15">F144</f>
        <v>10979039.33</v>
      </c>
      <c r="N144" s="235">
        <f t="shared" si="12"/>
        <v>0</v>
      </c>
      <c r="O144" s="35" t="s">
        <v>3327</v>
      </c>
      <c r="P144" s="35"/>
      <c r="Q144" s="39">
        <f>SUMIF('Antelope Bailey Split BA'!$B$7:$B$29,B144,'Antelope Bailey Split BA'!$C$7:$C$29)</f>
        <v>0</v>
      </c>
      <c r="R144" s="39" t="str">
        <f>IF(AND(Q144=1,'Plant Total by Account'!$J$1=2),"EKWRA","")</f>
        <v/>
      </c>
    </row>
    <row r="145" spans="1:18" x14ac:dyDescent="0.2">
      <c r="A145" s="31" t="s">
        <v>2430</v>
      </c>
      <c r="B145" s="98" t="s">
        <v>243</v>
      </c>
      <c r="C145" s="504" t="s">
        <v>3353</v>
      </c>
      <c r="D145" s="42">
        <v>0</v>
      </c>
      <c r="E145" s="42">
        <v>0</v>
      </c>
      <c r="F145" s="42">
        <v>19939.62</v>
      </c>
      <c r="G145" s="581">
        <f t="shared" si="11"/>
        <v>19939.62</v>
      </c>
      <c r="H145" s="33">
        <v>0</v>
      </c>
      <c r="I145" s="33">
        <v>0</v>
      </c>
      <c r="J145" s="33">
        <v>0</v>
      </c>
      <c r="K145" s="33">
        <f t="shared" si="13"/>
        <v>0</v>
      </c>
      <c r="L145" s="33">
        <f t="shared" si="14"/>
        <v>0</v>
      </c>
      <c r="M145" s="33">
        <f t="shared" si="15"/>
        <v>19939.62</v>
      </c>
      <c r="N145" s="235">
        <f t="shared" si="12"/>
        <v>0</v>
      </c>
      <c r="O145" s="35" t="s">
        <v>3327</v>
      </c>
      <c r="P145" s="35"/>
      <c r="Q145" s="39">
        <f>SUMIF('Antelope Bailey Split BA'!$B$7:$B$29,B145,'Antelope Bailey Split BA'!$C$7:$C$29)</f>
        <v>0</v>
      </c>
      <c r="R145" s="39" t="str">
        <f>IF(AND(Q145=1,'Plant Total by Account'!$J$1=2),"EKWRA","")</f>
        <v/>
      </c>
    </row>
    <row r="146" spans="1:18" x14ac:dyDescent="0.2">
      <c r="A146" s="31" t="s">
        <v>2714</v>
      </c>
      <c r="B146" s="32" t="s">
        <v>244</v>
      </c>
      <c r="C146" s="504" t="s">
        <v>3353</v>
      </c>
      <c r="D146" s="42">
        <v>20819</v>
      </c>
      <c r="E146" s="42">
        <v>177054.57</v>
      </c>
      <c r="F146" s="42">
        <v>5325662.4400000023</v>
      </c>
      <c r="G146" s="581">
        <f t="shared" si="11"/>
        <v>5523536.0100000026</v>
      </c>
      <c r="H146" s="33">
        <v>0</v>
      </c>
      <c r="I146" s="33">
        <v>0</v>
      </c>
      <c r="J146" s="33">
        <v>0</v>
      </c>
      <c r="K146" s="33">
        <f t="shared" si="13"/>
        <v>20819</v>
      </c>
      <c r="L146" s="33">
        <f t="shared" si="14"/>
        <v>177054.57</v>
      </c>
      <c r="M146" s="33">
        <f t="shared" si="15"/>
        <v>5325662.4400000023</v>
      </c>
      <c r="N146" s="235">
        <f t="shared" si="12"/>
        <v>0</v>
      </c>
      <c r="O146" s="35" t="s">
        <v>3327</v>
      </c>
      <c r="P146" s="35"/>
      <c r="Q146" s="39">
        <f>SUMIF('Antelope Bailey Split BA'!$B$7:$B$29,B146,'Antelope Bailey Split BA'!$C$7:$C$29)</f>
        <v>0</v>
      </c>
      <c r="R146" s="39" t="str">
        <f>IF(AND(Q146=1,'Plant Total by Account'!$J$1=2),"EKWRA","")</f>
        <v/>
      </c>
    </row>
    <row r="147" spans="1:18" x14ac:dyDescent="0.2">
      <c r="A147" s="31" t="s">
        <v>2715</v>
      </c>
      <c r="B147" s="32" t="s">
        <v>245</v>
      </c>
      <c r="C147" s="504" t="s">
        <v>3353</v>
      </c>
      <c r="D147" s="42">
        <v>829.91</v>
      </c>
      <c r="E147" s="42">
        <v>0</v>
      </c>
      <c r="F147" s="42">
        <v>0</v>
      </c>
      <c r="G147" s="581">
        <f t="shared" si="11"/>
        <v>829.91</v>
      </c>
      <c r="H147" s="33">
        <v>0</v>
      </c>
      <c r="I147" s="33">
        <v>0</v>
      </c>
      <c r="J147" s="33">
        <v>0</v>
      </c>
      <c r="K147" s="33">
        <f t="shared" si="13"/>
        <v>829.91</v>
      </c>
      <c r="L147" s="33">
        <f t="shared" si="14"/>
        <v>0</v>
      </c>
      <c r="M147" s="33">
        <f t="shared" si="15"/>
        <v>0</v>
      </c>
      <c r="N147" s="235">
        <f t="shared" si="12"/>
        <v>0</v>
      </c>
      <c r="O147" s="35" t="s">
        <v>3327</v>
      </c>
      <c r="P147" s="35"/>
      <c r="Q147" s="39">
        <f>SUMIF('Antelope Bailey Split BA'!$B$7:$B$29,B147,'Antelope Bailey Split BA'!$C$7:$C$29)</f>
        <v>0</v>
      </c>
      <c r="R147" s="39" t="str">
        <f>IF(AND(Q147=1,'Plant Total by Account'!$J$1=2),"EKWRA","")</f>
        <v/>
      </c>
    </row>
    <row r="148" spans="1:18" x14ac:dyDescent="0.2">
      <c r="A148" s="31" t="s">
        <v>2716</v>
      </c>
      <c r="B148" s="32" t="s">
        <v>246</v>
      </c>
      <c r="C148" s="504" t="s">
        <v>3353</v>
      </c>
      <c r="D148" s="42">
        <v>0</v>
      </c>
      <c r="E148" s="42">
        <v>29887.49</v>
      </c>
      <c r="F148" s="42">
        <v>1939389.1300000004</v>
      </c>
      <c r="G148" s="581">
        <f t="shared" si="11"/>
        <v>1969276.6200000003</v>
      </c>
      <c r="H148" s="33">
        <v>0</v>
      </c>
      <c r="I148" s="33">
        <v>0</v>
      </c>
      <c r="J148" s="33">
        <v>0</v>
      </c>
      <c r="K148" s="33">
        <f t="shared" si="13"/>
        <v>0</v>
      </c>
      <c r="L148" s="33">
        <f t="shared" si="14"/>
        <v>29887.49</v>
      </c>
      <c r="M148" s="33">
        <f t="shared" si="15"/>
        <v>1939389.1300000004</v>
      </c>
      <c r="N148" s="235">
        <f t="shared" si="12"/>
        <v>0</v>
      </c>
      <c r="O148" s="35" t="s">
        <v>3327</v>
      </c>
      <c r="P148" s="35"/>
      <c r="Q148" s="39">
        <f>SUMIF('Antelope Bailey Split BA'!$B$7:$B$29,B148,'Antelope Bailey Split BA'!$C$7:$C$29)</f>
        <v>0</v>
      </c>
      <c r="R148" s="39" t="str">
        <f>IF(AND(Q148=1,'Plant Total by Account'!$J$1=2),"EKWRA","")</f>
        <v/>
      </c>
    </row>
    <row r="149" spans="1:18" x14ac:dyDescent="0.2">
      <c r="A149" s="31" t="s">
        <v>2717</v>
      </c>
      <c r="B149" s="32" t="s">
        <v>247</v>
      </c>
      <c r="C149" s="504" t="s">
        <v>3352</v>
      </c>
      <c r="D149" s="42">
        <v>4274.58</v>
      </c>
      <c r="E149" s="42">
        <v>28372.080000000002</v>
      </c>
      <c r="F149" s="42">
        <v>1482169.7400000002</v>
      </c>
      <c r="G149" s="581">
        <f t="shared" si="11"/>
        <v>1514816.4000000001</v>
      </c>
      <c r="H149" s="33">
        <v>0</v>
      </c>
      <c r="I149" s="33">
        <v>0</v>
      </c>
      <c r="J149" s="33">
        <v>0</v>
      </c>
      <c r="K149" s="33">
        <f t="shared" si="13"/>
        <v>4274.58</v>
      </c>
      <c r="L149" s="33">
        <f t="shared" si="14"/>
        <v>28372.080000000002</v>
      </c>
      <c r="M149" s="33">
        <f t="shared" si="15"/>
        <v>1482169.7400000002</v>
      </c>
      <c r="N149" s="235">
        <f t="shared" si="12"/>
        <v>0</v>
      </c>
      <c r="O149" s="35" t="s">
        <v>3327</v>
      </c>
      <c r="P149" s="35"/>
      <c r="Q149" s="39">
        <f>SUMIF('Antelope Bailey Split BA'!$B$7:$B$29,B149,'Antelope Bailey Split BA'!$C$7:$C$29)</f>
        <v>0</v>
      </c>
      <c r="R149" s="39" t="str">
        <f>IF(AND(Q149=1,'Plant Total by Account'!$J$1=2),"EKWRA","")</f>
        <v/>
      </c>
    </row>
    <row r="150" spans="1:18" x14ac:dyDescent="0.2">
      <c r="A150" s="31" t="s">
        <v>2718</v>
      </c>
      <c r="B150" s="32" t="s">
        <v>248</v>
      </c>
      <c r="C150" s="504" t="s">
        <v>3353</v>
      </c>
      <c r="D150" s="42">
        <v>25036.35</v>
      </c>
      <c r="E150" s="42">
        <v>283682.60999999993</v>
      </c>
      <c r="F150" s="42">
        <v>6638392.4099999983</v>
      </c>
      <c r="G150" s="581">
        <f t="shared" si="11"/>
        <v>6947111.3699999982</v>
      </c>
      <c r="H150" s="33">
        <v>0</v>
      </c>
      <c r="I150" s="33">
        <v>0</v>
      </c>
      <c r="J150" s="33">
        <v>0</v>
      </c>
      <c r="K150" s="33">
        <f t="shared" si="13"/>
        <v>25036.35</v>
      </c>
      <c r="L150" s="33">
        <f t="shared" si="14"/>
        <v>283682.60999999993</v>
      </c>
      <c r="M150" s="33">
        <f t="shared" si="15"/>
        <v>6638392.4099999983</v>
      </c>
      <c r="N150" s="235">
        <f t="shared" si="12"/>
        <v>0</v>
      </c>
      <c r="O150" s="35" t="s">
        <v>3327</v>
      </c>
      <c r="P150" s="35"/>
      <c r="Q150" s="39">
        <f>SUMIF('Antelope Bailey Split BA'!$B$7:$B$29,B150,'Antelope Bailey Split BA'!$C$7:$C$29)</f>
        <v>0</v>
      </c>
      <c r="R150" s="39" t="str">
        <f>IF(AND(Q150=1,'Plant Total by Account'!$J$1=2),"EKWRA","")</f>
        <v/>
      </c>
    </row>
    <row r="151" spans="1:18" x14ac:dyDescent="0.2">
      <c r="A151" s="31" t="s">
        <v>2431</v>
      </c>
      <c r="B151" s="32" t="s">
        <v>249</v>
      </c>
      <c r="C151" s="504" t="s">
        <v>3353</v>
      </c>
      <c r="D151" s="42">
        <v>65892.290000000008</v>
      </c>
      <c r="E151" s="42">
        <v>170715.38</v>
      </c>
      <c r="F151" s="42">
        <v>3803325.0900000017</v>
      </c>
      <c r="G151" s="581">
        <f t="shared" si="11"/>
        <v>4039932.7600000016</v>
      </c>
      <c r="H151" s="33">
        <v>0</v>
      </c>
      <c r="I151" s="33">
        <v>0</v>
      </c>
      <c r="J151" s="33">
        <v>0</v>
      </c>
      <c r="K151" s="33">
        <f t="shared" si="13"/>
        <v>65892.290000000008</v>
      </c>
      <c r="L151" s="33">
        <f t="shared" si="14"/>
        <v>170715.38</v>
      </c>
      <c r="M151" s="33">
        <f t="shared" si="15"/>
        <v>3803325.0900000017</v>
      </c>
      <c r="N151" s="235">
        <f t="shared" si="12"/>
        <v>0</v>
      </c>
      <c r="O151" s="35" t="s">
        <v>3327</v>
      </c>
      <c r="P151" s="35"/>
      <c r="Q151" s="39">
        <f>SUMIF('Antelope Bailey Split BA'!$B$7:$B$29,B151,'Antelope Bailey Split BA'!$C$7:$C$29)</f>
        <v>0</v>
      </c>
      <c r="R151" s="39" t="str">
        <f>IF(AND(Q151=1,'Plant Total by Account'!$J$1=2),"EKWRA","")</f>
        <v/>
      </c>
    </row>
    <row r="152" spans="1:18" x14ac:dyDescent="0.2">
      <c r="A152" s="31" t="s">
        <v>2432</v>
      </c>
      <c r="B152" s="32" t="s">
        <v>250</v>
      </c>
      <c r="C152" s="504" t="s">
        <v>3353</v>
      </c>
      <c r="D152" s="42">
        <v>24040.74</v>
      </c>
      <c r="E152" s="42">
        <v>117996.96</v>
      </c>
      <c r="F152" s="42">
        <v>6886824.5799999982</v>
      </c>
      <c r="G152" s="581">
        <f t="shared" si="11"/>
        <v>7028862.2799999984</v>
      </c>
      <c r="H152" s="33">
        <v>0</v>
      </c>
      <c r="I152" s="33">
        <v>0</v>
      </c>
      <c r="J152" s="33">
        <v>0</v>
      </c>
      <c r="K152" s="33">
        <f t="shared" si="13"/>
        <v>24040.74</v>
      </c>
      <c r="L152" s="33">
        <f t="shared" si="14"/>
        <v>117996.96</v>
      </c>
      <c r="M152" s="33">
        <f t="shared" si="15"/>
        <v>6886824.5799999982</v>
      </c>
      <c r="N152" s="235">
        <f t="shared" si="12"/>
        <v>0</v>
      </c>
      <c r="O152" s="35" t="s">
        <v>3327</v>
      </c>
      <c r="P152" s="35"/>
      <c r="Q152" s="39">
        <f>SUMIF('Antelope Bailey Split BA'!$B$7:$B$29,B152,'Antelope Bailey Split BA'!$C$7:$C$29)</f>
        <v>0</v>
      </c>
      <c r="R152" s="39" t="str">
        <f>IF(AND(Q152=1,'Plant Total by Account'!$J$1=2),"EKWRA","")</f>
        <v/>
      </c>
    </row>
    <row r="153" spans="1:18" x14ac:dyDescent="0.2">
      <c r="A153" s="31" t="s">
        <v>2719</v>
      </c>
      <c r="B153" s="32" t="s">
        <v>251</v>
      </c>
      <c r="C153" s="504" t="s">
        <v>3352</v>
      </c>
      <c r="D153" s="42">
        <v>2658.99</v>
      </c>
      <c r="E153" s="42">
        <v>2774899.2399999998</v>
      </c>
      <c r="F153" s="42">
        <v>1665182.9800000002</v>
      </c>
      <c r="G153" s="581">
        <f t="shared" si="11"/>
        <v>4442741.21</v>
      </c>
      <c r="H153" s="33">
        <v>0</v>
      </c>
      <c r="I153" s="33">
        <v>0</v>
      </c>
      <c r="J153" s="33">
        <v>0</v>
      </c>
      <c r="K153" s="33">
        <f t="shared" si="13"/>
        <v>2658.99</v>
      </c>
      <c r="L153" s="33">
        <f t="shared" si="14"/>
        <v>2774899.2399999998</v>
      </c>
      <c r="M153" s="33">
        <f t="shared" si="15"/>
        <v>1665182.9800000002</v>
      </c>
      <c r="N153" s="235">
        <f t="shared" si="12"/>
        <v>0</v>
      </c>
      <c r="O153" s="35" t="s">
        <v>3327</v>
      </c>
      <c r="P153" s="35"/>
      <c r="Q153" s="39">
        <f>SUMIF('Antelope Bailey Split BA'!$B$7:$B$29,B153,'Antelope Bailey Split BA'!$C$7:$C$29)</f>
        <v>0</v>
      </c>
      <c r="R153" s="39" t="str">
        <f>IF(AND(Q153=1,'Plant Total by Account'!$J$1=2),"EKWRA","")</f>
        <v/>
      </c>
    </row>
    <row r="154" spans="1:18" x14ac:dyDescent="0.2">
      <c r="A154" s="31" t="s">
        <v>2720</v>
      </c>
      <c r="B154" s="32" t="s">
        <v>252</v>
      </c>
      <c r="C154" s="504" t="s">
        <v>3353</v>
      </c>
      <c r="D154" s="42">
        <v>2385.61</v>
      </c>
      <c r="E154" s="42">
        <v>334732.86000000004</v>
      </c>
      <c r="F154" s="42">
        <v>4160965.2699999996</v>
      </c>
      <c r="G154" s="581">
        <f t="shared" si="11"/>
        <v>4498083.7399999993</v>
      </c>
      <c r="H154" s="33">
        <v>0</v>
      </c>
      <c r="I154" s="33">
        <v>0</v>
      </c>
      <c r="J154" s="33">
        <v>0</v>
      </c>
      <c r="K154" s="33">
        <f t="shared" si="13"/>
        <v>2385.61</v>
      </c>
      <c r="L154" s="33">
        <f t="shared" si="14"/>
        <v>334732.86000000004</v>
      </c>
      <c r="M154" s="33">
        <f t="shared" si="15"/>
        <v>4160965.2699999996</v>
      </c>
      <c r="N154" s="235">
        <f t="shared" si="12"/>
        <v>0</v>
      </c>
      <c r="O154" s="35" t="s">
        <v>3327</v>
      </c>
      <c r="P154" s="35"/>
      <c r="Q154" s="39">
        <f>SUMIF('Antelope Bailey Split BA'!$B$7:$B$29,B154,'Antelope Bailey Split BA'!$C$7:$C$29)</f>
        <v>0</v>
      </c>
      <c r="R154" s="39" t="str">
        <f>IF(AND(Q154=1,'Plant Total by Account'!$J$1=2),"EKWRA","")</f>
        <v/>
      </c>
    </row>
    <row r="155" spans="1:18" x14ac:dyDescent="0.2">
      <c r="A155" s="31" t="s">
        <v>2721</v>
      </c>
      <c r="B155" s="36" t="s">
        <v>253</v>
      </c>
      <c r="C155" s="504" t="s">
        <v>3353</v>
      </c>
      <c r="D155" s="42">
        <v>27863.99</v>
      </c>
      <c r="E155" s="42">
        <v>18821.62</v>
      </c>
      <c r="F155" s="42">
        <v>900737.09000000055</v>
      </c>
      <c r="G155" s="581">
        <f t="shared" si="11"/>
        <v>947422.70000000054</v>
      </c>
      <c r="H155" s="33">
        <v>0</v>
      </c>
      <c r="I155" s="33">
        <v>0</v>
      </c>
      <c r="J155" s="33">
        <v>0</v>
      </c>
      <c r="K155" s="33">
        <f t="shared" si="13"/>
        <v>27863.99</v>
      </c>
      <c r="L155" s="33">
        <f t="shared" si="14"/>
        <v>18821.62</v>
      </c>
      <c r="M155" s="33">
        <f t="shared" si="15"/>
        <v>900737.09000000055</v>
      </c>
      <c r="N155" s="235">
        <f t="shared" si="12"/>
        <v>0</v>
      </c>
      <c r="O155" s="35" t="s">
        <v>3327</v>
      </c>
      <c r="P155" s="35"/>
      <c r="Q155" s="39">
        <f>SUMIF('Antelope Bailey Split BA'!$B$7:$B$29,B155,'Antelope Bailey Split BA'!$C$7:$C$29)</f>
        <v>0</v>
      </c>
      <c r="R155" s="39" t="str">
        <f>IF(AND(Q155=1,'Plant Total by Account'!$J$1=2),"EKWRA","")</f>
        <v/>
      </c>
    </row>
    <row r="156" spans="1:18" x14ac:dyDescent="0.2">
      <c r="A156" s="31" t="s">
        <v>2722</v>
      </c>
      <c r="B156" s="36" t="s">
        <v>254</v>
      </c>
      <c r="C156" s="504" t="s">
        <v>3353</v>
      </c>
      <c r="D156" s="42">
        <v>32824.89</v>
      </c>
      <c r="E156" s="42">
        <v>47014.130000000005</v>
      </c>
      <c r="F156" s="42">
        <v>3183179.0199999991</v>
      </c>
      <c r="G156" s="581">
        <f t="shared" si="11"/>
        <v>3263018.0399999991</v>
      </c>
      <c r="H156" s="33">
        <v>0</v>
      </c>
      <c r="I156" s="33">
        <v>0</v>
      </c>
      <c r="J156" s="33">
        <v>0</v>
      </c>
      <c r="K156" s="33">
        <f t="shared" si="13"/>
        <v>32824.89</v>
      </c>
      <c r="L156" s="33">
        <f t="shared" si="14"/>
        <v>47014.130000000005</v>
      </c>
      <c r="M156" s="33">
        <f t="shared" si="15"/>
        <v>3183179.0199999991</v>
      </c>
      <c r="N156" s="235">
        <f t="shared" si="12"/>
        <v>0</v>
      </c>
      <c r="O156" s="35" t="s">
        <v>3327</v>
      </c>
      <c r="P156" s="35"/>
      <c r="Q156" s="39">
        <f>SUMIF('Antelope Bailey Split BA'!$B$7:$B$29,B156,'Antelope Bailey Split BA'!$C$7:$C$29)</f>
        <v>0</v>
      </c>
      <c r="R156" s="39" t="str">
        <f>IF(AND(Q156=1,'Plant Total by Account'!$J$1=2),"EKWRA","")</f>
        <v/>
      </c>
    </row>
    <row r="157" spans="1:18" x14ac:dyDescent="0.2">
      <c r="A157" s="31" t="s">
        <v>2723</v>
      </c>
      <c r="B157" s="36" t="s">
        <v>255</v>
      </c>
      <c r="C157" s="504" t="s">
        <v>3353</v>
      </c>
      <c r="D157" s="42">
        <v>72232.320000000007</v>
      </c>
      <c r="E157" s="42">
        <v>51027.21</v>
      </c>
      <c r="F157" s="42">
        <v>2032239.0600000005</v>
      </c>
      <c r="G157" s="581">
        <f t="shared" si="11"/>
        <v>2155498.5900000003</v>
      </c>
      <c r="H157" s="33">
        <v>0</v>
      </c>
      <c r="I157" s="33">
        <v>0</v>
      </c>
      <c r="J157" s="33">
        <v>0</v>
      </c>
      <c r="K157" s="33">
        <f t="shared" si="13"/>
        <v>72232.320000000007</v>
      </c>
      <c r="L157" s="33">
        <f t="shared" si="14"/>
        <v>51027.21</v>
      </c>
      <c r="M157" s="33">
        <f t="shared" si="15"/>
        <v>2032239.0600000005</v>
      </c>
      <c r="N157" s="235">
        <f t="shared" si="12"/>
        <v>0</v>
      </c>
      <c r="O157" s="35" t="s">
        <v>3327</v>
      </c>
      <c r="P157" s="35"/>
      <c r="Q157" s="39">
        <f>SUMIF('Antelope Bailey Split BA'!$B$7:$B$29,B157,'Antelope Bailey Split BA'!$C$7:$C$29)</f>
        <v>0</v>
      </c>
      <c r="R157" s="39" t="str">
        <f>IF(AND(Q157=1,'Plant Total by Account'!$J$1=2),"EKWRA","")</f>
        <v/>
      </c>
    </row>
    <row r="158" spans="1:18" x14ac:dyDescent="0.2">
      <c r="A158" s="31" t="s">
        <v>2724</v>
      </c>
      <c r="B158" s="36" t="s">
        <v>256</v>
      </c>
      <c r="C158" s="504" t="s">
        <v>3353</v>
      </c>
      <c r="D158" s="42">
        <v>54374.25</v>
      </c>
      <c r="E158" s="42">
        <v>116354.95999999999</v>
      </c>
      <c r="F158" s="42">
        <v>2765136.290000001</v>
      </c>
      <c r="G158" s="581">
        <f t="shared" si="11"/>
        <v>2935865.5000000009</v>
      </c>
      <c r="H158" s="33">
        <v>0</v>
      </c>
      <c r="I158" s="33">
        <v>0</v>
      </c>
      <c r="J158" s="33">
        <v>0</v>
      </c>
      <c r="K158" s="33">
        <f t="shared" si="13"/>
        <v>54374.25</v>
      </c>
      <c r="L158" s="33">
        <f t="shared" si="14"/>
        <v>116354.95999999999</v>
      </c>
      <c r="M158" s="33">
        <f t="shared" si="15"/>
        <v>2765136.290000001</v>
      </c>
      <c r="N158" s="235">
        <f t="shared" si="12"/>
        <v>0</v>
      </c>
      <c r="O158" s="35" t="s">
        <v>3327</v>
      </c>
      <c r="P158" s="35"/>
      <c r="Q158" s="39">
        <f>SUMIF('Antelope Bailey Split BA'!$B$7:$B$29,B158,'Antelope Bailey Split BA'!$C$7:$C$29)</f>
        <v>0</v>
      </c>
      <c r="R158" s="39" t="str">
        <f>IF(AND(Q158=1,'Plant Total by Account'!$J$1=2),"EKWRA","")</f>
        <v/>
      </c>
    </row>
    <row r="159" spans="1:18" x14ac:dyDescent="0.2">
      <c r="A159" s="31" t="s">
        <v>2725</v>
      </c>
      <c r="B159" s="36" t="s">
        <v>257</v>
      </c>
      <c r="C159" s="504" t="s">
        <v>3353</v>
      </c>
      <c r="D159" s="42">
        <v>0</v>
      </c>
      <c r="E159" s="42">
        <v>32976.01</v>
      </c>
      <c r="F159" s="42">
        <v>756898.20999999985</v>
      </c>
      <c r="G159" s="581">
        <f t="shared" si="11"/>
        <v>789874.21999999986</v>
      </c>
      <c r="H159" s="33">
        <v>0</v>
      </c>
      <c r="I159" s="33">
        <v>0</v>
      </c>
      <c r="J159" s="33">
        <v>0</v>
      </c>
      <c r="K159" s="33">
        <f t="shared" si="13"/>
        <v>0</v>
      </c>
      <c r="L159" s="33">
        <f t="shared" si="14"/>
        <v>32976.01</v>
      </c>
      <c r="M159" s="33">
        <f t="shared" si="15"/>
        <v>756898.20999999985</v>
      </c>
      <c r="N159" s="235">
        <f t="shared" si="12"/>
        <v>0</v>
      </c>
      <c r="O159" s="35" t="s">
        <v>3327</v>
      </c>
      <c r="P159" s="35"/>
      <c r="Q159" s="39">
        <f>SUMIF('Antelope Bailey Split BA'!$B$7:$B$29,B159,'Antelope Bailey Split BA'!$C$7:$C$29)</f>
        <v>0</v>
      </c>
      <c r="R159" s="39" t="str">
        <f>IF(AND(Q159=1,'Plant Total by Account'!$J$1=2),"EKWRA","")</f>
        <v/>
      </c>
    </row>
    <row r="160" spans="1:18" x14ac:dyDescent="0.2">
      <c r="A160" s="31" t="s">
        <v>2726</v>
      </c>
      <c r="B160" s="36" t="s">
        <v>258</v>
      </c>
      <c r="C160" s="504" t="s">
        <v>3353</v>
      </c>
      <c r="D160" s="42">
        <v>1219.51</v>
      </c>
      <c r="E160" s="42">
        <v>127235.55</v>
      </c>
      <c r="F160" s="42">
        <v>2240340.75</v>
      </c>
      <c r="G160" s="581">
        <f t="shared" si="11"/>
        <v>2368795.81</v>
      </c>
      <c r="H160" s="33">
        <v>0</v>
      </c>
      <c r="I160" s="33">
        <v>0</v>
      </c>
      <c r="J160" s="33">
        <v>0</v>
      </c>
      <c r="K160" s="33">
        <f t="shared" si="13"/>
        <v>1219.51</v>
      </c>
      <c r="L160" s="33">
        <f t="shared" si="14"/>
        <v>127235.55</v>
      </c>
      <c r="M160" s="33">
        <f t="shared" si="15"/>
        <v>2240340.75</v>
      </c>
      <c r="N160" s="235">
        <f t="shared" si="12"/>
        <v>0</v>
      </c>
      <c r="O160" s="35" t="s">
        <v>3327</v>
      </c>
      <c r="P160" s="35"/>
      <c r="Q160" s="39">
        <f>SUMIF('Antelope Bailey Split BA'!$B$7:$B$29,B160,'Antelope Bailey Split BA'!$C$7:$C$29)</f>
        <v>0</v>
      </c>
      <c r="R160" s="39" t="str">
        <f>IF(AND(Q160=1,'Plant Total by Account'!$J$1=2),"EKWRA","")</f>
        <v/>
      </c>
    </row>
    <row r="161" spans="1:18" x14ac:dyDescent="0.2">
      <c r="A161" s="31" t="s">
        <v>2433</v>
      </c>
      <c r="B161" s="36" t="s">
        <v>259</v>
      </c>
      <c r="C161" s="504" t="s">
        <v>3353</v>
      </c>
      <c r="D161" s="42">
        <v>64449.39</v>
      </c>
      <c r="E161" s="42">
        <v>123660</v>
      </c>
      <c r="F161" s="42">
        <v>4676189.4200000037</v>
      </c>
      <c r="G161" s="581">
        <f t="shared" si="11"/>
        <v>4864298.8100000033</v>
      </c>
      <c r="H161" s="33">
        <v>0</v>
      </c>
      <c r="I161" s="33">
        <v>0</v>
      </c>
      <c r="J161" s="33">
        <v>0</v>
      </c>
      <c r="K161" s="33">
        <f t="shared" si="13"/>
        <v>64449.39</v>
      </c>
      <c r="L161" s="33">
        <f t="shared" si="14"/>
        <v>123660</v>
      </c>
      <c r="M161" s="33">
        <f t="shared" si="15"/>
        <v>4676189.4200000037</v>
      </c>
      <c r="N161" s="235">
        <f t="shared" si="12"/>
        <v>0</v>
      </c>
      <c r="O161" s="35" t="s">
        <v>3327</v>
      </c>
      <c r="P161" s="35"/>
      <c r="Q161" s="39">
        <f>SUMIF('Antelope Bailey Split BA'!$B$7:$B$29,B161,'Antelope Bailey Split BA'!$C$7:$C$29)</f>
        <v>0</v>
      </c>
      <c r="R161" s="39" t="str">
        <f>IF(AND(Q161=1,'Plant Total by Account'!$J$1=2),"EKWRA","")</f>
        <v/>
      </c>
    </row>
    <row r="162" spans="1:18" x14ac:dyDescent="0.2">
      <c r="A162" s="31" t="s">
        <v>1985</v>
      </c>
      <c r="B162" s="36" t="s">
        <v>260</v>
      </c>
      <c r="C162" s="504"/>
      <c r="D162" s="42">
        <v>0</v>
      </c>
      <c r="E162" s="42">
        <v>30613.48</v>
      </c>
      <c r="F162" s="42">
        <v>1965545.0200000005</v>
      </c>
      <c r="G162" s="581">
        <f t="shared" si="11"/>
        <v>1996158.5000000005</v>
      </c>
      <c r="H162" s="33">
        <v>0</v>
      </c>
      <c r="I162" s="33">
        <v>0</v>
      </c>
      <c r="J162" s="33">
        <v>0</v>
      </c>
      <c r="K162" s="33">
        <f t="shared" si="13"/>
        <v>0</v>
      </c>
      <c r="L162" s="33">
        <f t="shared" si="14"/>
        <v>30613.48</v>
      </c>
      <c r="M162" s="33">
        <f t="shared" si="15"/>
        <v>1965545.0200000005</v>
      </c>
      <c r="N162" s="235">
        <f t="shared" si="12"/>
        <v>0</v>
      </c>
      <c r="O162" s="35" t="s">
        <v>3327</v>
      </c>
      <c r="P162" s="35"/>
      <c r="Q162" s="39">
        <f>SUMIF('Antelope Bailey Split BA'!$B$7:$B$29,B162,'Antelope Bailey Split BA'!$C$7:$C$29)</f>
        <v>0</v>
      </c>
      <c r="R162" s="39" t="str">
        <f>IF(AND(Q162=1,'Plant Total by Account'!$J$1=2),"EKWRA","")</f>
        <v/>
      </c>
    </row>
    <row r="163" spans="1:18" x14ac:dyDescent="0.2">
      <c r="A163" s="31" t="s">
        <v>2727</v>
      </c>
      <c r="B163" s="36" t="s">
        <v>261</v>
      </c>
      <c r="C163" s="504" t="s">
        <v>3353</v>
      </c>
      <c r="D163" s="42">
        <v>351856.31</v>
      </c>
      <c r="E163" s="42">
        <v>231511.46</v>
      </c>
      <c r="F163" s="42">
        <v>8831122.9700000063</v>
      </c>
      <c r="G163" s="581">
        <f t="shared" si="11"/>
        <v>9414490.7400000058</v>
      </c>
      <c r="H163" s="33">
        <v>0</v>
      </c>
      <c r="I163" s="33">
        <v>0</v>
      </c>
      <c r="J163" s="33">
        <v>0</v>
      </c>
      <c r="K163" s="33">
        <f t="shared" si="13"/>
        <v>351856.31</v>
      </c>
      <c r="L163" s="33">
        <f t="shared" si="14"/>
        <v>231511.46</v>
      </c>
      <c r="M163" s="33">
        <f t="shared" si="15"/>
        <v>8831122.9700000063</v>
      </c>
      <c r="N163" s="235">
        <f t="shared" si="12"/>
        <v>0</v>
      </c>
      <c r="O163" s="35" t="s">
        <v>3327</v>
      </c>
      <c r="P163" s="35"/>
      <c r="Q163" s="39">
        <f>SUMIF('Antelope Bailey Split BA'!$B$7:$B$29,B163,'Antelope Bailey Split BA'!$C$7:$C$29)</f>
        <v>0</v>
      </c>
      <c r="R163" s="39" t="str">
        <f>IF(AND(Q163=1,'Plant Total by Account'!$J$1=2),"EKWRA","")</f>
        <v/>
      </c>
    </row>
    <row r="164" spans="1:18" x14ac:dyDescent="0.2">
      <c r="A164" s="31" t="s">
        <v>2728</v>
      </c>
      <c r="B164" s="36" t="s">
        <v>262</v>
      </c>
      <c r="C164" s="504" t="s">
        <v>3353</v>
      </c>
      <c r="D164" s="42">
        <v>865.92000000000007</v>
      </c>
      <c r="E164" s="42">
        <v>9530.06</v>
      </c>
      <c r="F164" s="42">
        <v>967769.1</v>
      </c>
      <c r="G164" s="581">
        <f t="shared" si="11"/>
        <v>978165.08</v>
      </c>
      <c r="H164" s="33">
        <v>0</v>
      </c>
      <c r="I164" s="33">
        <v>0</v>
      </c>
      <c r="J164" s="33">
        <v>0</v>
      </c>
      <c r="K164" s="33">
        <f t="shared" si="13"/>
        <v>865.92000000000007</v>
      </c>
      <c r="L164" s="33">
        <f t="shared" si="14"/>
        <v>9530.06</v>
      </c>
      <c r="M164" s="33">
        <f t="shared" si="15"/>
        <v>967769.1</v>
      </c>
      <c r="N164" s="235">
        <f t="shared" si="12"/>
        <v>0</v>
      </c>
      <c r="O164" s="35" t="s">
        <v>3327</v>
      </c>
      <c r="P164" s="35"/>
      <c r="Q164" s="39">
        <f>SUMIF('Antelope Bailey Split BA'!$B$7:$B$29,B164,'Antelope Bailey Split BA'!$C$7:$C$29)</f>
        <v>0</v>
      </c>
      <c r="R164" s="39" t="str">
        <f>IF(AND(Q164=1,'Plant Total by Account'!$J$1=2),"EKWRA","")</f>
        <v/>
      </c>
    </row>
    <row r="165" spans="1:18" x14ac:dyDescent="0.2">
      <c r="A165" s="31" t="s">
        <v>2729</v>
      </c>
      <c r="B165" s="36" t="s">
        <v>263</v>
      </c>
      <c r="C165" s="504" t="s">
        <v>3353</v>
      </c>
      <c r="D165" s="42">
        <v>6230.4599999999991</v>
      </c>
      <c r="E165" s="42">
        <v>200720.31</v>
      </c>
      <c r="F165" s="42">
        <v>5606809.6600000029</v>
      </c>
      <c r="G165" s="581">
        <f t="shared" si="11"/>
        <v>5813760.4300000025</v>
      </c>
      <c r="H165" s="33">
        <v>0</v>
      </c>
      <c r="I165" s="33">
        <v>0</v>
      </c>
      <c r="J165" s="33">
        <v>0</v>
      </c>
      <c r="K165" s="33">
        <f t="shared" si="13"/>
        <v>6230.4599999999991</v>
      </c>
      <c r="L165" s="33">
        <f t="shared" si="14"/>
        <v>200720.31</v>
      </c>
      <c r="M165" s="33">
        <f t="shared" si="15"/>
        <v>5606809.6600000029</v>
      </c>
      <c r="N165" s="235">
        <f t="shared" si="12"/>
        <v>0</v>
      </c>
      <c r="O165" s="35" t="s">
        <v>3327</v>
      </c>
      <c r="P165" s="35"/>
      <c r="Q165" s="39">
        <f>SUMIF('Antelope Bailey Split BA'!$B$7:$B$29,B165,'Antelope Bailey Split BA'!$C$7:$C$29)</f>
        <v>0</v>
      </c>
      <c r="R165" s="39" t="str">
        <f>IF(AND(Q165=1,'Plant Total by Account'!$J$1=2),"EKWRA","")</f>
        <v/>
      </c>
    </row>
    <row r="166" spans="1:18" x14ac:dyDescent="0.2">
      <c r="A166" s="31" t="s">
        <v>2730</v>
      </c>
      <c r="B166" s="36" t="s">
        <v>264</v>
      </c>
      <c r="C166" s="504" t="s">
        <v>3353</v>
      </c>
      <c r="D166" s="42">
        <v>0</v>
      </c>
      <c r="E166" s="42">
        <v>21937.72</v>
      </c>
      <c r="F166" s="42">
        <v>1087299.2600000002</v>
      </c>
      <c r="G166" s="581">
        <f t="shared" si="11"/>
        <v>1109236.9800000002</v>
      </c>
      <c r="H166" s="33">
        <v>0</v>
      </c>
      <c r="I166" s="33">
        <v>0</v>
      </c>
      <c r="J166" s="33">
        <v>0</v>
      </c>
      <c r="K166" s="33">
        <f t="shared" si="13"/>
        <v>0</v>
      </c>
      <c r="L166" s="33">
        <f t="shared" si="14"/>
        <v>21937.72</v>
      </c>
      <c r="M166" s="33">
        <f t="shared" si="15"/>
        <v>1087299.2600000002</v>
      </c>
      <c r="N166" s="235">
        <f t="shared" si="12"/>
        <v>0</v>
      </c>
      <c r="O166" s="35" t="s">
        <v>3327</v>
      </c>
      <c r="P166" s="35"/>
      <c r="Q166" s="39">
        <f>SUMIF('Antelope Bailey Split BA'!$B$7:$B$29,B166,'Antelope Bailey Split BA'!$C$7:$C$29)</f>
        <v>0</v>
      </c>
      <c r="R166" s="39" t="str">
        <f>IF(AND(Q166=1,'Plant Total by Account'!$J$1=2),"EKWRA","")</f>
        <v/>
      </c>
    </row>
    <row r="167" spans="1:18" x14ac:dyDescent="0.2">
      <c r="A167" s="31" t="s">
        <v>2731</v>
      </c>
      <c r="B167" s="36" t="s">
        <v>265</v>
      </c>
      <c r="C167" s="504" t="s">
        <v>3352</v>
      </c>
      <c r="D167" s="42">
        <v>2210.52</v>
      </c>
      <c r="E167" s="42">
        <v>14057.92</v>
      </c>
      <c r="F167" s="42">
        <v>724964.77999999991</v>
      </c>
      <c r="G167" s="581">
        <f t="shared" si="11"/>
        <v>741233.21999999986</v>
      </c>
      <c r="H167" s="33">
        <v>0</v>
      </c>
      <c r="I167" s="33">
        <v>0</v>
      </c>
      <c r="J167" s="33">
        <v>0</v>
      </c>
      <c r="K167" s="33">
        <f t="shared" si="13"/>
        <v>2210.52</v>
      </c>
      <c r="L167" s="33">
        <f t="shared" si="14"/>
        <v>14057.92</v>
      </c>
      <c r="M167" s="33">
        <f t="shared" si="15"/>
        <v>724964.77999999991</v>
      </c>
      <c r="N167" s="235">
        <f t="shared" si="12"/>
        <v>0</v>
      </c>
      <c r="O167" s="35" t="s">
        <v>3327</v>
      </c>
      <c r="P167" s="35"/>
      <c r="Q167" s="39">
        <f>SUMIF('Antelope Bailey Split BA'!$B$7:$B$29,B167,'Antelope Bailey Split BA'!$C$7:$C$29)</f>
        <v>0</v>
      </c>
      <c r="R167" s="39" t="str">
        <f>IF(AND(Q167=1,'Plant Total by Account'!$J$1=2),"EKWRA","")</f>
        <v/>
      </c>
    </row>
    <row r="168" spans="1:18" x14ac:dyDescent="0.2">
      <c r="A168" s="31" t="s">
        <v>2732</v>
      </c>
      <c r="B168" s="36" t="s">
        <v>266</v>
      </c>
      <c r="C168" s="504" t="s">
        <v>3353</v>
      </c>
      <c r="D168" s="42">
        <v>8980.9000000000015</v>
      </c>
      <c r="E168" s="42">
        <v>232610.38</v>
      </c>
      <c r="F168" s="42">
        <v>3337528.9200000018</v>
      </c>
      <c r="G168" s="581">
        <f t="shared" si="11"/>
        <v>3579120.2000000016</v>
      </c>
      <c r="H168" s="33">
        <v>0</v>
      </c>
      <c r="I168" s="33">
        <v>0</v>
      </c>
      <c r="J168" s="33">
        <v>0</v>
      </c>
      <c r="K168" s="33">
        <f t="shared" si="13"/>
        <v>8980.9000000000015</v>
      </c>
      <c r="L168" s="33">
        <f t="shared" si="14"/>
        <v>232610.38</v>
      </c>
      <c r="M168" s="33">
        <f t="shared" si="15"/>
        <v>3337528.9200000018</v>
      </c>
      <c r="N168" s="235">
        <f t="shared" si="12"/>
        <v>0</v>
      </c>
      <c r="O168" s="35" t="s">
        <v>3327</v>
      </c>
      <c r="P168" s="35"/>
      <c r="Q168" s="39">
        <f>SUMIF('Antelope Bailey Split BA'!$B$7:$B$29,B168,'Antelope Bailey Split BA'!$C$7:$C$29)</f>
        <v>0</v>
      </c>
      <c r="R168" s="39" t="str">
        <f>IF(AND(Q168=1,'Plant Total by Account'!$J$1=2),"EKWRA","")</f>
        <v/>
      </c>
    </row>
    <row r="169" spans="1:18" x14ac:dyDescent="0.2">
      <c r="A169" s="31" t="s">
        <v>2733</v>
      </c>
      <c r="B169" s="36" t="s">
        <v>267</v>
      </c>
      <c r="C169" s="504" t="s">
        <v>3353</v>
      </c>
      <c r="D169" s="42">
        <v>79779.010000000009</v>
      </c>
      <c r="E169" s="42">
        <v>253445.41999999998</v>
      </c>
      <c r="F169" s="42">
        <v>4536180.6400000006</v>
      </c>
      <c r="G169" s="581">
        <f t="shared" si="11"/>
        <v>4869405.07</v>
      </c>
      <c r="H169" s="33">
        <v>0</v>
      </c>
      <c r="I169" s="33">
        <v>0</v>
      </c>
      <c r="J169" s="33">
        <v>0</v>
      </c>
      <c r="K169" s="33">
        <f t="shared" si="13"/>
        <v>79779.010000000009</v>
      </c>
      <c r="L169" s="33">
        <f t="shared" si="14"/>
        <v>253445.41999999998</v>
      </c>
      <c r="M169" s="33">
        <f t="shared" si="15"/>
        <v>4536180.6400000006</v>
      </c>
      <c r="N169" s="235">
        <f t="shared" si="12"/>
        <v>0</v>
      </c>
      <c r="O169" s="35" t="s">
        <v>3327</v>
      </c>
      <c r="P169" s="35"/>
      <c r="Q169" s="39">
        <f>SUMIF('Antelope Bailey Split BA'!$B$7:$B$29,B169,'Antelope Bailey Split BA'!$C$7:$C$29)</f>
        <v>0</v>
      </c>
      <c r="R169" s="39" t="str">
        <f>IF(AND(Q169=1,'Plant Total by Account'!$J$1=2),"EKWRA","")</f>
        <v/>
      </c>
    </row>
    <row r="170" spans="1:18" x14ac:dyDescent="0.2">
      <c r="A170" s="31" t="s">
        <v>2734</v>
      </c>
      <c r="B170" s="36" t="s">
        <v>268</v>
      </c>
      <c r="C170" s="504" t="s">
        <v>3352</v>
      </c>
      <c r="D170" s="42">
        <v>69464.639999999999</v>
      </c>
      <c r="E170" s="42">
        <v>86815.540000000008</v>
      </c>
      <c r="F170" s="42">
        <v>2014979.7500000014</v>
      </c>
      <c r="G170" s="581">
        <f t="shared" si="11"/>
        <v>2171259.9300000016</v>
      </c>
      <c r="H170" s="33">
        <v>0</v>
      </c>
      <c r="I170" s="33">
        <v>0</v>
      </c>
      <c r="J170" s="33">
        <v>0</v>
      </c>
      <c r="K170" s="33">
        <f t="shared" si="13"/>
        <v>69464.639999999999</v>
      </c>
      <c r="L170" s="33">
        <f t="shared" si="14"/>
        <v>86815.540000000008</v>
      </c>
      <c r="M170" s="33">
        <f t="shared" si="15"/>
        <v>2014979.7500000014</v>
      </c>
      <c r="N170" s="235">
        <f t="shared" si="12"/>
        <v>0</v>
      </c>
      <c r="O170" s="35" t="s">
        <v>3327</v>
      </c>
      <c r="P170" s="35"/>
      <c r="Q170" s="39">
        <f>SUMIF('Antelope Bailey Split BA'!$B$7:$B$29,B170,'Antelope Bailey Split BA'!$C$7:$C$29)</f>
        <v>0</v>
      </c>
      <c r="R170" s="39" t="str">
        <f>IF(AND(Q170=1,'Plant Total by Account'!$J$1=2),"EKWRA","")</f>
        <v/>
      </c>
    </row>
    <row r="171" spans="1:18" x14ac:dyDescent="0.2">
      <c r="A171" s="31" t="s">
        <v>2735</v>
      </c>
      <c r="B171" s="36" t="s">
        <v>269</v>
      </c>
      <c r="C171" s="504" t="s">
        <v>3353</v>
      </c>
      <c r="D171" s="42">
        <v>196527.1</v>
      </c>
      <c r="E171" s="42">
        <v>182246.45000000004</v>
      </c>
      <c r="F171" s="42">
        <v>2916715.4499999993</v>
      </c>
      <c r="G171" s="581">
        <f t="shared" si="11"/>
        <v>3295488.9999999991</v>
      </c>
      <c r="H171" s="33">
        <v>0</v>
      </c>
      <c r="I171" s="33">
        <v>0</v>
      </c>
      <c r="J171" s="33">
        <v>0</v>
      </c>
      <c r="K171" s="33">
        <f t="shared" si="13"/>
        <v>196527.1</v>
      </c>
      <c r="L171" s="33">
        <f t="shared" si="14"/>
        <v>182246.45000000004</v>
      </c>
      <c r="M171" s="33">
        <f t="shared" si="15"/>
        <v>2916715.4499999993</v>
      </c>
      <c r="N171" s="235">
        <f t="shared" si="12"/>
        <v>0</v>
      </c>
      <c r="O171" s="35" t="s">
        <v>3327</v>
      </c>
      <c r="P171" s="35"/>
      <c r="Q171" s="39">
        <f>SUMIF('Antelope Bailey Split BA'!$B$7:$B$29,B171,'Antelope Bailey Split BA'!$C$7:$C$29)</f>
        <v>0</v>
      </c>
      <c r="R171" s="39" t="str">
        <f>IF(AND(Q171=1,'Plant Total by Account'!$J$1=2),"EKWRA","")</f>
        <v/>
      </c>
    </row>
    <row r="172" spans="1:18" x14ac:dyDescent="0.2">
      <c r="A172" s="31" t="s">
        <v>2736</v>
      </c>
      <c r="B172" s="36" t="s">
        <v>270</v>
      </c>
      <c r="C172" s="504" t="s">
        <v>3353</v>
      </c>
      <c r="D172" s="42">
        <v>23554.39</v>
      </c>
      <c r="E172" s="42">
        <v>107633.86</v>
      </c>
      <c r="F172" s="42">
        <v>3393786.7300000009</v>
      </c>
      <c r="G172" s="581">
        <f t="shared" si="11"/>
        <v>3524974.9800000009</v>
      </c>
      <c r="H172" s="33">
        <v>0</v>
      </c>
      <c r="I172" s="33">
        <v>0</v>
      </c>
      <c r="J172" s="33">
        <v>0</v>
      </c>
      <c r="K172" s="33">
        <f t="shared" si="13"/>
        <v>23554.39</v>
      </c>
      <c r="L172" s="33">
        <f t="shared" si="14"/>
        <v>107633.86</v>
      </c>
      <c r="M172" s="33">
        <f t="shared" si="15"/>
        <v>3393786.7300000009</v>
      </c>
      <c r="N172" s="235">
        <f t="shared" si="12"/>
        <v>0</v>
      </c>
      <c r="O172" s="35" t="s">
        <v>3327</v>
      </c>
      <c r="P172" s="35"/>
      <c r="Q172" s="39">
        <f>SUMIF('Antelope Bailey Split BA'!$B$7:$B$29,B172,'Antelope Bailey Split BA'!$C$7:$C$29)</f>
        <v>0</v>
      </c>
      <c r="R172" s="39" t="str">
        <f>IF(AND(Q172=1,'Plant Total by Account'!$J$1=2),"EKWRA","")</f>
        <v/>
      </c>
    </row>
    <row r="173" spans="1:18" x14ac:dyDescent="0.2">
      <c r="A173" s="31" t="s">
        <v>2737</v>
      </c>
      <c r="B173" s="36" t="s">
        <v>271</v>
      </c>
      <c r="C173" s="504" t="s">
        <v>3353</v>
      </c>
      <c r="D173" s="42">
        <v>0</v>
      </c>
      <c r="E173" s="42">
        <v>30762.53</v>
      </c>
      <c r="F173" s="42">
        <v>263477.66000000003</v>
      </c>
      <c r="G173" s="581">
        <f t="shared" si="11"/>
        <v>294240.19000000006</v>
      </c>
      <c r="H173" s="33">
        <v>0</v>
      </c>
      <c r="I173" s="33">
        <v>0</v>
      </c>
      <c r="J173" s="33">
        <v>0</v>
      </c>
      <c r="K173" s="33">
        <f t="shared" si="13"/>
        <v>0</v>
      </c>
      <c r="L173" s="33">
        <f t="shared" si="14"/>
        <v>30762.53</v>
      </c>
      <c r="M173" s="33">
        <f t="shared" si="15"/>
        <v>263477.66000000003</v>
      </c>
      <c r="N173" s="235">
        <f t="shared" si="12"/>
        <v>0</v>
      </c>
      <c r="O173" s="35" t="s">
        <v>3327</v>
      </c>
      <c r="P173" s="35"/>
      <c r="Q173" s="39">
        <f>SUMIF('Antelope Bailey Split BA'!$B$7:$B$29,B173,'Antelope Bailey Split BA'!$C$7:$C$29)</f>
        <v>0</v>
      </c>
      <c r="R173" s="39" t="str">
        <f>IF(AND(Q173=1,'Plant Total by Account'!$J$1=2),"EKWRA","")</f>
        <v/>
      </c>
    </row>
    <row r="174" spans="1:18" x14ac:dyDescent="0.2">
      <c r="A174" s="31" t="s">
        <v>2434</v>
      </c>
      <c r="B174" s="36" t="s">
        <v>272</v>
      </c>
      <c r="C174" s="504" t="s">
        <v>3353</v>
      </c>
      <c r="D174" s="42">
        <v>192066.73</v>
      </c>
      <c r="E174" s="42">
        <v>105911.93</v>
      </c>
      <c r="F174" s="42">
        <v>1449729.0700000003</v>
      </c>
      <c r="G174" s="581">
        <f t="shared" si="11"/>
        <v>1747707.7300000004</v>
      </c>
      <c r="H174" s="33">
        <v>0</v>
      </c>
      <c r="I174" s="33">
        <v>0</v>
      </c>
      <c r="J174" s="33">
        <v>0</v>
      </c>
      <c r="K174" s="33">
        <f t="shared" si="13"/>
        <v>192066.73</v>
      </c>
      <c r="L174" s="33">
        <f t="shared" si="14"/>
        <v>105911.93</v>
      </c>
      <c r="M174" s="33">
        <f t="shared" si="15"/>
        <v>1449729.0700000003</v>
      </c>
      <c r="N174" s="235">
        <f t="shared" si="12"/>
        <v>0</v>
      </c>
      <c r="O174" s="35" t="s">
        <v>3327</v>
      </c>
      <c r="P174" s="35"/>
      <c r="Q174" s="39">
        <f>SUMIF('Antelope Bailey Split BA'!$B$7:$B$29,B174,'Antelope Bailey Split BA'!$C$7:$C$29)</f>
        <v>0</v>
      </c>
      <c r="R174" s="39" t="str">
        <f>IF(AND(Q174=1,'Plant Total by Account'!$J$1=2),"EKWRA","")</f>
        <v/>
      </c>
    </row>
    <row r="175" spans="1:18" x14ac:dyDescent="0.2">
      <c r="A175" s="31" t="s">
        <v>2738</v>
      </c>
      <c r="B175" s="36" t="s">
        <v>273</v>
      </c>
      <c r="C175" s="504" t="s">
        <v>3353</v>
      </c>
      <c r="D175" s="42">
        <v>813.24</v>
      </c>
      <c r="E175" s="42">
        <v>3447.8</v>
      </c>
      <c r="F175" s="42">
        <v>531048.39999999991</v>
      </c>
      <c r="G175" s="581">
        <f t="shared" si="11"/>
        <v>535309.43999999994</v>
      </c>
      <c r="H175" s="33">
        <v>0</v>
      </c>
      <c r="I175" s="33">
        <v>0</v>
      </c>
      <c r="J175" s="33">
        <v>0</v>
      </c>
      <c r="K175" s="33">
        <f t="shared" si="13"/>
        <v>813.24</v>
      </c>
      <c r="L175" s="33">
        <f t="shared" si="14"/>
        <v>3447.8</v>
      </c>
      <c r="M175" s="33">
        <f t="shared" si="15"/>
        <v>531048.39999999991</v>
      </c>
      <c r="N175" s="235">
        <f t="shared" si="12"/>
        <v>0</v>
      </c>
      <c r="O175" s="35" t="s">
        <v>3327</v>
      </c>
      <c r="P175" s="35"/>
      <c r="Q175" s="39">
        <f>SUMIF('Antelope Bailey Split BA'!$B$7:$B$29,B175,'Antelope Bailey Split BA'!$C$7:$C$29)</f>
        <v>0</v>
      </c>
      <c r="R175" s="39" t="str">
        <f>IF(AND(Q175=1,'Plant Total by Account'!$J$1=2),"EKWRA","")</f>
        <v/>
      </c>
    </row>
    <row r="176" spans="1:18" x14ac:dyDescent="0.2">
      <c r="A176" s="31" t="s">
        <v>2739</v>
      </c>
      <c r="B176" s="36" t="s">
        <v>274</v>
      </c>
      <c r="C176" s="504" t="s">
        <v>3352</v>
      </c>
      <c r="D176" s="42">
        <v>2750.13</v>
      </c>
      <c r="E176" s="42">
        <v>31768.379999999997</v>
      </c>
      <c r="F176" s="42">
        <v>687577.38000000012</v>
      </c>
      <c r="G176" s="581">
        <f t="shared" si="11"/>
        <v>722095.89000000013</v>
      </c>
      <c r="H176" s="33">
        <v>0</v>
      </c>
      <c r="I176" s="33">
        <v>0</v>
      </c>
      <c r="J176" s="33">
        <v>0</v>
      </c>
      <c r="K176" s="33">
        <f t="shared" si="13"/>
        <v>2750.13</v>
      </c>
      <c r="L176" s="33">
        <f t="shared" si="14"/>
        <v>31768.379999999997</v>
      </c>
      <c r="M176" s="33">
        <f t="shared" si="15"/>
        <v>687577.38000000012</v>
      </c>
      <c r="N176" s="235">
        <f t="shared" si="12"/>
        <v>0</v>
      </c>
      <c r="O176" s="35" t="s">
        <v>3327</v>
      </c>
      <c r="P176" s="35"/>
      <c r="Q176" s="39">
        <f>SUMIF('Antelope Bailey Split BA'!$B$7:$B$29,B176,'Antelope Bailey Split BA'!$C$7:$C$29)</f>
        <v>0</v>
      </c>
      <c r="R176" s="39" t="str">
        <f>IF(AND(Q176=1,'Plant Total by Account'!$J$1=2),"EKWRA","")</f>
        <v/>
      </c>
    </row>
    <row r="177" spans="1:18" x14ac:dyDescent="0.2">
      <c r="A177" s="31" t="s">
        <v>2740</v>
      </c>
      <c r="B177" s="36" t="s">
        <v>275</v>
      </c>
      <c r="C177" s="504" t="s">
        <v>3352</v>
      </c>
      <c r="D177" s="42">
        <v>4118.8599999999997</v>
      </c>
      <c r="E177" s="42">
        <v>51568.43</v>
      </c>
      <c r="F177" s="42">
        <v>838150.43999999971</v>
      </c>
      <c r="G177" s="581">
        <f t="shared" si="11"/>
        <v>893837.72999999975</v>
      </c>
      <c r="H177" s="33">
        <v>0</v>
      </c>
      <c r="I177" s="33">
        <v>0</v>
      </c>
      <c r="J177" s="33">
        <v>0</v>
      </c>
      <c r="K177" s="33">
        <f t="shared" si="13"/>
        <v>4118.8599999999997</v>
      </c>
      <c r="L177" s="33">
        <f t="shared" si="14"/>
        <v>51568.43</v>
      </c>
      <c r="M177" s="33">
        <f t="shared" si="15"/>
        <v>838150.43999999971</v>
      </c>
      <c r="N177" s="235">
        <f t="shared" si="12"/>
        <v>0</v>
      </c>
      <c r="O177" s="35" t="s">
        <v>3327</v>
      </c>
      <c r="P177" s="35"/>
      <c r="Q177" s="39">
        <f>SUMIF('Antelope Bailey Split BA'!$B$7:$B$29,B177,'Antelope Bailey Split BA'!$C$7:$C$29)</f>
        <v>0</v>
      </c>
      <c r="R177" s="39" t="str">
        <f>IF(AND(Q177=1,'Plant Total by Account'!$J$1=2),"EKWRA","")</f>
        <v/>
      </c>
    </row>
    <row r="178" spans="1:18" x14ac:dyDescent="0.2">
      <c r="A178" s="31" t="s">
        <v>2741</v>
      </c>
      <c r="B178" s="36" t="s">
        <v>276</v>
      </c>
      <c r="C178" s="504" t="s">
        <v>3353</v>
      </c>
      <c r="D178" s="42">
        <v>16040.33</v>
      </c>
      <c r="E178" s="42">
        <v>206437.62000000002</v>
      </c>
      <c r="F178" s="42">
        <v>2628132.7899999991</v>
      </c>
      <c r="G178" s="581">
        <f t="shared" si="11"/>
        <v>2850610.7399999993</v>
      </c>
      <c r="H178" s="33">
        <v>0</v>
      </c>
      <c r="I178" s="33">
        <v>0</v>
      </c>
      <c r="J178" s="33">
        <v>0</v>
      </c>
      <c r="K178" s="33">
        <f t="shared" si="13"/>
        <v>16040.33</v>
      </c>
      <c r="L178" s="33">
        <f t="shared" si="14"/>
        <v>206437.62000000002</v>
      </c>
      <c r="M178" s="33">
        <f t="shared" si="15"/>
        <v>2628132.7899999991</v>
      </c>
      <c r="N178" s="235">
        <f t="shared" si="12"/>
        <v>0</v>
      </c>
      <c r="O178" s="35" t="s">
        <v>3327</v>
      </c>
      <c r="P178" s="35"/>
      <c r="Q178" s="39">
        <f>SUMIF('Antelope Bailey Split BA'!$B$7:$B$29,B178,'Antelope Bailey Split BA'!$C$7:$C$29)</f>
        <v>0</v>
      </c>
      <c r="R178" s="39" t="str">
        <f>IF(AND(Q178=1,'Plant Total by Account'!$J$1=2),"EKWRA","")</f>
        <v/>
      </c>
    </row>
    <row r="179" spans="1:18" x14ac:dyDescent="0.2">
      <c r="A179" s="31" t="s">
        <v>2742</v>
      </c>
      <c r="B179" s="36" t="s">
        <v>277</v>
      </c>
      <c r="C179" s="504" t="s">
        <v>3352</v>
      </c>
      <c r="D179" s="42">
        <v>2806.4100000000003</v>
      </c>
      <c r="E179" s="42">
        <v>15598.380000000001</v>
      </c>
      <c r="F179" s="42">
        <v>1064635.4600000002</v>
      </c>
      <c r="G179" s="581">
        <f t="shared" si="11"/>
        <v>1083040.2500000002</v>
      </c>
      <c r="H179" s="33">
        <v>0</v>
      </c>
      <c r="I179" s="33">
        <v>0</v>
      </c>
      <c r="J179" s="33">
        <v>0</v>
      </c>
      <c r="K179" s="33">
        <f t="shared" si="13"/>
        <v>2806.4100000000003</v>
      </c>
      <c r="L179" s="33">
        <f t="shared" si="14"/>
        <v>15598.380000000001</v>
      </c>
      <c r="M179" s="33">
        <f t="shared" si="15"/>
        <v>1064635.4600000002</v>
      </c>
      <c r="N179" s="235">
        <f t="shared" si="12"/>
        <v>0</v>
      </c>
      <c r="O179" s="35" t="s">
        <v>3327</v>
      </c>
      <c r="P179" s="35"/>
      <c r="Q179" s="39">
        <f>SUMIF('Antelope Bailey Split BA'!$B$7:$B$29,B179,'Antelope Bailey Split BA'!$C$7:$C$29)</f>
        <v>0</v>
      </c>
      <c r="R179" s="39" t="str">
        <f>IF(AND(Q179=1,'Plant Total by Account'!$J$1=2),"EKWRA","")</f>
        <v/>
      </c>
    </row>
    <row r="180" spans="1:18" x14ac:dyDescent="0.2">
      <c r="A180" s="31" t="s">
        <v>2743</v>
      </c>
      <c r="B180" s="36" t="s">
        <v>278</v>
      </c>
      <c r="C180" s="504" t="s">
        <v>3352</v>
      </c>
      <c r="D180" s="42">
        <v>18301.96</v>
      </c>
      <c r="E180" s="42">
        <v>25163.190000000002</v>
      </c>
      <c r="F180" s="42">
        <v>823414.60000000009</v>
      </c>
      <c r="G180" s="581">
        <f t="shared" si="11"/>
        <v>866879.75000000012</v>
      </c>
      <c r="H180" s="33">
        <v>0</v>
      </c>
      <c r="I180" s="33">
        <v>0</v>
      </c>
      <c r="J180" s="33">
        <v>0</v>
      </c>
      <c r="K180" s="33">
        <f t="shared" si="13"/>
        <v>18301.96</v>
      </c>
      <c r="L180" s="33">
        <f t="shared" si="14"/>
        <v>25163.190000000002</v>
      </c>
      <c r="M180" s="33">
        <f t="shared" si="15"/>
        <v>823414.60000000009</v>
      </c>
      <c r="N180" s="235">
        <f t="shared" si="12"/>
        <v>0</v>
      </c>
      <c r="O180" s="35" t="s">
        <v>3327</v>
      </c>
      <c r="P180" s="35"/>
      <c r="Q180" s="39">
        <f>SUMIF('Antelope Bailey Split BA'!$B$7:$B$29,B180,'Antelope Bailey Split BA'!$C$7:$C$29)</f>
        <v>0</v>
      </c>
      <c r="R180" s="39" t="str">
        <f>IF(AND(Q180=1,'Plant Total by Account'!$J$1=2),"EKWRA","")</f>
        <v/>
      </c>
    </row>
    <row r="181" spans="1:18" x14ac:dyDescent="0.2">
      <c r="A181" s="31" t="s">
        <v>2744</v>
      </c>
      <c r="B181" s="36" t="s">
        <v>279</v>
      </c>
      <c r="C181" s="504" t="s">
        <v>3353</v>
      </c>
      <c r="D181" s="42">
        <v>0</v>
      </c>
      <c r="E181" s="42">
        <v>1880.38</v>
      </c>
      <c r="F181" s="42">
        <v>337972.94000000006</v>
      </c>
      <c r="G181" s="581">
        <f t="shared" si="11"/>
        <v>339853.32000000007</v>
      </c>
      <c r="H181" s="33">
        <v>0</v>
      </c>
      <c r="I181" s="33">
        <v>0</v>
      </c>
      <c r="J181" s="33">
        <v>0</v>
      </c>
      <c r="K181" s="33">
        <f t="shared" si="13"/>
        <v>0</v>
      </c>
      <c r="L181" s="33">
        <f t="shared" si="14"/>
        <v>1880.38</v>
      </c>
      <c r="M181" s="33">
        <f t="shared" si="15"/>
        <v>337972.94000000006</v>
      </c>
      <c r="N181" s="235">
        <f t="shared" si="12"/>
        <v>0</v>
      </c>
      <c r="O181" s="35" t="s">
        <v>3327</v>
      </c>
      <c r="P181" s="35"/>
      <c r="Q181" s="39">
        <f>SUMIF('Antelope Bailey Split BA'!$B$7:$B$29,B181,'Antelope Bailey Split BA'!$C$7:$C$29)</f>
        <v>0</v>
      </c>
      <c r="R181" s="39" t="str">
        <f>IF(AND(Q181=1,'Plant Total by Account'!$J$1=2),"EKWRA","")</f>
        <v/>
      </c>
    </row>
    <row r="182" spans="1:18" x14ac:dyDescent="0.2">
      <c r="A182" s="31" t="s">
        <v>2745</v>
      </c>
      <c r="B182" s="36" t="s">
        <v>280</v>
      </c>
      <c r="C182" s="504" t="s">
        <v>3352</v>
      </c>
      <c r="D182" s="42">
        <v>31028.36</v>
      </c>
      <c r="E182" s="42">
        <v>32768.21</v>
      </c>
      <c r="F182" s="42">
        <v>668998.22</v>
      </c>
      <c r="G182" s="581">
        <f t="shared" si="11"/>
        <v>732794.78999999992</v>
      </c>
      <c r="H182" s="33">
        <v>0</v>
      </c>
      <c r="I182" s="33">
        <v>0</v>
      </c>
      <c r="J182" s="33">
        <v>0</v>
      </c>
      <c r="K182" s="33">
        <f t="shared" si="13"/>
        <v>31028.36</v>
      </c>
      <c r="L182" s="33">
        <f t="shared" si="14"/>
        <v>32768.21</v>
      </c>
      <c r="M182" s="33">
        <f t="shared" si="15"/>
        <v>668998.22</v>
      </c>
      <c r="N182" s="235">
        <f t="shared" si="12"/>
        <v>0</v>
      </c>
      <c r="O182" s="35" t="s">
        <v>3327</v>
      </c>
      <c r="P182" s="35"/>
      <c r="Q182" s="39">
        <f>SUMIF('Antelope Bailey Split BA'!$B$7:$B$29,B182,'Antelope Bailey Split BA'!$C$7:$C$29)</f>
        <v>0</v>
      </c>
      <c r="R182" s="39" t="str">
        <f>IF(AND(Q182=1,'Plant Total by Account'!$J$1=2),"EKWRA","")</f>
        <v/>
      </c>
    </row>
    <row r="183" spans="1:18" x14ac:dyDescent="0.2">
      <c r="A183" s="31" t="s">
        <v>2746</v>
      </c>
      <c r="B183" s="36" t="s">
        <v>281</v>
      </c>
      <c r="C183" s="504" t="s">
        <v>3352</v>
      </c>
      <c r="D183" s="42">
        <v>13086.609999999999</v>
      </c>
      <c r="E183" s="42">
        <v>77919.360000000001</v>
      </c>
      <c r="F183" s="42">
        <v>1065861.1299999999</v>
      </c>
      <c r="G183" s="581">
        <f t="shared" si="11"/>
        <v>1156867.0999999999</v>
      </c>
      <c r="H183" s="33">
        <v>0</v>
      </c>
      <c r="I183" s="33">
        <v>0</v>
      </c>
      <c r="J183" s="33">
        <v>0</v>
      </c>
      <c r="K183" s="33">
        <f t="shared" si="13"/>
        <v>13086.609999999999</v>
      </c>
      <c r="L183" s="33">
        <f t="shared" si="14"/>
        <v>77919.360000000001</v>
      </c>
      <c r="M183" s="33">
        <f t="shared" si="15"/>
        <v>1065861.1299999999</v>
      </c>
      <c r="N183" s="235">
        <f t="shared" si="12"/>
        <v>0</v>
      </c>
      <c r="O183" s="35" t="s">
        <v>3327</v>
      </c>
      <c r="P183" s="35"/>
      <c r="Q183" s="39">
        <f>SUMIF('Antelope Bailey Split BA'!$B$7:$B$29,B183,'Antelope Bailey Split BA'!$C$7:$C$29)</f>
        <v>0</v>
      </c>
      <c r="R183" s="39" t="str">
        <f>IF(AND(Q183=1,'Plant Total by Account'!$J$1=2),"EKWRA","")</f>
        <v/>
      </c>
    </row>
    <row r="184" spans="1:18" x14ac:dyDescent="0.2">
      <c r="A184" s="31" t="s">
        <v>2747</v>
      </c>
      <c r="B184" s="36" t="s">
        <v>282</v>
      </c>
      <c r="C184" s="504" t="s">
        <v>3352</v>
      </c>
      <c r="D184" s="42">
        <v>5882.53</v>
      </c>
      <c r="E184" s="42">
        <v>52508.92</v>
      </c>
      <c r="F184" s="42">
        <v>579684.68000000005</v>
      </c>
      <c r="G184" s="581">
        <f t="shared" si="11"/>
        <v>638076.13</v>
      </c>
      <c r="H184" s="33">
        <v>0</v>
      </c>
      <c r="I184" s="33">
        <v>0</v>
      </c>
      <c r="J184" s="33">
        <v>0</v>
      </c>
      <c r="K184" s="33">
        <f t="shared" si="13"/>
        <v>5882.53</v>
      </c>
      <c r="L184" s="33">
        <f t="shared" si="14"/>
        <v>52508.92</v>
      </c>
      <c r="M184" s="33">
        <f t="shared" si="15"/>
        <v>579684.68000000005</v>
      </c>
      <c r="N184" s="235">
        <f t="shared" si="12"/>
        <v>0</v>
      </c>
      <c r="O184" s="35" t="s">
        <v>3327</v>
      </c>
      <c r="P184" s="35"/>
      <c r="Q184" s="39">
        <f>SUMIF('Antelope Bailey Split BA'!$B$7:$B$29,B184,'Antelope Bailey Split BA'!$C$7:$C$29)</f>
        <v>0</v>
      </c>
      <c r="R184" s="39" t="str">
        <f>IF(AND(Q184=1,'Plant Total by Account'!$J$1=2),"EKWRA","")</f>
        <v/>
      </c>
    </row>
    <row r="185" spans="1:18" x14ac:dyDescent="0.2">
      <c r="A185" s="31" t="s">
        <v>2748</v>
      </c>
      <c r="B185" s="36" t="s">
        <v>283</v>
      </c>
      <c r="C185" s="504" t="s">
        <v>3352</v>
      </c>
      <c r="D185" s="42">
        <v>7677.7300000000005</v>
      </c>
      <c r="E185" s="42">
        <v>89082.37000000001</v>
      </c>
      <c r="F185" s="42">
        <v>795909.56999999983</v>
      </c>
      <c r="G185" s="581">
        <f t="shared" si="11"/>
        <v>892669.66999999981</v>
      </c>
      <c r="H185" s="33">
        <v>0</v>
      </c>
      <c r="I185" s="33">
        <v>0</v>
      </c>
      <c r="J185" s="33">
        <v>0</v>
      </c>
      <c r="K185" s="33">
        <f t="shared" si="13"/>
        <v>7677.7300000000005</v>
      </c>
      <c r="L185" s="33">
        <f t="shared" si="14"/>
        <v>89082.37000000001</v>
      </c>
      <c r="M185" s="33">
        <f t="shared" si="15"/>
        <v>795909.56999999983</v>
      </c>
      <c r="N185" s="235">
        <f t="shared" si="12"/>
        <v>0</v>
      </c>
      <c r="O185" s="35" t="s">
        <v>3327</v>
      </c>
      <c r="P185" s="35"/>
      <c r="Q185" s="39">
        <f>SUMIF('Antelope Bailey Split BA'!$B$7:$B$29,B185,'Antelope Bailey Split BA'!$C$7:$C$29)</f>
        <v>0</v>
      </c>
      <c r="R185" s="39" t="str">
        <f>IF(AND(Q185=1,'Plant Total by Account'!$J$1=2),"EKWRA","")</f>
        <v/>
      </c>
    </row>
    <row r="186" spans="1:18" x14ac:dyDescent="0.2">
      <c r="A186" s="31" t="s">
        <v>2749</v>
      </c>
      <c r="B186" s="36" t="s">
        <v>284</v>
      </c>
      <c r="C186" s="504" t="s">
        <v>3352</v>
      </c>
      <c r="D186" s="42">
        <v>2931.02</v>
      </c>
      <c r="E186" s="42">
        <v>44526.47</v>
      </c>
      <c r="F186" s="42">
        <v>1339281.2700000003</v>
      </c>
      <c r="G186" s="581">
        <f t="shared" si="11"/>
        <v>1386738.7600000002</v>
      </c>
      <c r="H186" s="33">
        <v>0</v>
      </c>
      <c r="I186" s="33">
        <v>0</v>
      </c>
      <c r="J186" s="33">
        <v>0</v>
      </c>
      <c r="K186" s="33">
        <f t="shared" si="13"/>
        <v>2931.02</v>
      </c>
      <c r="L186" s="33">
        <f t="shared" si="14"/>
        <v>44526.47</v>
      </c>
      <c r="M186" s="33">
        <f t="shared" si="15"/>
        <v>1339281.2700000003</v>
      </c>
      <c r="N186" s="235">
        <f t="shared" si="12"/>
        <v>0</v>
      </c>
      <c r="O186" s="35" t="s">
        <v>3327</v>
      </c>
      <c r="P186" s="35"/>
      <c r="Q186" s="39">
        <f>SUMIF('Antelope Bailey Split BA'!$B$7:$B$29,B186,'Antelope Bailey Split BA'!$C$7:$C$29)</f>
        <v>0</v>
      </c>
      <c r="R186" s="39" t="str">
        <f>IF(AND(Q186=1,'Plant Total by Account'!$J$1=2),"EKWRA","")</f>
        <v/>
      </c>
    </row>
    <row r="187" spans="1:18" x14ac:dyDescent="0.2">
      <c r="A187" s="31" t="s">
        <v>2750</v>
      </c>
      <c r="B187" s="36" t="s">
        <v>285</v>
      </c>
      <c r="C187" s="504" t="s">
        <v>3353</v>
      </c>
      <c r="D187" s="42">
        <v>77687.13</v>
      </c>
      <c r="E187" s="42">
        <v>126864.88999999998</v>
      </c>
      <c r="F187" s="42">
        <v>1906597.1599999992</v>
      </c>
      <c r="G187" s="581">
        <f t="shared" si="11"/>
        <v>2111149.1799999992</v>
      </c>
      <c r="H187" s="33">
        <v>0</v>
      </c>
      <c r="I187" s="33">
        <v>0</v>
      </c>
      <c r="J187" s="33">
        <v>0</v>
      </c>
      <c r="K187" s="33">
        <f t="shared" si="13"/>
        <v>77687.13</v>
      </c>
      <c r="L187" s="33">
        <f t="shared" si="14"/>
        <v>126864.88999999998</v>
      </c>
      <c r="M187" s="33">
        <f t="shared" si="15"/>
        <v>1906597.1599999992</v>
      </c>
      <c r="N187" s="235">
        <f t="shared" si="12"/>
        <v>0</v>
      </c>
      <c r="O187" s="35" t="s">
        <v>3327</v>
      </c>
      <c r="P187" s="35"/>
      <c r="Q187" s="39">
        <f>SUMIF('Antelope Bailey Split BA'!$B$7:$B$29,B187,'Antelope Bailey Split BA'!$C$7:$C$29)</f>
        <v>0</v>
      </c>
      <c r="R187" s="39" t="str">
        <f>IF(AND(Q187=1,'Plant Total by Account'!$J$1=2),"EKWRA","")</f>
        <v/>
      </c>
    </row>
    <row r="188" spans="1:18" x14ac:dyDescent="0.2">
      <c r="A188" s="31" t="s">
        <v>2751</v>
      </c>
      <c r="B188" s="36" t="s">
        <v>286</v>
      </c>
      <c r="C188" s="504" t="s">
        <v>3352</v>
      </c>
      <c r="D188" s="42">
        <v>5704.56</v>
      </c>
      <c r="E188" s="42">
        <v>16873.900000000001</v>
      </c>
      <c r="F188" s="42">
        <v>1919811.5500000007</v>
      </c>
      <c r="G188" s="581">
        <f t="shared" si="11"/>
        <v>1942390.0100000007</v>
      </c>
      <c r="H188" s="33">
        <v>0</v>
      </c>
      <c r="I188" s="33">
        <v>0</v>
      </c>
      <c r="J188" s="33">
        <v>0</v>
      </c>
      <c r="K188" s="33">
        <f t="shared" si="13"/>
        <v>5704.56</v>
      </c>
      <c r="L188" s="33">
        <f t="shared" si="14"/>
        <v>16873.900000000001</v>
      </c>
      <c r="M188" s="33">
        <f t="shared" si="15"/>
        <v>1919811.5500000007</v>
      </c>
      <c r="N188" s="235">
        <f t="shared" si="12"/>
        <v>0</v>
      </c>
      <c r="O188" s="35" t="s">
        <v>3327</v>
      </c>
      <c r="P188" s="35"/>
      <c r="Q188" s="39">
        <f>SUMIF('Antelope Bailey Split BA'!$B$7:$B$29,B188,'Antelope Bailey Split BA'!$C$7:$C$29)</f>
        <v>0</v>
      </c>
      <c r="R188" s="39" t="str">
        <f>IF(AND(Q188=1,'Plant Total by Account'!$J$1=2),"EKWRA","")</f>
        <v/>
      </c>
    </row>
    <row r="189" spans="1:18" x14ac:dyDescent="0.2">
      <c r="A189" s="31" t="s">
        <v>2752</v>
      </c>
      <c r="B189" s="36" t="s">
        <v>287</v>
      </c>
      <c r="C189" s="504" t="s">
        <v>3353</v>
      </c>
      <c r="D189" s="42">
        <v>4955.71</v>
      </c>
      <c r="E189" s="42">
        <v>30610.719999999998</v>
      </c>
      <c r="F189" s="42">
        <v>3351505.0100000016</v>
      </c>
      <c r="G189" s="581">
        <f t="shared" si="11"/>
        <v>3387071.4400000018</v>
      </c>
      <c r="H189" s="33">
        <v>0</v>
      </c>
      <c r="I189" s="33">
        <v>0</v>
      </c>
      <c r="J189" s="33">
        <v>0</v>
      </c>
      <c r="K189" s="33">
        <f t="shared" si="13"/>
        <v>4955.71</v>
      </c>
      <c r="L189" s="33">
        <f t="shared" si="14"/>
        <v>30610.719999999998</v>
      </c>
      <c r="M189" s="33">
        <f t="shared" si="15"/>
        <v>3351505.0100000016</v>
      </c>
      <c r="N189" s="235">
        <f t="shared" si="12"/>
        <v>0</v>
      </c>
      <c r="O189" s="35" t="s">
        <v>3327</v>
      </c>
      <c r="P189" s="35"/>
      <c r="Q189" s="39">
        <f>SUMIF('Antelope Bailey Split BA'!$B$7:$B$29,B189,'Antelope Bailey Split BA'!$C$7:$C$29)</f>
        <v>0</v>
      </c>
      <c r="R189" s="39" t="str">
        <f>IF(AND(Q189=1,'Plant Total by Account'!$J$1=2),"EKWRA","")</f>
        <v/>
      </c>
    </row>
    <row r="190" spans="1:18" x14ac:dyDescent="0.2">
      <c r="A190" s="31" t="s">
        <v>2753</v>
      </c>
      <c r="B190" s="36" t="s">
        <v>288</v>
      </c>
      <c r="C190" s="504" t="s">
        <v>3353</v>
      </c>
      <c r="D190" s="42">
        <v>11577.95</v>
      </c>
      <c r="E190" s="42">
        <v>152120.35</v>
      </c>
      <c r="F190" s="42">
        <v>13385727.869999999</v>
      </c>
      <c r="G190" s="581">
        <f t="shared" si="11"/>
        <v>13549426.17</v>
      </c>
      <c r="H190" s="33">
        <v>0</v>
      </c>
      <c r="I190" s="33">
        <v>0</v>
      </c>
      <c r="J190" s="33">
        <v>0</v>
      </c>
      <c r="K190" s="33">
        <f t="shared" si="13"/>
        <v>11577.95</v>
      </c>
      <c r="L190" s="33">
        <f t="shared" si="14"/>
        <v>152120.35</v>
      </c>
      <c r="M190" s="33">
        <f t="shared" si="15"/>
        <v>13385727.869999999</v>
      </c>
      <c r="N190" s="235">
        <f t="shared" si="12"/>
        <v>0</v>
      </c>
      <c r="O190" s="35" t="s">
        <v>3327</v>
      </c>
      <c r="P190" s="35"/>
      <c r="Q190" s="39">
        <f>SUMIF('Antelope Bailey Split BA'!$B$7:$B$29,B190,'Antelope Bailey Split BA'!$C$7:$C$29)</f>
        <v>0</v>
      </c>
      <c r="R190" s="39" t="str">
        <f>IF(AND(Q190=1,'Plant Total by Account'!$J$1=2),"EKWRA","")</f>
        <v/>
      </c>
    </row>
    <row r="191" spans="1:18" x14ac:dyDescent="0.2">
      <c r="A191" s="31" t="s">
        <v>2754</v>
      </c>
      <c r="B191" s="36" t="s">
        <v>289</v>
      </c>
      <c r="C191" s="504" t="s">
        <v>3352</v>
      </c>
      <c r="D191" s="42">
        <v>19082.03</v>
      </c>
      <c r="E191" s="42">
        <v>96050.22</v>
      </c>
      <c r="F191" s="42">
        <v>726239.66999999993</v>
      </c>
      <c r="G191" s="581">
        <f t="shared" si="11"/>
        <v>841371.91999999993</v>
      </c>
      <c r="H191" s="33">
        <v>0</v>
      </c>
      <c r="I191" s="33">
        <v>0</v>
      </c>
      <c r="J191" s="33">
        <v>0</v>
      </c>
      <c r="K191" s="33">
        <f t="shared" si="13"/>
        <v>19082.03</v>
      </c>
      <c r="L191" s="33">
        <f t="shared" si="14"/>
        <v>96050.22</v>
      </c>
      <c r="M191" s="33">
        <f t="shared" si="15"/>
        <v>726239.66999999993</v>
      </c>
      <c r="N191" s="235">
        <f t="shared" si="12"/>
        <v>0</v>
      </c>
      <c r="O191" s="35" t="s">
        <v>3327</v>
      </c>
      <c r="P191" s="35"/>
      <c r="Q191" s="39">
        <f>SUMIF('Antelope Bailey Split BA'!$B$7:$B$29,B191,'Antelope Bailey Split BA'!$C$7:$C$29)</f>
        <v>0</v>
      </c>
      <c r="R191" s="39" t="str">
        <f>IF(AND(Q191=1,'Plant Total by Account'!$J$1=2),"EKWRA","")</f>
        <v/>
      </c>
    </row>
    <row r="192" spans="1:18" x14ac:dyDescent="0.2">
      <c r="A192" s="31" t="s">
        <v>2755</v>
      </c>
      <c r="B192" s="36" t="s">
        <v>290</v>
      </c>
      <c r="C192" s="504" t="s">
        <v>3353</v>
      </c>
      <c r="D192" s="42">
        <v>19461.740000000002</v>
      </c>
      <c r="E192" s="42">
        <v>414761.10000000003</v>
      </c>
      <c r="F192" s="42">
        <v>10747119.020000007</v>
      </c>
      <c r="G192" s="581">
        <f t="shared" si="11"/>
        <v>11181341.860000007</v>
      </c>
      <c r="H192" s="33">
        <v>0</v>
      </c>
      <c r="I192" s="33">
        <v>0</v>
      </c>
      <c r="J192" s="33">
        <v>0</v>
      </c>
      <c r="K192" s="33">
        <f t="shared" si="13"/>
        <v>19461.740000000002</v>
      </c>
      <c r="L192" s="33">
        <f t="shared" si="14"/>
        <v>414761.10000000003</v>
      </c>
      <c r="M192" s="33">
        <f t="shared" si="15"/>
        <v>10747119.020000007</v>
      </c>
      <c r="N192" s="235">
        <f t="shared" si="12"/>
        <v>0</v>
      </c>
      <c r="O192" s="35" t="s">
        <v>3327</v>
      </c>
      <c r="P192" s="35"/>
      <c r="Q192" s="39">
        <f>SUMIF('Antelope Bailey Split BA'!$B$7:$B$29,B192,'Antelope Bailey Split BA'!$C$7:$C$29)</f>
        <v>0</v>
      </c>
      <c r="R192" s="39" t="str">
        <f>IF(AND(Q192=1,'Plant Total by Account'!$J$1=2),"EKWRA","")</f>
        <v/>
      </c>
    </row>
    <row r="193" spans="1:18" x14ac:dyDescent="0.2">
      <c r="A193" s="31" t="s">
        <v>2756</v>
      </c>
      <c r="B193" s="36" t="s">
        <v>291</v>
      </c>
      <c r="C193" s="504" t="s">
        <v>3353</v>
      </c>
      <c r="D193" s="42">
        <v>12335.79</v>
      </c>
      <c r="E193" s="42">
        <v>191040.29000000004</v>
      </c>
      <c r="F193" s="42">
        <v>1477775.3199999998</v>
      </c>
      <c r="G193" s="581">
        <f t="shared" si="11"/>
        <v>1681151.4</v>
      </c>
      <c r="H193" s="33">
        <v>0</v>
      </c>
      <c r="I193" s="33">
        <v>0</v>
      </c>
      <c r="J193" s="33">
        <v>0</v>
      </c>
      <c r="K193" s="33">
        <f t="shared" si="13"/>
        <v>12335.79</v>
      </c>
      <c r="L193" s="33">
        <f t="shared" si="14"/>
        <v>191040.29000000004</v>
      </c>
      <c r="M193" s="33">
        <f t="shared" si="15"/>
        <v>1477775.3199999998</v>
      </c>
      <c r="N193" s="235">
        <f t="shared" si="12"/>
        <v>0</v>
      </c>
      <c r="O193" s="35" t="s">
        <v>3327</v>
      </c>
      <c r="P193" s="35"/>
      <c r="Q193" s="39">
        <f>SUMIF('Antelope Bailey Split BA'!$B$7:$B$29,B193,'Antelope Bailey Split BA'!$C$7:$C$29)</f>
        <v>0</v>
      </c>
      <c r="R193" s="39" t="str">
        <f>IF(AND(Q193=1,'Plant Total by Account'!$J$1=2),"EKWRA","")</f>
        <v/>
      </c>
    </row>
    <row r="194" spans="1:18" x14ac:dyDescent="0.2">
      <c r="A194" s="31" t="s">
        <v>2757</v>
      </c>
      <c r="B194" s="36" t="s">
        <v>292</v>
      </c>
      <c r="C194" s="504" t="s">
        <v>3353</v>
      </c>
      <c r="D194" s="42">
        <v>37068.980000000003</v>
      </c>
      <c r="E194" s="42">
        <v>176172.15</v>
      </c>
      <c r="F194" s="42">
        <v>3922650.0599999996</v>
      </c>
      <c r="G194" s="581">
        <f t="shared" si="11"/>
        <v>4135891.1899999995</v>
      </c>
      <c r="H194" s="33">
        <v>0</v>
      </c>
      <c r="I194" s="33">
        <v>0</v>
      </c>
      <c r="J194" s="33">
        <v>0</v>
      </c>
      <c r="K194" s="33">
        <f t="shared" si="13"/>
        <v>37068.980000000003</v>
      </c>
      <c r="L194" s="33">
        <f t="shared" si="14"/>
        <v>176172.15</v>
      </c>
      <c r="M194" s="33">
        <f t="shared" si="15"/>
        <v>3922650.0599999996</v>
      </c>
      <c r="N194" s="235">
        <f t="shared" si="12"/>
        <v>0</v>
      </c>
      <c r="O194" s="35" t="s">
        <v>3327</v>
      </c>
      <c r="P194" s="35"/>
      <c r="Q194" s="39">
        <f>SUMIF('Antelope Bailey Split BA'!$B$7:$B$29,B194,'Antelope Bailey Split BA'!$C$7:$C$29)</f>
        <v>0</v>
      </c>
      <c r="R194" s="39" t="str">
        <f>IF(AND(Q194=1,'Plant Total by Account'!$J$1=2),"EKWRA","")</f>
        <v/>
      </c>
    </row>
    <row r="195" spans="1:18" x14ac:dyDescent="0.2">
      <c r="A195" s="31" t="s">
        <v>2435</v>
      </c>
      <c r="B195" s="36" t="s">
        <v>293</v>
      </c>
      <c r="C195" s="504" t="s">
        <v>3353</v>
      </c>
      <c r="D195" s="42">
        <v>199473.11000000002</v>
      </c>
      <c r="E195" s="42">
        <v>437813.31000000006</v>
      </c>
      <c r="F195" s="42">
        <v>1793386.7600000009</v>
      </c>
      <c r="G195" s="581">
        <f t="shared" si="11"/>
        <v>2430673.1800000011</v>
      </c>
      <c r="H195" s="33">
        <v>0</v>
      </c>
      <c r="I195" s="33">
        <v>0</v>
      </c>
      <c r="J195" s="33">
        <v>0</v>
      </c>
      <c r="K195" s="33">
        <f t="shared" si="13"/>
        <v>199473.11000000002</v>
      </c>
      <c r="L195" s="33">
        <f t="shared" si="14"/>
        <v>437813.31000000006</v>
      </c>
      <c r="M195" s="33">
        <f t="shared" si="15"/>
        <v>1793386.7600000009</v>
      </c>
      <c r="N195" s="235">
        <f t="shared" si="12"/>
        <v>0</v>
      </c>
      <c r="O195" s="35" t="s">
        <v>3327</v>
      </c>
      <c r="P195" s="35"/>
      <c r="Q195" s="39">
        <f>SUMIF('Antelope Bailey Split BA'!$B$7:$B$29,B195,'Antelope Bailey Split BA'!$C$7:$C$29)</f>
        <v>0</v>
      </c>
      <c r="R195" s="39" t="str">
        <f>IF(AND(Q195=1,'Plant Total by Account'!$J$1=2),"EKWRA","")</f>
        <v/>
      </c>
    </row>
    <row r="196" spans="1:18" x14ac:dyDescent="0.2">
      <c r="A196" s="31" t="s">
        <v>2758</v>
      </c>
      <c r="B196" s="36" t="s">
        <v>294</v>
      </c>
      <c r="C196" s="504" t="s">
        <v>3353</v>
      </c>
      <c r="D196" s="42">
        <v>160109.14000000001</v>
      </c>
      <c r="E196" s="42">
        <v>203954.8</v>
      </c>
      <c r="F196" s="42">
        <v>7537830.7600000007</v>
      </c>
      <c r="G196" s="581">
        <f t="shared" si="11"/>
        <v>7901894.7000000011</v>
      </c>
      <c r="H196" s="33">
        <v>0</v>
      </c>
      <c r="I196" s="33">
        <v>0</v>
      </c>
      <c r="J196" s="33">
        <v>0</v>
      </c>
      <c r="K196" s="33">
        <f t="shared" si="13"/>
        <v>160109.14000000001</v>
      </c>
      <c r="L196" s="33">
        <f t="shared" si="14"/>
        <v>203954.8</v>
      </c>
      <c r="M196" s="33">
        <f t="shared" si="15"/>
        <v>7537830.7600000007</v>
      </c>
      <c r="N196" s="235">
        <f t="shared" si="12"/>
        <v>0</v>
      </c>
      <c r="O196" s="35" t="s">
        <v>3327</v>
      </c>
      <c r="P196" s="35"/>
      <c r="Q196" s="39">
        <f>SUMIF('Antelope Bailey Split BA'!$B$7:$B$29,B196,'Antelope Bailey Split BA'!$C$7:$C$29)</f>
        <v>0</v>
      </c>
      <c r="R196" s="39" t="str">
        <f>IF(AND(Q196=1,'Plant Total by Account'!$J$1=2),"EKWRA","")</f>
        <v/>
      </c>
    </row>
    <row r="197" spans="1:18" x14ac:dyDescent="0.2">
      <c r="A197" s="31" t="s">
        <v>2759</v>
      </c>
      <c r="B197" s="36" t="s">
        <v>295</v>
      </c>
      <c r="C197" s="504" t="s">
        <v>3352</v>
      </c>
      <c r="D197" s="42">
        <v>3685.6400000000003</v>
      </c>
      <c r="E197" s="42">
        <v>62778.239999999998</v>
      </c>
      <c r="F197" s="42">
        <v>325874.53000000003</v>
      </c>
      <c r="G197" s="581">
        <f t="shared" si="11"/>
        <v>392338.41000000003</v>
      </c>
      <c r="H197" s="33">
        <v>0</v>
      </c>
      <c r="I197" s="33">
        <v>0</v>
      </c>
      <c r="J197" s="33">
        <v>0</v>
      </c>
      <c r="K197" s="33">
        <f t="shared" si="13"/>
        <v>3685.6400000000003</v>
      </c>
      <c r="L197" s="33">
        <f t="shared" si="14"/>
        <v>62778.239999999998</v>
      </c>
      <c r="M197" s="33">
        <f t="shared" si="15"/>
        <v>325874.53000000003</v>
      </c>
      <c r="N197" s="235">
        <f t="shared" si="12"/>
        <v>0</v>
      </c>
      <c r="O197" s="35" t="s">
        <v>3327</v>
      </c>
      <c r="P197" s="35"/>
      <c r="Q197" s="39">
        <f>SUMIF('Antelope Bailey Split BA'!$B$7:$B$29,B197,'Antelope Bailey Split BA'!$C$7:$C$29)</f>
        <v>0</v>
      </c>
      <c r="R197" s="39" t="str">
        <f>IF(AND(Q197=1,'Plant Total by Account'!$J$1=2),"EKWRA","")</f>
        <v/>
      </c>
    </row>
    <row r="198" spans="1:18" x14ac:dyDescent="0.2">
      <c r="A198" s="31" t="s">
        <v>2760</v>
      </c>
      <c r="B198" s="36" t="s">
        <v>296</v>
      </c>
      <c r="C198" s="504" t="s">
        <v>3353</v>
      </c>
      <c r="D198" s="42">
        <v>7593.4699999999993</v>
      </c>
      <c r="E198" s="42">
        <v>76399.350000000006</v>
      </c>
      <c r="F198" s="42">
        <v>3974922.02</v>
      </c>
      <c r="G198" s="581">
        <f t="shared" si="11"/>
        <v>4058914.84</v>
      </c>
      <c r="H198" s="33">
        <v>0</v>
      </c>
      <c r="I198" s="33">
        <v>0</v>
      </c>
      <c r="J198" s="33">
        <v>0</v>
      </c>
      <c r="K198" s="33">
        <f t="shared" si="13"/>
        <v>7593.4699999999993</v>
      </c>
      <c r="L198" s="33">
        <f t="shared" si="14"/>
        <v>76399.350000000006</v>
      </c>
      <c r="M198" s="33">
        <f t="shared" si="15"/>
        <v>3974922.02</v>
      </c>
      <c r="N198" s="235">
        <f t="shared" si="12"/>
        <v>0</v>
      </c>
      <c r="O198" s="35" t="s">
        <v>3327</v>
      </c>
      <c r="P198" s="35"/>
      <c r="Q198" s="39">
        <f>SUMIF('Antelope Bailey Split BA'!$B$7:$B$29,B198,'Antelope Bailey Split BA'!$C$7:$C$29)</f>
        <v>0</v>
      </c>
      <c r="R198" s="39" t="str">
        <f>IF(AND(Q198=1,'Plant Total by Account'!$J$1=2),"EKWRA","")</f>
        <v/>
      </c>
    </row>
    <row r="199" spans="1:18" x14ac:dyDescent="0.2">
      <c r="A199" s="31" t="s">
        <v>2761</v>
      </c>
      <c r="B199" s="36" t="s">
        <v>297</v>
      </c>
      <c r="C199" s="504" t="s">
        <v>3352</v>
      </c>
      <c r="D199" s="42">
        <v>2084.2200000000003</v>
      </c>
      <c r="E199" s="42">
        <v>19932.79</v>
      </c>
      <c r="F199" s="42">
        <v>387111.57000000007</v>
      </c>
      <c r="G199" s="581">
        <f t="shared" si="11"/>
        <v>409128.58000000007</v>
      </c>
      <c r="H199" s="33">
        <v>0</v>
      </c>
      <c r="I199" s="33">
        <v>0</v>
      </c>
      <c r="J199" s="33">
        <v>0</v>
      </c>
      <c r="K199" s="33">
        <f t="shared" si="13"/>
        <v>2084.2200000000003</v>
      </c>
      <c r="L199" s="33">
        <f t="shared" si="14"/>
        <v>19932.79</v>
      </c>
      <c r="M199" s="33">
        <f t="shared" si="15"/>
        <v>387111.57000000007</v>
      </c>
      <c r="N199" s="235">
        <f t="shared" si="12"/>
        <v>0</v>
      </c>
      <c r="O199" s="35" t="s">
        <v>3327</v>
      </c>
      <c r="P199" s="35"/>
      <c r="Q199" s="39">
        <f>SUMIF('Antelope Bailey Split BA'!$B$7:$B$29,B199,'Antelope Bailey Split BA'!$C$7:$C$29)</f>
        <v>0</v>
      </c>
      <c r="R199" s="39" t="str">
        <f>IF(AND(Q199=1,'Plant Total by Account'!$J$1=2),"EKWRA","")</f>
        <v/>
      </c>
    </row>
    <row r="200" spans="1:18" x14ac:dyDescent="0.2">
      <c r="A200" s="31" t="s">
        <v>2436</v>
      </c>
      <c r="B200" s="36" t="s">
        <v>298</v>
      </c>
      <c r="C200" s="504" t="s">
        <v>3353</v>
      </c>
      <c r="D200" s="42">
        <v>29664.690000000002</v>
      </c>
      <c r="E200" s="42">
        <v>100348.37</v>
      </c>
      <c r="F200" s="42">
        <v>4112932.3299999973</v>
      </c>
      <c r="G200" s="581">
        <f t="shared" si="11"/>
        <v>4242945.3899999969</v>
      </c>
      <c r="H200" s="33">
        <v>0</v>
      </c>
      <c r="I200" s="33">
        <v>0</v>
      </c>
      <c r="J200" s="33">
        <v>0</v>
      </c>
      <c r="K200" s="33">
        <f t="shared" si="13"/>
        <v>29664.690000000002</v>
      </c>
      <c r="L200" s="33">
        <f t="shared" si="14"/>
        <v>100348.37</v>
      </c>
      <c r="M200" s="33">
        <f t="shared" si="15"/>
        <v>4112932.3299999973</v>
      </c>
      <c r="N200" s="235">
        <f t="shared" si="12"/>
        <v>0</v>
      </c>
      <c r="O200" s="35" t="s">
        <v>3327</v>
      </c>
      <c r="P200" s="35"/>
      <c r="Q200" s="39">
        <f>SUMIF('Antelope Bailey Split BA'!$B$7:$B$29,B200,'Antelope Bailey Split BA'!$C$7:$C$29)</f>
        <v>0</v>
      </c>
      <c r="R200" s="39" t="str">
        <f>IF(AND(Q200=1,'Plant Total by Account'!$J$1=2),"EKWRA","")</f>
        <v/>
      </c>
    </row>
    <row r="201" spans="1:18" x14ac:dyDescent="0.2">
      <c r="A201" s="31" t="s">
        <v>2762</v>
      </c>
      <c r="B201" s="36" t="s">
        <v>299</v>
      </c>
      <c r="C201" s="504" t="s">
        <v>3353</v>
      </c>
      <c r="D201" s="42">
        <v>19578.449999999997</v>
      </c>
      <c r="E201" s="42">
        <v>225531.95</v>
      </c>
      <c r="F201" s="42">
        <v>10658119.629999993</v>
      </c>
      <c r="G201" s="581">
        <f t="shared" si="11"/>
        <v>10903230.029999994</v>
      </c>
      <c r="H201" s="33">
        <v>0</v>
      </c>
      <c r="I201" s="33">
        <v>0</v>
      </c>
      <c r="J201" s="33">
        <v>0</v>
      </c>
      <c r="K201" s="33">
        <f t="shared" si="13"/>
        <v>19578.449999999997</v>
      </c>
      <c r="L201" s="33">
        <f t="shared" si="14"/>
        <v>225531.95</v>
      </c>
      <c r="M201" s="33">
        <f t="shared" si="15"/>
        <v>10658119.629999993</v>
      </c>
      <c r="N201" s="235">
        <f t="shared" si="12"/>
        <v>0</v>
      </c>
      <c r="O201" s="35" t="s">
        <v>3327</v>
      </c>
      <c r="P201" s="35"/>
      <c r="Q201" s="39">
        <f>SUMIF('Antelope Bailey Split BA'!$B$7:$B$29,B201,'Antelope Bailey Split BA'!$C$7:$C$29)</f>
        <v>0</v>
      </c>
      <c r="R201" s="39" t="str">
        <f>IF(AND(Q201=1,'Plant Total by Account'!$J$1=2),"EKWRA","")</f>
        <v/>
      </c>
    </row>
    <row r="202" spans="1:18" x14ac:dyDescent="0.2">
      <c r="A202" s="31" t="s">
        <v>2763</v>
      </c>
      <c r="B202" s="36" t="s">
        <v>300</v>
      </c>
      <c r="C202" s="504" t="s">
        <v>3352</v>
      </c>
      <c r="D202" s="42">
        <v>5013.6000000000004</v>
      </c>
      <c r="E202" s="42">
        <v>373078.60000000003</v>
      </c>
      <c r="F202" s="42">
        <v>225908.55</v>
      </c>
      <c r="G202" s="581">
        <f t="shared" si="11"/>
        <v>604000.75</v>
      </c>
      <c r="H202" s="33">
        <v>0</v>
      </c>
      <c r="I202" s="33">
        <v>0</v>
      </c>
      <c r="J202" s="33">
        <v>0</v>
      </c>
      <c r="K202" s="33">
        <f t="shared" si="13"/>
        <v>5013.6000000000004</v>
      </c>
      <c r="L202" s="33">
        <f t="shared" si="14"/>
        <v>373078.60000000003</v>
      </c>
      <c r="M202" s="33">
        <f t="shared" si="15"/>
        <v>225908.55</v>
      </c>
      <c r="N202" s="235">
        <f t="shared" si="12"/>
        <v>0</v>
      </c>
      <c r="O202" s="35" t="s">
        <v>3327</v>
      </c>
      <c r="P202" s="35"/>
      <c r="Q202" s="39">
        <f>SUMIF('Antelope Bailey Split BA'!$B$7:$B$29,B202,'Antelope Bailey Split BA'!$C$7:$C$29)</f>
        <v>0</v>
      </c>
      <c r="R202" s="39" t="str">
        <f>IF(AND(Q202=1,'Plant Total by Account'!$J$1=2),"EKWRA","")</f>
        <v/>
      </c>
    </row>
    <row r="203" spans="1:18" x14ac:dyDescent="0.2">
      <c r="A203" s="31" t="s">
        <v>2764</v>
      </c>
      <c r="B203" s="36" t="s">
        <v>301</v>
      </c>
      <c r="C203" s="504" t="s">
        <v>3352</v>
      </c>
      <c r="D203" s="42">
        <v>132571.04</v>
      </c>
      <c r="E203" s="42">
        <v>125625.59000000001</v>
      </c>
      <c r="F203" s="42">
        <v>3406126.3899999978</v>
      </c>
      <c r="G203" s="581">
        <f t="shared" si="11"/>
        <v>3664323.0199999977</v>
      </c>
      <c r="H203" s="33">
        <v>0</v>
      </c>
      <c r="I203" s="33">
        <v>0</v>
      </c>
      <c r="J203" s="33">
        <v>0</v>
      </c>
      <c r="K203" s="33">
        <f t="shared" si="13"/>
        <v>132571.04</v>
      </c>
      <c r="L203" s="33">
        <f t="shared" si="14"/>
        <v>125625.59000000001</v>
      </c>
      <c r="M203" s="33">
        <f t="shared" si="15"/>
        <v>3406126.3899999978</v>
      </c>
      <c r="N203" s="235">
        <f t="shared" si="12"/>
        <v>0</v>
      </c>
      <c r="O203" s="35" t="s">
        <v>3327</v>
      </c>
      <c r="P203" s="35"/>
      <c r="Q203" s="39">
        <f>SUMIF('Antelope Bailey Split BA'!$B$7:$B$29,B203,'Antelope Bailey Split BA'!$C$7:$C$29)</f>
        <v>0</v>
      </c>
      <c r="R203" s="39" t="str">
        <f>IF(AND(Q203=1,'Plant Total by Account'!$J$1=2),"EKWRA","")</f>
        <v/>
      </c>
    </row>
    <row r="204" spans="1:18" x14ac:dyDescent="0.2">
      <c r="A204" s="31" t="s">
        <v>2765</v>
      </c>
      <c r="B204" s="36" t="s">
        <v>302</v>
      </c>
      <c r="C204" s="504" t="s">
        <v>3352</v>
      </c>
      <c r="D204" s="42">
        <v>41627.550000000003</v>
      </c>
      <c r="E204" s="42">
        <v>260386.68000000002</v>
      </c>
      <c r="F204" s="42">
        <v>1423079.55</v>
      </c>
      <c r="G204" s="581">
        <f t="shared" ref="G204:G267" si="16">SUM(D204:F204)</f>
        <v>1725093.78</v>
      </c>
      <c r="H204" s="33">
        <v>0</v>
      </c>
      <c r="I204" s="33">
        <v>0</v>
      </c>
      <c r="J204" s="33">
        <v>0</v>
      </c>
      <c r="K204" s="33">
        <f t="shared" si="13"/>
        <v>41627.550000000003</v>
      </c>
      <c r="L204" s="33">
        <f t="shared" si="14"/>
        <v>260386.68000000002</v>
      </c>
      <c r="M204" s="33">
        <f t="shared" si="15"/>
        <v>1423079.55</v>
      </c>
      <c r="N204" s="235">
        <f t="shared" ref="N204:N267" si="17">G204-SUM(H204:M204)</f>
        <v>0</v>
      </c>
      <c r="O204" s="35" t="s">
        <v>3327</v>
      </c>
      <c r="P204" s="35"/>
      <c r="Q204" s="39">
        <f>SUMIF('Antelope Bailey Split BA'!$B$7:$B$29,B204,'Antelope Bailey Split BA'!$C$7:$C$29)</f>
        <v>0</v>
      </c>
      <c r="R204" s="39" t="str">
        <f>IF(AND(Q204=1,'Plant Total by Account'!$J$1=2),"EKWRA","")</f>
        <v/>
      </c>
    </row>
    <row r="205" spans="1:18" x14ac:dyDescent="0.2">
      <c r="A205" s="31" t="s">
        <v>2766</v>
      </c>
      <c r="B205" s="36" t="s">
        <v>303</v>
      </c>
      <c r="C205" s="504" t="s">
        <v>3353</v>
      </c>
      <c r="D205" s="42">
        <v>229538.22</v>
      </c>
      <c r="E205" s="42">
        <v>167139.61000000002</v>
      </c>
      <c r="F205" s="42">
        <v>2931543.7499999972</v>
      </c>
      <c r="G205" s="581">
        <f t="shared" si="16"/>
        <v>3328221.5799999973</v>
      </c>
      <c r="H205" s="33">
        <v>0</v>
      </c>
      <c r="I205" s="33">
        <v>0</v>
      </c>
      <c r="J205" s="33">
        <v>0</v>
      </c>
      <c r="K205" s="33">
        <f t="shared" si="13"/>
        <v>229538.22</v>
      </c>
      <c r="L205" s="33">
        <f t="shared" si="14"/>
        <v>167139.61000000002</v>
      </c>
      <c r="M205" s="33">
        <f t="shared" si="15"/>
        <v>2931543.7499999972</v>
      </c>
      <c r="N205" s="235">
        <f t="shared" si="17"/>
        <v>0</v>
      </c>
      <c r="O205" s="35" t="s">
        <v>3327</v>
      </c>
      <c r="P205" s="35"/>
      <c r="Q205" s="39">
        <f>SUMIF('Antelope Bailey Split BA'!$B$7:$B$29,B205,'Antelope Bailey Split BA'!$C$7:$C$29)</f>
        <v>0</v>
      </c>
      <c r="R205" s="39" t="str">
        <f>IF(AND(Q205=1,'Plant Total by Account'!$J$1=2),"EKWRA","")</f>
        <v/>
      </c>
    </row>
    <row r="206" spans="1:18" x14ac:dyDescent="0.2">
      <c r="A206" s="31" t="s">
        <v>2767</v>
      </c>
      <c r="B206" s="36" t="s">
        <v>304</v>
      </c>
      <c r="C206" s="504" t="s">
        <v>3353</v>
      </c>
      <c r="D206" s="42">
        <v>0</v>
      </c>
      <c r="E206" s="42">
        <v>14306.939999999999</v>
      </c>
      <c r="F206" s="42">
        <v>1677792.48</v>
      </c>
      <c r="G206" s="581">
        <f t="shared" si="16"/>
        <v>1692099.42</v>
      </c>
      <c r="H206" s="33">
        <v>0</v>
      </c>
      <c r="I206" s="33">
        <v>0</v>
      </c>
      <c r="J206" s="33">
        <v>0</v>
      </c>
      <c r="K206" s="33">
        <f t="shared" si="13"/>
        <v>0</v>
      </c>
      <c r="L206" s="33">
        <f t="shared" si="14"/>
        <v>14306.939999999999</v>
      </c>
      <c r="M206" s="33">
        <f t="shared" si="15"/>
        <v>1677792.48</v>
      </c>
      <c r="N206" s="235">
        <f t="shared" si="17"/>
        <v>0</v>
      </c>
      <c r="O206" s="35" t="s">
        <v>3327</v>
      </c>
      <c r="P206" s="35"/>
      <c r="Q206" s="39">
        <f>SUMIF('Antelope Bailey Split BA'!$B$7:$B$29,B206,'Antelope Bailey Split BA'!$C$7:$C$29)</f>
        <v>0</v>
      </c>
      <c r="R206" s="39" t="str">
        <f>IF(AND(Q206=1,'Plant Total by Account'!$J$1=2),"EKWRA","")</f>
        <v/>
      </c>
    </row>
    <row r="207" spans="1:18" x14ac:dyDescent="0.2">
      <c r="A207" s="31" t="s">
        <v>2768</v>
      </c>
      <c r="B207" s="36" t="s">
        <v>305</v>
      </c>
      <c r="C207" s="504" t="s">
        <v>3352</v>
      </c>
      <c r="D207" s="42">
        <v>5207.97</v>
      </c>
      <c r="E207" s="42">
        <v>31441.190000000002</v>
      </c>
      <c r="F207" s="42">
        <v>142979.25999999998</v>
      </c>
      <c r="G207" s="581">
        <f t="shared" si="16"/>
        <v>179628.41999999998</v>
      </c>
      <c r="H207" s="33">
        <v>0</v>
      </c>
      <c r="I207" s="33">
        <v>0</v>
      </c>
      <c r="J207" s="33">
        <v>0</v>
      </c>
      <c r="K207" s="33">
        <f t="shared" si="13"/>
        <v>5207.97</v>
      </c>
      <c r="L207" s="33">
        <f t="shared" si="14"/>
        <v>31441.190000000002</v>
      </c>
      <c r="M207" s="33">
        <f t="shared" si="15"/>
        <v>142979.25999999998</v>
      </c>
      <c r="N207" s="235">
        <f t="shared" si="17"/>
        <v>0</v>
      </c>
      <c r="O207" s="35" t="s">
        <v>3327</v>
      </c>
      <c r="P207" s="35"/>
      <c r="Q207" s="39">
        <f>SUMIF('Antelope Bailey Split BA'!$B$7:$B$29,B207,'Antelope Bailey Split BA'!$C$7:$C$29)</f>
        <v>0</v>
      </c>
      <c r="R207" s="39" t="str">
        <f>IF(AND(Q207=1,'Plant Total by Account'!$J$1=2),"EKWRA","")</f>
        <v/>
      </c>
    </row>
    <row r="208" spans="1:18" x14ac:dyDescent="0.2">
      <c r="A208" s="31" t="s">
        <v>2769</v>
      </c>
      <c r="B208" s="36" t="s">
        <v>306</v>
      </c>
      <c r="C208" s="504" t="s">
        <v>3353</v>
      </c>
      <c r="D208" s="42">
        <v>0</v>
      </c>
      <c r="E208" s="42">
        <v>153083.25</v>
      </c>
      <c r="F208" s="42">
        <v>1063647.18</v>
      </c>
      <c r="G208" s="581">
        <f t="shared" si="16"/>
        <v>1216730.43</v>
      </c>
      <c r="H208" s="33">
        <v>0</v>
      </c>
      <c r="I208" s="33">
        <v>0</v>
      </c>
      <c r="J208" s="33">
        <v>0</v>
      </c>
      <c r="K208" s="33">
        <f t="shared" ref="K208:K271" si="18">D208</f>
        <v>0</v>
      </c>
      <c r="L208" s="33">
        <f t="shared" ref="L208:L271" si="19">E208</f>
        <v>153083.25</v>
      </c>
      <c r="M208" s="33">
        <f t="shared" ref="M208:M271" si="20">F208</f>
        <v>1063647.18</v>
      </c>
      <c r="N208" s="235">
        <f t="shared" si="17"/>
        <v>0</v>
      </c>
      <c r="O208" s="35" t="s">
        <v>3327</v>
      </c>
      <c r="P208" s="35"/>
      <c r="Q208" s="39">
        <f>SUMIF('Antelope Bailey Split BA'!$B$7:$B$29,B208,'Antelope Bailey Split BA'!$C$7:$C$29)</f>
        <v>0</v>
      </c>
      <c r="R208" s="39" t="str">
        <f>IF(AND(Q208=1,'Plant Total by Account'!$J$1=2),"EKWRA","")</f>
        <v/>
      </c>
    </row>
    <row r="209" spans="1:18" x14ac:dyDescent="0.2">
      <c r="A209" s="31" t="s">
        <v>2770</v>
      </c>
      <c r="B209" s="36" t="s">
        <v>307</v>
      </c>
      <c r="C209" s="504" t="s">
        <v>3353</v>
      </c>
      <c r="D209" s="42">
        <v>0</v>
      </c>
      <c r="E209" s="42">
        <v>8601.0300000000007</v>
      </c>
      <c r="F209" s="42">
        <v>46931.740000000013</v>
      </c>
      <c r="G209" s="581">
        <f t="shared" si="16"/>
        <v>55532.770000000011</v>
      </c>
      <c r="H209" s="33">
        <v>0</v>
      </c>
      <c r="I209" s="33">
        <v>0</v>
      </c>
      <c r="J209" s="33">
        <v>0</v>
      </c>
      <c r="K209" s="33">
        <f t="shared" si="18"/>
        <v>0</v>
      </c>
      <c r="L209" s="33">
        <f t="shared" si="19"/>
        <v>8601.0300000000007</v>
      </c>
      <c r="M209" s="33">
        <f t="shared" si="20"/>
        <v>46931.740000000013</v>
      </c>
      <c r="N209" s="235">
        <f t="shared" si="17"/>
        <v>0</v>
      </c>
      <c r="O209" s="35" t="s">
        <v>3327</v>
      </c>
      <c r="P209" s="35"/>
      <c r="Q209" s="39">
        <f>SUMIF('Antelope Bailey Split BA'!$B$7:$B$29,B209,'Antelope Bailey Split BA'!$C$7:$C$29)</f>
        <v>0</v>
      </c>
      <c r="R209" s="39" t="str">
        <f>IF(AND(Q209=1,'Plant Total by Account'!$J$1=2),"EKWRA","")</f>
        <v/>
      </c>
    </row>
    <row r="210" spans="1:18" x14ac:dyDescent="0.2">
      <c r="A210" s="31" t="s">
        <v>2771</v>
      </c>
      <c r="B210" s="36" t="s">
        <v>308</v>
      </c>
      <c r="C210" s="504" t="s">
        <v>3353</v>
      </c>
      <c r="D210" s="42">
        <v>27101.16</v>
      </c>
      <c r="E210" s="42">
        <v>72219.689999999988</v>
      </c>
      <c r="F210" s="42">
        <v>3187716.9499999993</v>
      </c>
      <c r="G210" s="581">
        <f t="shared" si="16"/>
        <v>3287037.7999999993</v>
      </c>
      <c r="H210" s="33">
        <v>0</v>
      </c>
      <c r="I210" s="33">
        <v>0</v>
      </c>
      <c r="J210" s="33">
        <v>0</v>
      </c>
      <c r="K210" s="33">
        <f t="shared" si="18"/>
        <v>27101.16</v>
      </c>
      <c r="L210" s="33">
        <f t="shared" si="19"/>
        <v>72219.689999999988</v>
      </c>
      <c r="M210" s="33">
        <f t="shared" si="20"/>
        <v>3187716.9499999993</v>
      </c>
      <c r="N210" s="235">
        <f t="shared" si="17"/>
        <v>0</v>
      </c>
      <c r="O210" s="35" t="s">
        <v>3327</v>
      </c>
      <c r="P210" s="35"/>
      <c r="Q210" s="39">
        <f>SUMIF('Antelope Bailey Split BA'!$B$7:$B$29,B210,'Antelope Bailey Split BA'!$C$7:$C$29)</f>
        <v>0</v>
      </c>
      <c r="R210" s="39" t="str">
        <f>IF(AND(Q210=1,'Plant Total by Account'!$J$1=2),"EKWRA","")</f>
        <v/>
      </c>
    </row>
    <row r="211" spans="1:18" x14ac:dyDescent="0.2">
      <c r="A211" s="31" t="s">
        <v>2772</v>
      </c>
      <c r="B211" s="36" t="s">
        <v>309</v>
      </c>
      <c r="C211" s="504" t="s">
        <v>3353</v>
      </c>
      <c r="D211" s="42">
        <v>70.82000000000005</v>
      </c>
      <c r="E211" s="42">
        <v>8765.4500000000007</v>
      </c>
      <c r="F211" s="42">
        <v>0</v>
      </c>
      <c r="G211" s="581">
        <f t="shared" si="16"/>
        <v>8836.27</v>
      </c>
      <c r="H211" s="33">
        <v>0</v>
      </c>
      <c r="I211" s="33">
        <v>0</v>
      </c>
      <c r="J211" s="33">
        <v>0</v>
      </c>
      <c r="K211" s="33">
        <f t="shared" si="18"/>
        <v>70.82000000000005</v>
      </c>
      <c r="L211" s="33">
        <f t="shared" si="19"/>
        <v>8765.4500000000007</v>
      </c>
      <c r="M211" s="33">
        <f t="shared" si="20"/>
        <v>0</v>
      </c>
      <c r="N211" s="235">
        <f t="shared" si="17"/>
        <v>0</v>
      </c>
      <c r="O211" s="35" t="s">
        <v>3327</v>
      </c>
      <c r="P211" s="35"/>
      <c r="Q211" s="39">
        <f>SUMIF('Antelope Bailey Split BA'!$B$7:$B$29,B211,'Antelope Bailey Split BA'!$C$7:$C$29)</f>
        <v>0</v>
      </c>
      <c r="R211" s="39" t="str">
        <f>IF(AND(Q211=1,'Plant Total by Account'!$J$1=2),"EKWRA","")</f>
        <v/>
      </c>
    </row>
    <row r="212" spans="1:18" x14ac:dyDescent="0.2">
      <c r="A212" s="31" t="s">
        <v>2773</v>
      </c>
      <c r="B212" s="36" t="s">
        <v>310</v>
      </c>
      <c r="C212" s="504" t="s">
        <v>3352</v>
      </c>
      <c r="D212" s="42">
        <v>7977.84</v>
      </c>
      <c r="E212" s="42">
        <v>35897.22</v>
      </c>
      <c r="F212" s="42">
        <v>304684.15000000002</v>
      </c>
      <c r="G212" s="581">
        <f t="shared" si="16"/>
        <v>348559.21</v>
      </c>
      <c r="H212" s="33">
        <v>0</v>
      </c>
      <c r="I212" s="33">
        <v>0</v>
      </c>
      <c r="J212" s="33">
        <v>0</v>
      </c>
      <c r="K212" s="33">
        <f t="shared" si="18"/>
        <v>7977.84</v>
      </c>
      <c r="L212" s="33">
        <f t="shared" si="19"/>
        <v>35897.22</v>
      </c>
      <c r="M212" s="33">
        <f t="shared" si="20"/>
        <v>304684.15000000002</v>
      </c>
      <c r="N212" s="235">
        <f t="shared" si="17"/>
        <v>0</v>
      </c>
      <c r="O212" s="35" t="s">
        <v>3327</v>
      </c>
      <c r="P212" s="35"/>
      <c r="Q212" s="39">
        <f>SUMIF('Antelope Bailey Split BA'!$B$7:$B$29,B212,'Antelope Bailey Split BA'!$C$7:$C$29)</f>
        <v>0</v>
      </c>
      <c r="R212" s="39" t="str">
        <f>IF(AND(Q212=1,'Plant Total by Account'!$J$1=2),"EKWRA","")</f>
        <v/>
      </c>
    </row>
    <row r="213" spans="1:18" x14ac:dyDescent="0.2">
      <c r="A213" s="31" t="s">
        <v>2774</v>
      </c>
      <c r="B213" s="36" t="s">
        <v>311</v>
      </c>
      <c r="C213" s="504" t="s">
        <v>3352</v>
      </c>
      <c r="D213" s="42">
        <v>4827.0400000000009</v>
      </c>
      <c r="E213" s="42">
        <v>37371.56</v>
      </c>
      <c r="F213" s="42">
        <v>863412.28999999992</v>
      </c>
      <c r="G213" s="581">
        <f t="shared" si="16"/>
        <v>905610.8899999999</v>
      </c>
      <c r="H213" s="33">
        <v>0</v>
      </c>
      <c r="I213" s="33">
        <v>0</v>
      </c>
      <c r="J213" s="33">
        <v>0</v>
      </c>
      <c r="K213" s="33">
        <f t="shared" si="18"/>
        <v>4827.0400000000009</v>
      </c>
      <c r="L213" s="33">
        <f t="shared" si="19"/>
        <v>37371.56</v>
      </c>
      <c r="M213" s="33">
        <f t="shared" si="20"/>
        <v>863412.28999999992</v>
      </c>
      <c r="N213" s="235">
        <f t="shared" si="17"/>
        <v>0</v>
      </c>
      <c r="O213" s="35" t="s">
        <v>3327</v>
      </c>
      <c r="P213" s="35"/>
      <c r="Q213" s="39">
        <f>SUMIF('Antelope Bailey Split BA'!$B$7:$B$29,B213,'Antelope Bailey Split BA'!$C$7:$C$29)</f>
        <v>0</v>
      </c>
      <c r="R213" s="39" t="str">
        <f>IF(AND(Q213=1,'Plant Total by Account'!$J$1=2),"EKWRA","")</f>
        <v/>
      </c>
    </row>
    <row r="214" spans="1:18" x14ac:dyDescent="0.2">
      <c r="A214" s="31" t="s">
        <v>2775</v>
      </c>
      <c r="B214" s="36" t="s">
        <v>312</v>
      </c>
      <c r="C214" s="504" t="s">
        <v>3353</v>
      </c>
      <c r="D214" s="42">
        <v>0</v>
      </c>
      <c r="E214" s="42">
        <v>12216.630000000001</v>
      </c>
      <c r="F214" s="42">
        <v>906076.5900000002</v>
      </c>
      <c r="G214" s="581">
        <f t="shared" si="16"/>
        <v>918293.2200000002</v>
      </c>
      <c r="H214" s="33">
        <v>0</v>
      </c>
      <c r="I214" s="33">
        <v>0</v>
      </c>
      <c r="J214" s="33">
        <v>0</v>
      </c>
      <c r="K214" s="33">
        <f t="shared" si="18"/>
        <v>0</v>
      </c>
      <c r="L214" s="33">
        <f t="shared" si="19"/>
        <v>12216.630000000001</v>
      </c>
      <c r="M214" s="33">
        <f t="shared" si="20"/>
        <v>906076.5900000002</v>
      </c>
      <c r="N214" s="235">
        <f t="shared" si="17"/>
        <v>0</v>
      </c>
      <c r="O214" s="35" t="s">
        <v>3327</v>
      </c>
      <c r="P214" s="35"/>
      <c r="Q214" s="39">
        <f>SUMIF('Antelope Bailey Split BA'!$B$7:$B$29,B214,'Antelope Bailey Split BA'!$C$7:$C$29)</f>
        <v>0</v>
      </c>
      <c r="R214" s="39" t="str">
        <f>IF(AND(Q214=1,'Plant Total by Account'!$J$1=2),"EKWRA","")</f>
        <v/>
      </c>
    </row>
    <row r="215" spans="1:18" x14ac:dyDescent="0.2">
      <c r="A215" s="31" t="s">
        <v>2776</v>
      </c>
      <c r="B215" s="36" t="s">
        <v>313</v>
      </c>
      <c r="C215" s="504" t="s">
        <v>3353</v>
      </c>
      <c r="D215" s="42">
        <v>23157.360000000001</v>
      </c>
      <c r="E215" s="42">
        <v>27836.71</v>
      </c>
      <c r="F215" s="42">
        <v>568284.81999999995</v>
      </c>
      <c r="G215" s="581">
        <f t="shared" si="16"/>
        <v>619278.8899999999</v>
      </c>
      <c r="H215" s="33">
        <v>0</v>
      </c>
      <c r="I215" s="33">
        <v>0</v>
      </c>
      <c r="J215" s="33">
        <v>0</v>
      </c>
      <c r="K215" s="33">
        <f t="shared" si="18"/>
        <v>23157.360000000001</v>
      </c>
      <c r="L215" s="33">
        <f t="shared" si="19"/>
        <v>27836.71</v>
      </c>
      <c r="M215" s="33">
        <f t="shared" si="20"/>
        <v>568284.81999999995</v>
      </c>
      <c r="N215" s="235">
        <f t="shared" si="17"/>
        <v>0</v>
      </c>
      <c r="O215" s="35" t="s">
        <v>3327</v>
      </c>
      <c r="P215" s="35"/>
      <c r="Q215" s="39">
        <f>SUMIF('Antelope Bailey Split BA'!$B$7:$B$29,B215,'Antelope Bailey Split BA'!$C$7:$C$29)</f>
        <v>0</v>
      </c>
      <c r="R215" s="39" t="str">
        <f>IF(AND(Q215=1,'Plant Total by Account'!$J$1=2),"EKWRA","")</f>
        <v/>
      </c>
    </row>
    <row r="216" spans="1:18" x14ac:dyDescent="0.2">
      <c r="A216" s="31" t="s">
        <v>2777</v>
      </c>
      <c r="B216" s="36" t="s">
        <v>314</v>
      </c>
      <c r="C216" s="504" t="s">
        <v>3353</v>
      </c>
      <c r="D216" s="42">
        <v>830.53</v>
      </c>
      <c r="E216" s="42">
        <v>8054.3</v>
      </c>
      <c r="F216" s="42">
        <v>44837.23</v>
      </c>
      <c r="G216" s="581">
        <f t="shared" si="16"/>
        <v>53722.060000000005</v>
      </c>
      <c r="H216" s="33">
        <v>0</v>
      </c>
      <c r="I216" s="33">
        <v>0</v>
      </c>
      <c r="J216" s="33">
        <v>0</v>
      </c>
      <c r="K216" s="33">
        <f t="shared" si="18"/>
        <v>830.53</v>
      </c>
      <c r="L216" s="33">
        <f t="shared" si="19"/>
        <v>8054.3</v>
      </c>
      <c r="M216" s="33">
        <f t="shared" si="20"/>
        <v>44837.23</v>
      </c>
      <c r="N216" s="235">
        <f t="shared" si="17"/>
        <v>0</v>
      </c>
      <c r="O216" s="35" t="s">
        <v>3327</v>
      </c>
      <c r="P216" s="35"/>
      <c r="Q216" s="39">
        <f>SUMIF('Antelope Bailey Split BA'!$B$7:$B$29,B216,'Antelope Bailey Split BA'!$C$7:$C$29)</f>
        <v>0</v>
      </c>
      <c r="R216" s="39" t="str">
        <f>IF(AND(Q216=1,'Plant Total by Account'!$J$1=2),"EKWRA","")</f>
        <v/>
      </c>
    </row>
    <row r="217" spans="1:18" x14ac:dyDescent="0.2">
      <c r="A217" s="31" t="s">
        <v>2778</v>
      </c>
      <c r="B217" s="36" t="s">
        <v>315</v>
      </c>
      <c r="C217" s="504" t="s">
        <v>3352</v>
      </c>
      <c r="D217" s="42">
        <v>15342.4</v>
      </c>
      <c r="E217" s="42">
        <v>59570.68</v>
      </c>
      <c r="F217" s="42">
        <v>898560.06000000064</v>
      </c>
      <c r="G217" s="581">
        <f t="shared" si="16"/>
        <v>973473.1400000006</v>
      </c>
      <c r="H217" s="33">
        <v>0</v>
      </c>
      <c r="I217" s="33">
        <v>0</v>
      </c>
      <c r="J217" s="33">
        <v>0</v>
      </c>
      <c r="K217" s="33">
        <f t="shared" si="18"/>
        <v>15342.4</v>
      </c>
      <c r="L217" s="33">
        <f t="shared" si="19"/>
        <v>59570.68</v>
      </c>
      <c r="M217" s="33">
        <f t="shared" si="20"/>
        <v>898560.06000000064</v>
      </c>
      <c r="N217" s="235">
        <f t="shared" si="17"/>
        <v>0</v>
      </c>
      <c r="O217" s="35" t="s">
        <v>3327</v>
      </c>
      <c r="P217" s="35"/>
      <c r="Q217" s="39">
        <f>SUMIF('Antelope Bailey Split BA'!$B$7:$B$29,B217,'Antelope Bailey Split BA'!$C$7:$C$29)</f>
        <v>0</v>
      </c>
      <c r="R217" s="39" t="str">
        <f>IF(AND(Q217=1,'Plant Total by Account'!$J$1=2),"EKWRA","")</f>
        <v/>
      </c>
    </row>
    <row r="218" spans="1:18" x14ac:dyDescent="0.2">
      <c r="A218" s="31" t="s">
        <v>2779</v>
      </c>
      <c r="B218" s="36" t="s">
        <v>316</v>
      </c>
      <c r="C218" s="504" t="s">
        <v>3353</v>
      </c>
      <c r="D218" s="42">
        <v>0</v>
      </c>
      <c r="E218" s="42">
        <v>35948.76</v>
      </c>
      <c r="F218" s="42">
        <v>932643.04999999981</v>
      </c>
      <c r="G218" s="581">
        <f t="shared" si="16"/>
        <v>968591.80999999982</v>
      </c>
      <c r="H218" s="33">
        <v>0</v>
      </c>
      <c r="I218" s="33">
        <v>0</v>
      </c>
      <c r="J218" s="33">
        <v>0</v>
      </c>
      <c r="K218" s="33">
        <f t="shared" si="18"/>
        <v>0</v>
      </c>
      <c r="L218" s="33">
        <f t="shared" si="19"/>
        <v>35948.76</v>
      </c>
      <c r="M218" s="33">
        <f t="shared" si="20"/>
        <v>932643.04999999981</v>
      </c>
      <c r="N218" s="235">
        <f t="shared" si="17"/>
        <v>0</v>
      </c>
      <c r="O218" s="35" t="s">
        <v>3327</v>
      </c>
      <c r="P218" s="35"/>
      <c r="Q218" s="39">
        <f>SUMIF('Antelope Bailey Split BA'!$B$7:$B$29,B218,'Antelope Bailey Split BA'!$C$7:$C$29)</f>
        <v>0</v>
      </c>
      <c r="R218" s="39" t="str">
        <f>IF(AND(Q218=1,'Plant Total by Account'!$J$1=2),"EKWRA","")</f>
        <v/>
      </c>
    </row>
    <row r="219" spans="1:18" x14ac:dyDescent="0.2">
      <c r="A219" s="31" t="s">
        <v>2780</v>
      </c>
      <c r="B219" s="36" t="s">
        <v>317</v>
      </c>
      <c r="C219" s="504" t="s">
        <v>3353</v>
      </c>
      <c r="D219" s="42">
        <v>0</v>
      </c>
      <c r="E219" s="42">
        <v>7488.34</v>
      </c>
      <c r="F219" s="42">
        <v>1081851.93</v>
      </c>
      <c r="G219" s="581">
        <f t="shared" si="16"/>
        <v>1089340.27</v>
      </c>
      <c r="H219" s="33">
        <v>0</v>
      </c>
      <c r="I219" s="33">
        <v>0</v>
      </c>
      <c r="J219" s="33">
        <v>0</v>
      </c>
      <c r="K219" s="33">
        <f t="shared" si="18"/>
        <v>0</v>
      </c>
      <c r="L219" s="33">
        <f t="shared" si="19"/>
        <v>7488.34</v>
      </c>
      <c r="M219" s="33">
        <f t="shared" si="20"/>
        <v>1081851.93</v>
      </c>
      <c r="N219" s="235">
        <f t="shared" si="17"/>
        <v>0</v>
      </c>
      <c r="O219" s="35" t="s">
        <v>3327</v>
      </c>
      <c r="P219" s="35"/>
      <c r="Q219" s="39">
        <f>SUMIF('Antelope Bailey Split BA'!$B$7:$B$29,B219,'Antelope Bailey Split BA'!$C$7:$C$29)</f>
        <v>0</v>
      </c>
      <c r="R219" s="39" t="str">
        <f>IF(AND(Q219=1,'Plant Total by Account'!$J$1=2),"EKWRA","")</f>
        <v/>
      </c>
    </row>
    <row r="220" spans="1:18" x14ac:dyDescent="0.2">
      <c r="A220" s="31" t="s">
        <v>2781</v>
      </c>
      <c r="B220" s="36" t="s">
        <v>318</v>
      </c>
      <c r="C220" s="504" t="s">
        <v>3353</v>
      </c>
      <c r="D220" s="42">
        <v>0</v>
      </c>
      <c r="E220" s="42">
        <v>20329.46</v>
      </c>
      <c r="F220" s="42">
        <v>393617.48000000004</v>
      </c>
      <c r="G220" s="581">
        <f t="shared" si="16"/>
        <v>413946.94000000006</v>
      </c>
      <c r="H220" s="33">
        <v>0</v>
      </c>
      <c r="I220" s="33">
        <v>0</v>
      </c>
      <c r="J220" s="33">
        <v>0</v>
      </c>
      <c r="K220" s="33">
        <f t="shared" si="18"/>
        <v>0</v>
      </c>
      <c r="L220" s="33">
        <f t="shared" si="19"/>
        <v>20329.46</v>
      </c>
      <c r="M220" s="33">
        <f t="shared" si="20"/>
        <v>393617.48000000004</v>
      </c>
      <c r="N220" s="235">
        <f t="shared" si="17"/>
        <v>0</v>
      </c>
      <c r="O220" s="35" t="s">
        <v>3327</v>
      </c>
      <c r="P220" s="35"/>
      <c r="Q220" s="39">
        <f>SUMIF('Antelope Bailey Split BA'!$B$7:$B$29,B220,'Antelope Bailey Split BA'!$C$7:$C$29)</f>
        <v>0</v>
      </c>
      <c r="R220" s="39" t="str">
        <f>IF(AND(Q220=1,'Plant Total by Account'!$J$1=2),"EKWRA","")</f>
        <v/>
      </c>
    </row>
    <row r="221" spans="1:18" x14ac:dyDescent="0.2">
      <c r="A221" s="31" t="s">
        <v>2782</v>
      </c>
      <c r="B221" s="32" t="s">
        <v>319</v>
      </c>
      <c r="C221" s="504" t="s">
        <v>3353</v>
      </c>
      <c r="D221" s="42">
        <v>712.25</v>
      </c>
      <c r="E221" s="42">
        <v>0</v>
      </c>
      <c r="F221" s="42">
        <v>0</v>
      </c>
      <c r="G221" s="581">
        <f t="shared" si="16"/>
        <v>712.25</v>
      </c>
      <c r="H221" s="33">
        <v>0</v>
      </c>
      <c r="I221" s="33">
        <v>0</v>
      </c>
      <c r="J221" s="33">
        <v>0</v>
      </c>
      <c r="K221" s="33">
        <f t="shared" si="18"/>
        <v>712.25</v>
      </c>
      <c r="L221" s="33">
        <f t="shared" si="19"/>
        <v>0</v>
      </c>
      <c r="M221" s="33">
        <f t="shared" si="20"/>
        <v>0</v>
      </c>
      <c r="N221" s="235">
        <f t="shared" si="17"/>
        <v>0</v>
      </c>
      <c r="O221" s="35" t="s">
        <v>3327</v>
      </c>
      <c r="P221" s="35"/>
      <c r="Q221" s="39">
        <f>SUMIF('Antelope Bailey Split BA'!$B$7:$B$29,B221,'Antelope Bailey Split BA'!$C$7:$C$29)</f>
        <v>0</v>
      </c>
      <c r="R221" s="39" t="str">
        <f>IF(AND(Q221=1,'Plant Total by Account'!$J$1=2),"EKWRA","")</f>
        <v/>
      </c>
    </row>
    <row r="222" spans="1:18" x14ac:dyDescent="0.2">
      <c r="A222" s="31" t="s">
        <v>2783</v>
      </c>
      <c r="B222" s="36" t="s">
        <v>320</v>
      </c>
      <c r="C222" s="504" t="s">
        <v>3353</v>
      </c>
      <c r="D222" s="42">
        <v>85247.91</v>
      </c>
      <c r="E222" s="42">
        <v>165473.96000000002</v>
      </c>
      <c r="F222" s="42">
        <v>3071210.4699999974</v>
      </c>
      <c r="G222" s="581">
        <f t="shared" si="16"/>
        <v>3321932.3399999975</v>
      </c>
      <c r="H222" s="33">
        <v>0</v>
      </c>
      <c r="I222" s="33">
        <v>0</v>
      </c>
      <c r="J222" s="33">
        <v>0</v>
      </c>
      <c r="K222" s="33">
        <f t="shared" si="18"/>
        <v>85247.91</v>
      </c>
      <c r="L222" s="33">
        <f t="shared" si="19"/>
        <v>165473.96000000002</v>
      </c>
      <c r="M222" s="33">
        <f t="shared" si="20"/>
        <v>3071210.4699999974</v>
      </c>
      <c r="N222" s="235">
        <f t="shared" si="17"/>
        <v>0</v>
      </c>
      <c r="O222" s="35" t="s">
        <v>3327</v>
      </c>
      <c r="P222" s="35"/>
      <c r="Q222" s="39">
        <f>SUMIF('Antelope Bailey Split BA'!$B$7:$B$29,B222,'Antelope Bailey Split BA'!$C$7:$C$29)</f>
        <v>0</v>
      </c>
      <c r="R222" s="39" t="str">
        <f>IF(AND(Q222=1,'Plant Total by Account'!$J$1=2),"EKWRA","")</f>
        <v/>
      </c>
    </row>
    <row r="223" spans="1:18" x14ac:dyDescent="0.2">
      <c r="A223" s="31" t="s">
        <v>2784</v>
      </c>
      <c r="B223" s="36" t="s">
        <v>321</v>
      </c>
      <c r="C223" s="504" t="s">
        <v>3353</v>
      </c>
      <c r="D223" s="42">
        <v>0</v>
      </c>
      <c r="E223" s="42">
        <v>12888.17</v>
      </c>
      <c r="F223" s="42">
        <v>551432.17000000004</v>
      </c>
      <c r="G223" s="581">
        <f t="shared" si="16"/>
        <v>564320.34000000008</v>
      </c>
      <c r="H223" s="33">
        <v>0</v>
      </c>
      <c r="I223" s="33">
        <v>0</v>
      </c>
      <c r="J223" s="33">
        <v>0</v>
      </c>
      <c r="K223" s="33">
        <f t="shared" si="18"/>
        <v>0</v>
      </c>
      <c r="L223" s="33">
        <f t="shared" si="19"/>
        <v>12888.17</v>
      </c>
      <c r="M223" s="33">
        <f t="shared" si="20"/>
        <v>551432.17000000004</v>
      </c>
      <c r="N223" s="235">
        <f t="shared" si="17"/>
        <v>0</v>
      </c>
      <c r="O223" s="35" t="s">
        <v>3327</v>
      </c>
      <c r="P223" s="35"/>
      <c r="Q223" s="39">
        <f>SUMIF('Antelope Bailey Split BA'!$B$7:$B$29,B223,'Antelope Bailey Split BA'!$C$7:$C$29)</f>
        <v>0</v>
      </c>
      <c r="R223" s="39" t="str">
        <f>IF(AND(Q223=1,'Plant Total by Account'!$J$1=2),"EKWRA","")</f>
        <v/>
      </c>
    </row>
    <row r="224" spans="1:18" x14ac:dyDescent="0.2">
      <c r="A224" s="31" t="s">
        <v>2785</v>
      </c>
      <c r="B224" s="36" t="s">
        <v>322</v>
      </c>
      <c r="C224" s="504" t="s">
        <v>3352</v>
      </c>
      <c r="D224" s="42">
        <v>17786.36</v>
      </c>
      <c r="E224" s="42">
        <v>45139.649999999994</v>
      </c>
      <c r="F224" s="42">
        <v>473465.31999999995</v>
      </c>
      <c r="G224" s="581">
        <f t="shared" si="16"/>
        <v>536391.32999999996</v>
      </c>
      <c r="H224" s="33">
        <v>0</v>
      </c>
      <c r="I224" s="33">
        <v>0</v>
      </c>
      <c r="J224" s="33">
        <v>0</v>
      </c>
      <c r="K224" s="33">
        <f t="shared" si="18"/>
        <v>17786.36</v>
      </c>
      <c r="L224" s="33">
        <f t="shared" si="19"/>
        <v>45139.649999999994</v>
      </c>
      <c r="M224" s="33">
        <f t="shared" si="20"/>
        <v>473465.31999999995</v>
      </c>
      <c r="N224" s="235">
        <f t="shared" si="17"/>
        <v>0</v>
      </c>
      <c r="O224" s="35" t="s">
        <v>3327</v>
      </c>
      <c r="P224" s="35"/>
      <c r="Q224" s="39">
        <f>SUMIF('Antelope Bailey Split BA'!$B$7:$B$29,B224,'Antelope Bailey Split BA'!$C$7:$C$29)</f>
        <v>0</v>
      </c>
      <c r="R224" s="39" t="str">
        <f>IF(AND(Q224=1,'Plant Total by Account'!$J$1=2),"EKWRA","")</f>
        <v/>
      </c>
    </row>
    <row r="225" spans="1:18" x14ac:dyDescent="0.2">
      <c r="A225" s="31" t="s">
        <v>2786</v>
      </c>
      <c r="B225" s="36" t="s">
        <v>323</v>
      </c>
      <c r="C225" s="504" t="s">
        <v>3353</v>
      </c>
      <c r="D225" s="42">
        <v>1458.57</v>
      </c>
      <c r="E225" s="42">
        <v>10369.050000000001</v>
      </c>
      <c r="F225" s="42">
        <v>683440.94000000006</v>
      </c>
      <c r="G225" s="581">
        <f t="shared" si="16"/>
        <v>695268.56</v>
      </c>
      <c r="H225" s="33">
        <v>0</v>
      </c>
      <c r="I225" s="33">
        <v>0</v>
      </c>
      <c r="J225" s="33">
        <v>0</v>
      </c>
      <c r="K225" s="33">
        <f t="shared" si="18"/>
        <v>1458.57</v>
      </c>
      <c r="L225" s="33">
        <f t="shared" si="19"/>
        <v>10369.050000000001</v>
      </c>
      <c r="M225" s="33">
        <f t="shared" si="20"/>
        <v>683440.94000000006</v>
      </c>
      <c r="N225" s="235">
        <f t="shared" si="17"/>
        <v>0</v>
      </c>
      <c r="O225" s="35" t="s">
        <v>3327</v>
      </c>
      <c r="P225" s="35"/>
      <c r="Q225" s="39">
        <f>SUMIF('Antelope Bailey Split BA'!$B$7:$B$29,B225,'Antelope Bailey Split BA'!$C$7:$C$29)</f>
        <v>0</v>
      </c>
      <c r="R225" s="39" t="str">
        <f>IF(AND(Q225=1,'Plant Total by Account'!$J$1=2),"EKWRA","")</f>
        <v/>
      </c>
    </row>
    <row r="226" spans="1:18" x14ac:dyDescent="0.2">
      <c r="A226" s="31" t="s">
        <v>2787</v>
      </c>
      <c r="B226" s="36" t="s">
        <v>324</v>
      </c>
      <c r="C226" s="504" t="s">
        <v>3353</v>
      </c>
      <c r="D226" s="42">
        <v>11437.98</v>
      </c>
      <c r="E226" s="42">
        <v>24044.14</v>
      </c>
      <c r="F226" s="42">
        <v>1016393.1299999998</v>
      </c>
      <c r="G226" s="581">
        <f t="shared" si="16"/>
        <v>1051875.2499999998</v>
      </c>
      <c r="H226" s="33">
        <v>0</v>
      </c>
      <c r="I226" s="33">
        <v>0</v>
      </c>
      <c r="J226" s="33">
        <v>0</v>
      </c>
      <c r="K226" s="33">
        <f t="shared" si="18"/>
        <v>11437.98</v>
      </c>
      <c r="L226" s="33">
        <f t="shared" si="19"/>
        <v>24044.14</v>
      </c>
      <c r="M226" s="33">
        <f t="shared" si="20"/>
        <v>1016393.1299999998</v>
      </c>
      <c r="N226" s="235">
        <f t="shared" si="17"/>
        <v>0</v>
      </c>
      <c r="O226" s="35" t="s">
        <v>3327</v>
      </c>
      <c r="P226" s="35"/>
      <c r="Q226" s="39">
        <f>SUMIF('Antelope Bailey Split BA'!$B$7:$B$29,B226,'Antelope Bailey Split BA'!$C$7:$C$29)</f>
        <v>0</v>
      </c>
      <c r="R226" s="39" t="str">
        <f>IF(AND(Q226=1,'Plant Total by Account'!$J$1=2),"EKWRA","")</f>
        <v/>
      </c>
    </row>
    <row r="227" spans="1:18" x14ac:dyDescent="0.2">
      <c r="A227" s="31" t="s">
        <v>2788</v>
      </c>
      <c r="B227" s="36" t="s">
        <v>325</v>
      </c>
      <c r="C227" s="504" t="s">
        <v>3353</v>
      </c>
      <c r="D227" s="42">
        <v>63292.340000000011</v>
      </c>
      <c r="E227" s="42">
        <v>136964.93000000002</v>
      </c>
      <c r="F227" s="42">
        <v>3369108.7700000028</v>
      </c>
      <c r="G227" s="581">
        <f t="shared" si="16"/>
        <v>3569366.0400000028</v>
      </c>
      <c r="H227" s="33">
        <v>0</v>
      </c>
      <c r="I227" s="33">
        <v>0</v>
      </c>
      <c r="J227" s="33">
        <v>0</v>
      </c>
      <c r="K227" s="33">
        <f t="shared" si="18"/>
        <v>63292.340000000011</v>
      </c>
      <c r="L227" s="33">
        <f t="shared" si="19"/>
        <v>136964.93000000002</v>
      </c>
      <c r="M227" s="33">
        <f t="shared" si="20"/>
        <v>3369108.7700000028</v>
      </c>
      <c r="N227" s="235">
        <f t="shared" si="17"/>
        <v>0</v>
      </c>
      <c r="O227" s="35" t="s">
        <v>3327</v>
      </c>
      <c r="P227" s="35"/>
      <c r="Q227" s="39">
        <f>SUMIF('Antelope Bailey Split BA'!$B$7:$B$29,B227,'Antelope Bailey Split BA'!$C$7:$C$29)</f>
        <v>0</v>
      </c>
      <c r="R227" s="39" t="str">
        <f>IF(AND(Q227=1,'Plant Total by Account'!$J$1=2),"EKWRA","")</f>
        <v/>
      </c>
    </row>
    <row r="228" spans="1:18" x14ac:dyDescent="0.2">
      <c r="A228" s="31" t="s">
        <v>2789</v>
      </c>
      <c r="B228" s="36" t="s">
        <v>326</v>
      </c>
      <c r="C228" s="504" t="s">
        <v>3353</v>
      </c>
      <c r="D228" s="42">
        <v>0</v>
      </c>
      <c r="E228" s="42">
        <v>1826.38</v>
      </c>
      <c r="F228" s="42">
        <v>104324.97</v>
      </c>
      <c r="G228" s="581">
        <f t="shared" si="16"/>
        <v>106151.35</v>
      </c>
      <c r="H228" s="33">
        <v>0</v>
      </c>
      <c r="I228" s="33">
        <v>0</v>
      </c>
      <c r="J228" s="33">
        <v>0</v>
      </c>
      <c r="K228" s="33">
        <f t="shared" si="18"/>
        <v>0</v>
      </c>
      <c r="L228" s="33">
        <f t="shared" si="19"/>
        <v>1826.38</v>
      </c>
      <c r="M228" s="33">
        <f t="shared" si="20"/>
        <v>104324.97</v>
      </c>
      <c r="N228" s="235">
        <f t="shared" si="17"/>
        <v>0</v>
      </c>
      <c r="O228" s="35" t="s">
        <v>3327</v>
      </c>
      <c r="P228" s="35"/>
      <c r="Q228" s="39">
        <f>SUMIF('Antelope Bailey Split BA'!$B$7:$B$29,B228,'Antelope Bailey Split BA'!$C$7:$C$29)</f>
        <v>0</v>
      </c>
      <c r="R228" s="39" t="str">
        <f>IF(AND(Q228=1,'Plant Total by Account'!$J$1=2),"EKWRA","")</f>
        <v/>
      </c>
    </row>
    <row r="229" spans="1:18" x14ac:dyDescent="0.2">
      <c r="A229" s="31" t="s">
        <v>2790</v>
      </c>
      <c r="B229" s="36" t="s">
        <v>327</v>
      </c>
      <c r="C229" s="504" t="s">
        <v>3353</v>
      </c>
      <c r="D229" s="42">
        <v>0</v>
      </c>
      <c r="E229" s="42">
        <v>151724.89000000001</v>
      </c>
      <c r="F229" s="42">
        <v>1611562.0500000003</v>
      </c>
      <c r="G229" s="581">
        <f t="shared" si="16"/>
        <v>1763286.9400000004</v>
      </c>
      <c r="H229" s="33">
        <v>0</v>
      </c>
      <c r="I229" s="33">
        <v>0</v>
      </c>
      <c r="J229" s="33">
        <v>0</v>
      </c>
      <c r="K229" s="33">
        <f t="shared" si="18"/>
        <v>0</v>
      </c>
      <c r="L229" s="33">
        <f t="shared" si="19"/>
        <v>151724.89000000001</v>
      </c>
      <c r="M229" s="33">
        <f t="shared" si="20"/>
        <v>1611562.0500000003</v>
      </c>
      <c r="N229" s="235">
        <f t="shared" si="17"/>
        <v>0</v>
      </c>
      <c r="O229" s="35" t="s">
        <v>3327</v>
      </c>
      <c r="P229" s="35"/>
      <c r="Q229" s="39">
        <f>SUMIF('Antelope Bailey Split BA'!$B$7:$B$29,B229,'Antelope Bailey Split BA'!$C$7:$C$29)</f>
        <v>0</v>
      </c>
      <c r="R229" s="39" t="str">
        <f>IF(AND(Q229=1,'Plant Total by Account'!$J$1=2),"EKWRA","")</f>
        <v/>
      </c>
    </row>
    <row r="230" spans="1:18" x14ac:dyDescent="0.2">
      <c r="A230" s="31" t="s">
        <v>2791</v>
      </c>
      <c r="B230" s="36" t="s">
        <v>328</v>
      </c>
      <c r="C230" s="504" t="s">
        <v>3353</v>
      </c>
      <c r="D230" s="42">
        <v>36792.36</v>
      </c>
      <c r="E230" s="42">
        <v>211789.38999999996</v>
      </c>
      <c r="F230" s="42">
        <v>2184462.0500000003</v>
      </c>
      <c r="G230" s="581">
        <f t="shared" si="16"/>
        <v>2433043.8000000003</v>
      </c>
      <c r="H230" s="33">
        <v>0</v>
      </c>
      <c r="I230" s="33">
        <v>0</v>
      </c>
      <c r="J230" s="33">
        <v>0</v>
      </c>
      <c r="K230" s="33">
        <f t="shared" si="18"/>
        <v>36792.36</v>
      </c>
      <c r="L230" s="33">
        <f t="shared" si="19"/>
        <v>211789.38999999996</v>
      </c>
      <c r="M230" s="33">
        <f t="shared" si="20"/>
        <v>2184462.0500000003</v>
      </c>
      <c r="N230" s="235">
        <f t="shared" si="17"/>
        <v>0</v>
      </c>
      <c r="O230" s="35" t="s">
        <v>3327</v>
      </c>
      <c r="P230" s="35"/>
      <c r="Q230" s="39">
        <f>SUMIF('Antelope Bailey Split BA'!$B$7:$B$29,B230,'Antelope Bailey Split BA'!$C$7:$C$29)</f>
        <v>0</v>
      </c>
      <c r="R230" s="39" t="str">
        <f>IF(AND(Q230=1,'Plant Total by Account'!$J$1=2),"EKWRA","")</f>
        <v/>
      </c>
    </row>
    <row r="231" spans="1:18" x14ac:dyDescent="0.2">
      <c r="A231" s="31" t="s">
        <v>2792</v>
      </c>
      <c r="B231" s="36" t="s">
        <v>329</v>
      </c>
      <c r="C231" s="504" t="s">
        <v>3353</v>
      </c>
      <c r="D231" s="42">
        <v>0</v>
      </c>
      <c r="E231" s="42">
        <v>3969.5</v>
      </c>
      <c r="F231" s="42">
        <v>1096286.42</v>
      </c>
      <c r="G231" s="581">
        <f t="shared" si="16"/>
        <v>1100255.92</v>
      </c>
      <c r="H231" s="33">
        <v>0</v>
      </c>
      <c r="I231" s="33">
        <v>0</v>
      </c>
      <c r="J231" s="33">
        <v>0</v>
      </c>
      <c r="K231" s="33">
        <f t="shared" si="18"/>
        <v>0</v>
      </c>
      <c r="L231" s="33">
        <f t="shared" si="19"/>
        <v>3969.5</v>
      </c>
      <c r="M231" s="33">
        <f t="shared" si="20"/>
        <v>1096286.42</v>
      </c>
      <c r="N231" s="235">
        <f t="shared" si="17"/>
        <v>0</v>
      </c>
      <c r="O231" s="35" t="s">
        <v>3327</v>
      </c>
      <c r="P231" s="35"/>
      <c r="Q231" s="39">
        <f>SUMIF('Antelope Bailey Split BA'!$B$7:$B$29,B231,'Antelope Bailey Split BA'!$C$7:$C$29)</f>
        <v>0</v>
      </c>
      <c r="R231" s="39" t="str">
        <f>IF(AND(Q231=1,'Plant Total by Account'!$J$1=2),"EKWRA","")</f>
        <v/>
      </c>
    </row>
    <row r="232" spans="1:18" x14ac:dyDescent="0.2">
      <c r="A232" s="31" t="s">
        <v>2793</v>
      </c>
      <c r="B232" s="36" t="s">
        <v>330</v>
      </c>
      <c r="C232" s="504" t="s">
        <v>3353</v>
      </c>
      <c r="D232" s="42">
        <v>142.91</v>
      </c>
      <c r="E232" s="42">
        <v>8838.35</v>
      </c>
      <c r="F232" s="42">
        <v>915294.2899999998</v>
      </c>
      <c r="G232" s="581">
        <f t="shared" si="16"/>
        <v>924275.54999999981</v>
      </c>
      <c r="H232" s="33">
        <v>0</v>
      </c>
      <c r="I232" s="33">
        <v>0</v>
      </c>
      <c r="J232" s="33">
        <v>0</v>
      </c>
      <c r="K232" s="33">
        <f t="shared" si="18"/>
        <v>142.91</v>
      </c>
      <c r="L232" s="33">
        <f t="shared" si="19"/>
        <v>8838.35</v>
      </c>
      <c r="M232" s="33">
        <f t="shared" si="20"/>
        <v>915294.2899999998</v>
      </c>
      <c r="N232" s="235">
        <f t="shared" si="17"/>
        <v>0</v>
      </c>
      <c r="O232" s="35" t="s">
        <v>3327</v>
      </c>
      <c r="P232" s="35"/>
      <c r="Q232" s="39">
        <f>SUMIF('Antelope Bailey Split BA'!$B$7:$B$29,B232,'Antelope Bailey Split BA'!$C$7:$C$29)</f>
        <v>0</v>
      </c>
      <c r="R232" s="39" t="str">
        <f>IF(AND(Q232=1,'Plant Total by Account'!$J$1=2),"EKWRA","")</f>
        <v/>
      </c>
    </row>
    <row r="233" spans="1:18" x14ac:dyDescent="0.2">
      <c r="A233" s="31" t="s">
        <v>2794</v>
      </c>
      <c r="B233" s="36" t="s">
        <v>331</v>
      </c>
      <c r="C233" s="504" t="s">
        <v>3353</v>
      </c>
      <c r="D233" s="42">
        <v>87320.33</v>
      </c>
      <c r="E233" s="42">
        <v>529136.82000000007</v>
      </c>
      <c r="F233" s="42">
        <v>1218435.4099999997</v>
      </c>
      <c r="G233" s="581">
        <f t="shared" si="16"/>
        <v>1834892.5599999996</v>
      </c>
      <c r="H233" s="33">
        <v>0</v>
      </c>
      <c r="I233" s="33">
        <v>0</v>
      </c>
      <c r="J233" s="33">
        <v>0</v>
      </c>
      <c r="K233" s="33">
        <f t="shared" si="18"/>
        <v>87320.33</v>
      </c>
      <c r="L233" s="33">
        <f t="shared" si="19"/>
        <v>529136.82000000007</v>
      </c>
      <c r="M233" s="33">
        <f t="shared" si="20"/>
        <v>1218435.4099999997</v>
      </c>
      <c r="N233" s="235">
        <f t="shared" si="17"/>
        <v>0</v>
      </c>
      <c r="O233" s="35" t="s">
        <v>3327</v>
      </c>
      <c r="P233" s="35"/>
      <c r="Q233" s="39">
        <f>SUMIF('Antelope Bailey Split BA'!$B$7:$B$29,B233,'Antelope Bailey Split BA'!$C$7:$C$29)</f>
        <v>0</v>
      </c>
      <c r="R233" s="39" t="str">
        <f>IF(AND(Q233=1,'Plant Total by Account'!$J$1=2),"EKWRA","")</f>
        <v/>
      </c>
    </row>
    <row r="234" spans="1:18" x14ac:dyDescent="0.2">
      <c r="A234" s="31" t="s">
        <v>2795</v>
      </c>
      <c r="B234" s="36" t="s">
        <v>332</v>
      </c>
      <c r="C234" s="504" t="s">
        <v>3353</v>
      </c>
      <c r="D234" s="42">
        <v>1828.6000000000001</v>
      </c>
      <c r="E234" s="42">
        <v>6948.38</v>
      </c>
      <c r="F234" s="42">
        <v>524458.89</v>
      </c>
      <c r="G234" s="581">
        <f t="shared" si="16"/>
        <v>533235.87</v>
      </c>
      <c r="H234" s="33">
        <v>0</v>
      </c>
      <c r="I234" s="33">
        <v>0</v>
      </c>
      <c r="J234" s="33">
        <v>0</v>
      </c>
      <c r="K234" s="33">
        <f t="shared" si="18"/>
        <v>1828.6000000000001</v>
      </c>
      <c r="L234" s="33">
        <f t="shared" si="19"/>
        <v>6948.38</v>
      </c>
      <c r="M234" s="33">
        <f t="shared" si="20"/>
        <v>524458.89</v>
      </c>
      <c r="N234" s="235">
        <f t="shared" si="17"/>
        <v>0</v>
      </c>
      <c r="O234" s="35" t="s">
        <v>3327</v>
      </c>
      <c r="P234" s="35"/>
      <c r="Q234" s="39">
        <f>SUMIF('Antelope Bailey Split BA'!$B$7:$B$29,B234,'Antelope Bailey Split BA'!$C$7:$C$29)</f>
        <v>0</v>
      </c>
      <c r="R234" s="39" t="str">
        <f>IF(AND(Q234=1,'Plant Total by Account'!$J$1=2),"EKWRA","")</f>
        <v/>
      </c>
    </row>
    <row r="235" spans="1:18" x14ac:dyDescent="0.2">
      <c r="A235" s="31" t="s">
        <v>2796</v>
      </c>
      <c r="B235" s="36" t="s">
        <v>333</v>
      </c>
      <c r="C235" s="504" t="s">
        <v>3353</v>
      </c>
      <c r="D235" s="42">
        <v>4987.68</v>
      </c>
      <c r="E235" s="42">
        <v>455495.92</v>
      </c>
      <c r="F235" s="42">
        <v>2455023.169999999</v>
      </c>
      <c r="G235" s="581">
        <f t="shared" si="16"/>
        <v>2915506.7699999991</v>
      </c>
      <c r="H235" s="33">
        <v>0</v>
      </c>
      <c r="I235" s="33">
        <v>0</v>
      </c>
      <c r="J235" s="33">
        <v>0</v>
      </c>
      <c r="K235" s="33">
        <f t="shared" si="18"/>
        <v>4987.68</v>
      </c>
      <c r="L235" s="33">
        <f t="shared" si="19"/>
        <v>455495.92</v>
      </c>
      <c r="M235" s="33">
        <f t="shared" si="20"/>
        <v>2455023.169999999</v>
      </c>
      <c r="N235" s="235">
        <f t="shared" si="17"/>
        <v>0</v>
      </c>
      <c r="O235" s="35" t="s">
        <v>3327</v>
      </c>
      <c r="P235" s="35"/>
      <c r="Q235" s="39">
        <f>SUMIF('Antelope Bailey Split BA'!$B$7:$B$29,B235,'Antelope Bailey Split BA'!$C$7:$C$29)</f>
        <v>0</v>
      </c>
      <c r="R235" s="39" t="str">
        <f>IF(AND(Q235=1,'Plant Total by Account'!$J$1=2),"EKWRA","")</f>
        <v/>
      </c>
    </row>
    <row r="236" spans="1:18" x14ac:dyDescent="0.2">
      <c r="A236" s="31" t="s">
        <v>2797</v>
      </c>
      <c r="B236" s="36" t="s">
        <v>334</v>
      </c>
      <c r="C236" s="504" t="s">
        <v>3353</v>
      </c>
      <c r="D236" s="42">
        <v>2246.6799999999998</v>
      </c>
      <c r="E236" s="42">
        <v>6418.9400000000005</v>
      </c>
      <c r="F236" s="42">
        <v>905116.82999999984</v>
      </c>
      <c r="G236" s="581">
        <f t="shared" si="16"/>
        <v>913782.44999999984</v>
      </c>
      <c r="H236" s="33">
        <v>0</v>
      </c>
      <c r="I236" s="33">
        <v>0</v>
      </c>
      <c r="J236" s="33">
        <v>0</v>
      </c>
      <c r="K236" s="33">
        <f t="shared" si="18"/>
        <v>2246.6799999999998</v>
      </c>
      <c r="L236" s="33">
        <f t="shared" si="19"/>
        <v>6418.9400000000005</v>
      </c>
      <c r="M236" s="33">
        <f t="shared" si="20"/>
        <v>905116.82999999984</v>
      </c>
      <c r="N236" s="235">
        <f t="shared" si="17"/>
        <v>0</v>
      </c>
      <c r="O236" s="35" t="s">
        <v>3327</v>
      </c>
      <c r="P236" s="35"/>
      <c r="Q236" s="39">
        <f>SUMIF('Antelope Bailey Split BA'!$B$7:$B$29,B236,'Antelope Bailey Split BA'!$C$7:$C$29)</f>
        <v>0</v>
      </c>
      <c r="R236" s="39" t="str">
        <f>IF(AND(Q236=1,'Plant Total by Account'!$J$1=2),"EKWRA","")</f>
        <v/>
      </c>
    </row>
    <row r="237" spans="1:18" x14ac:dyDescent="0.2">
      <c r="A237" s="31" t="s">
        <v>2798</v>
      </c>
      <c r="B237" s="36" t="s">
        <v>335</v>
      </c>
      <c r="C237" s="504" t="s">
        <v>3353</v>
      </c>
      <c r="D237" s="42">
        <v>0</v>
      </c>
      <c r="E237" s="42">
        <v>122667.46000000002</v>
      </c>
      <c r="F237" s="42">
        <v>3247629.100000001</v>
      </c>
      <c r="G237" s="581">
        <f t="shared" si="16"/>
        <v>3370296.560000001</v>
      </c>
      <c r="H237" s="33">
        <v>0</v>
      </c>
      <c r="I237" s="33">
        <v>0</v>
      </c>
      <c r="J237" s="33">
        <v>0</v>
      </c>
      <c r="K237" s="33">
        <f t="shared" si="18"/>
        <v>0</v>
      </c>
      <c r="L237" s="33">
        <f t="shared" si="19"/>
        <v>122667.46000000002</v>
      </c>
      <c r="M237" s="33">
        <f t="shared" si="20"/>
        <v>3247629.100000001</v>
      </c>
      <c r="N237" s="235">
        <f t="shared" si="17"/>
        <v>0</v>
      </c>
      <c r="O237" s="35" t="s">
        <v>3327</v>
      </c>
      <c r="P237" s="35"/>
      <c r="Q237" s="39">
        <f>SUMIF('Antelope Bailey Split BA'!$B$7:$B$29,B237,'Antelope Bailey Split BA'!$C$7:$C$29)</f>
        <v>0</v>
      </c>
      <c r="R237" s="39" t="str">
        <f>IF(AND(Q237=1,'Plant Total by Account'!$J$1=2),"EKWRA","")</f>
        <v/>
      </c>
    </row>
    <row r="238" spans="1:18" x14ac:dyDescent="0.2">
      <c r="A238" s="31" t="s">
        <v>2799</v>
      </c>
      <c r="B238" s="36" t="s">
        <v>336</v>
      </c>
      <c r="C238" s="504" t="s">
        <v>3353</v>
      </c>
      <c r="D238" s="42">
        <v>0</v>
      </c>
      <c r="E238" s="42">
        <v>5013.8900000000003</v>
      </c>
      <c r="F238" s="42">
        <v>154037.78</v>
      </c>
      <c r="G238" s="581">
        <f t="shared" si="16"/>
        <v>159051.67000000001</v>
      </c>
      <c r="H238" s="33">
        <v>0</v>
      </c>
      <c r="I238" s="33">
        <v>0</v>
      </c>
      <c r="J238" s="33">
        <v>0</v>
      </c>
      <c r="K238" s="33">
        <f t="shared" si="18"/>
        <v>0</v>
      </c>
      <c r="L238" s="33">
        <f t="shared" si="19"/>
        <v>5013.8900000000003</v>
      </c>
      <c r="M238" s="33">
        <f t="shared" si="20"/>
        <v>154037.78</v>
      </c>
      <c r="N238" s="235">
        <f t="shared" si="17"/>
        <v>0</v>
      </c>
      <c r="O238" s="35" t="s">
        <v>3327</v>
      </c>
      <c r="P238" s="35"/>
      <c r="Q238" s="39">
        <f>SUMIF('Antelope Bailey Split BA'!$B$7:$B$29,B238,'Antelope Bailey Split BA'!$C$7:$C$29)</f>
        <v>0</v>
      </c>
      <c r="R238" s="39" t="str">
        <f>IF(AND(Q238=1,'Plant Total by Account'!$J$1=2),"EKWRA","")</f>
        <v/>
      </c>
    </row>
    <row r="239" spans="1:18" x14ac:dyDescent="0.2">
      <c r="A239" s="31" t="s">
        <v>2800</v>
      </c>
      <c r="B239" s="36" t="s">
        <v>337</v>
      </c>
      <c r="C239" s="504" t="s">
        <v>3353</v>
      </c>
      <c r="D239" s="42">
        <v>0</v>
      </c>
      <c r="E239" s="42">
        <v>6901.4400000000005</v>
      </c>
      <c r="F239" s="42">
        <v>1818711.0600000003</v>
      </c>
      <c r="G239" s="581">
        <f t="shared" si="16"/>
        <v>1825612.5000000002</v>
      </c>
      <c r="H239" s="33">
        <v>0</v>
      </c>
      <c r="I239" s="33">
        <v>0</v>
      </c>
      <c r="J239" s="33">
        <v>0</v>
      </c>
      <c r="K239" s="33">
        <f t="shared" si="18"/>
        <v>0</v>
      </c>
      <c r="L239" s="33">
        <f t="shared" si="19"/>
        <v>6901.4400000000005</v>
      </c>
      <c r="M239" s="33">
        <f t="shared" si="20"/>
        <v>1818711.0600000003</v>
      </c>
      <c r="N239" s="235">
        <f t="shared" si="17"/>
        <v>0</v>
      </c>
      <c r="O239" s="35" t="s">
        <v>3327</v>
      </c>
      <c r="P239" s="35"/>
      <c r="Q239" s="39">
        <f>SUMIF('Antelope Bailey Split BA'!$B$7:$B$29,B239,'Antelope Bailey Split BA'!$C$7:$C$29)</f>
        <v>0</v>
      </c>
      <c r="R239" s="39" t="str">
        <f>IF(AND(Q239=1,'Plant Total by Account'!$J$1=2),"EKWRA","")</f>
        <v/>
      </c>
    </row>
    <row r="240" spans="1:18" x14ac:dyDescent="0.2">
      <c r="A240" s="31" t="s">
        <v>2801</v>
      </c>
      <c r="B240" s="36" t="s">
        <v>338</v>
      </c>
      <c r="C240" s="504" t="s">
        <v>3353</v>
      </c>
      <c r="D240" s="42">
        <v>0</v>
      </c>
      <c r="E240" s="42">
        <v>6841.4800000000005</v>
      </c>
      <c r="F240" s="42">
        <v>706438.14</v>
      </c>
      <c r="G240" s="581">
        <f t="shared" si="16"/>
        <v>713279.62</v>
      </c>
      <c r="H240" s="33">
        <v>0</v>
      </c>
      <c r="I240" s="33">
        <v>0</v>
      </c>
      <c r="J240" s="33">
        <v>0</v>
      </c>
      <c r="K240" s="33">
        <f t="shared" si="18"/>
        <v>0</v>
      </c>
      <c r="L240" s="33">
        <f t="shared" si="19"/>
        <v>6841.4800000000005</v>
      </c>
      <c r="M240" s="33">
        <f t="shared" si="20"/>
        <v>706438.14</v>
      </c>
      <c r="N240" s="235">
        <f t="shared" si="17"/>
        <v>0</v>
      </c>
      <c r="O240" s="35" t="s">
        <v>3327</v>
      </c>
      <c r="P240" s="35"/>
      <c r="Q240" s="39">
        <f>SUMIF('Antelope Bailey Split BA'!$B$7:$B$29,B240,'Antelope Bailey Split BA'!$C$7:$C$29)</f>
        <v>0</v>
      </c>
      <c r="R240" s="39" t="str">
        <f>IF(AND(Q240=1,'Plant Total by Account'!$J$1=2),"EKWRA","")</f>
        <v/>
      </c>
    </row>
    <row r="241" spans="1:18" x14ac:dyDescent="0.2">
      <c r="A241" s="31" t="s">
        <v>2802</v>
      </c>
      <c r="B241" s="36" t="s">
        <v>339</v>
      </c>
      <c r="C241" s="504" t="s">
        <v>3353</v>
      </c>
      <c r="D241" s="42">
        <v>0</v>
      </c>
      <c r="E241" s="42">
        <v>80962.139999999985</v>
      </c>
      <c r="F241" s="42">
        <v>6365590.1599999992</v>
      </c>
      <c r="G241" s="581">
        <f t="shared" si="16"/>
        <v>6446552.2999999989</v>
      </c>
      <c r="H241" s="33">
        <v>0</v>
      </c>
      <c r="I241" s="33">
        <v>0</v>
      </c>
      <c r="J241" s="33">
        <v>0</v>
      </c>
      <c r="K241" s="33">
        <f t="shared" si="18"/>
        <v>0</v>
      </c>
      <c r="L241" s="33">
        <f t="shared" si="19"/>
        <v>80962.139999999985</v>
      </c>
      <c r="M241" s="33">
        <f t="shared" si="20"/>
        <v>6365590.1599999992</v>
      </c>
      <c r="N241" s="235">
        <f t="shared" si="17"/>
        <v>0</v>
      </c>
      <c r="O241" s="35" t="s">
        <v>3327</v>
      </c>
      <c r="P241" s="35"/>
      <c r="Q241" s="39">
        <f>SUMIF('Antelope Bailey Split BA'!$B$7:$B$29,B241,'Antelope Bailey Split BA'!$C$7:$C$29)</f>
        <v>0</v>
      </c>
      <c r="R241" s="39" t="str">
        <f>IF(AND(Q241=1,'Plant Total by Account'!$J$1=2),"EKWRA","")</f>
        <v/>
      </c>
    </row>
    <row r="242" spans="1:18" x14ac:dyDescent="0.2">
      <c r="A242" s="31" t="s">
        <v>2803</v>
      </c>
      <c r="B242" s="36" t="s">
        <v>340</v>
      </c>
      <c r="C242" s="504" t="s">
        <v>3353</v>
      </c>
      <c r="D242" s="42">
        <v>6306.66</v>
      </c>
      <c r="E242" s="42">
        <v>18519</v>
      </c>
      <c r="F242" s="42">
        <v>815058.23</v>
      </c>
      <c r="G242" s="581">
        <f t="shared" si="16"/>
        <v>839883.89</v>
      </c>
      <c r="H242" s="33">
        <v>0</v>
      </c>
      <c r="I242" s="33">
        <v>0</v>
      </c>
      <c r="J242" s="33">
        <v>0</v>
      </c>
      <c r="K242" s="33">
        <f t="shared" si="18"/>
        <v>6306.66</v>
      </c>
      <c r="L242" s="33">
        <f t="shared" si="19"/>
        <v>18519</v>
      </c>
      <c r="M242" s="33">
        <f t="shared" si="20"/>
        <v>815058.23</v>
      </c>
      <c r="N242" s="235">
        <f t="shared" si="17"/>
        <v>0</v>
      </c>
      <c r="O242" s="35" t="s">
        <v>3327</v>
      </c>
      <c r="P242" s="35"/>
      <c r="Q242" s="39">
        <f>SUMIF('Antelope Bailey Split BA'!$B$7:$B$29,B242,'Antelope Bailey Split BA'!$C$7:$C$29)</f>
        <v>0</v>
      </c>
      <c r="R242" s="39" t="str">
        <f>IF(AND(Q242=1,'Plant Total by Account'!$J$1=2),"EKWRA","")</f>
        <v/>
      </c>
    </row>
    <row r="243" spans="1:18" x14ac:dyDescent="0.2">
      <c r="A243" s="31" t="s">
        <v>2804</v>
      </c>
      <c r="B243" s="36" t="s">
        <v>341</v>
      </c>
      <c r="C243" s="504"/>
      <c r="D243" s="42">
        <v>13452.78</v>
      </c>
      <c r="E243" s="42">
        <v>14674.130000000001</v>
      </c>
      <c r="F243" s="42">
        <v>586074.67000000016</v>
      </c>
      <c r="G243" s="581">
        <f t="shared" si="16"/>
        <v>614201.58000000019</v>
      </c>
      <c r="H243" s="33">
        <v>0</v>
      </c>
      <c r="I243" s="33">
        <v>0</v>
      </c>
      <c r="J243" s="33">
        <v>0</v>
      </c>
      <c r="K243" s="33">
        <f t="shared" si="18"/>
        <v>13452.78</v>
      </c>
      <c r="L243" s="33">
        <f t="shared" si="19"/>
        <v>14674.130000000001</v>
      </c>
      <c r="M243" s="33">
        <f t="shared" si="20"/>
        <v>586074.67000000016</v>
      </c>
      <c r="N243" s="235">
        <f t="shared" si="17"/>
        <v>0</v>
      </c>
      <c r="O243" s="35" t="s">
        <v>3327</v>
      </c>
      <c r="P243" s="35"/>
      <c r="Q243" s="39">
        <f>SUMIF('Antelope Bailey Split BA'!$B$7:$B$29,B243,'Antelope Bailey Split BA'!$C$7:$C$29)</f>
        <v>0</v>
      </c>
      <c r="R243" s="39" t="str">
        <f>IF(AND(Q243=1,'Plant Total by Account'!$J$1=2),"EKWRA","")</f>
        <v/>
      </c>
    </row>
    <row r="244" spans="1:18" x14ac:dyDescent="0.2">
      <c r="A244" s="31" t="s">
        <v>2805</v>
      </c>
      <c r="B244" s="36" t="s">
        <v>342</v>
      </c>
      <c r="C244" s="504" t="s">
        <v>3353</v>
      </c>
      <c r="D244" s="42">
        <v>37269.96</v>
      </c>
      <c r="E244" s="42">
        <v>37097.65</v>
      </c>
      <c r="F244" s="42">
        <v>535710.17000000004</v>
      </c>
      <c r="G244" s="581">
        <f t="shared" si="16"/>
        <v>610077.78</v>
      </c>
      <c r="H244" s="33">
        <v>0</v>
      </c>
      <c r="I244" s="33">
        <v>0</v>
      </c>
      <c r="J244" s="33">
        <v>0</v>
      </c>
      <c r="K244" s="33">
        <f t="shared" si="18"/>
        <v>37269.96</v>
      </c>
      <c r="L244" s="33">
        <f t="shared" si="19"/>
        <v>37097.65</v>
      </c>
      <c r="M244" s="33">
        <f t="shared" si="20"/>
        <v>535710.17000000004</v>
      </c>
      <c r="N244" s="235">
        <f t="shared" si="17"/>
        <v>0</v>
      </c>
      <c r="O244" s="35" t="s">
        <v>3327</v>
      </c>
      <c r="P244" s="35"/>
      <c r="Q244" s="39">
        <f>SUMIF('Antelope Bailey Split BA'!$B$7:$B$29,B244,'Antelope Bailey Split BA'!$C$7:$C$29)</f>
        <v>0</v>
      </c>
      <c r="R244" s="39" t="str">
        <f>IF(AND(Q244=1,'Plant Total by Account'!$J$1=2),"EKWRA","")</f>
        <v/>
      </c>
    </row>
    <row r="245" spans="1:18" x14ac:dyDescent="0.2">
      <c r="A245" s="31" t="s">
        <v>2806</v>
      </c>
      <c r="B245" s="36" t="s">
        <v>343</v>
      </c>
      <c r="C245" s="504" t="s">
        <v>3353</v>
      </c>
      <c r="D245" s="42">
        <v>0</v>
      </c>
      <c r="E245" s="42">
        <v>30820.73</v>
      </c>
      <c r="F245" s="42">
        <v>461399.01999999996</v>
      </c>
      <c r="G245" s="581">
        <f t="shared" si="16"/>
        <v>492219.74999999994</v>
      </c>
      <c r="H245" s="33">
        <v>0</v>
      </c>
      <c r="I245" s="33">
        <v>0</v>
      </c>
      <c r="J245" s="33">
        <v>0</v>
      </c>
      <c r="K245" s="33">
        <f t="shared" si="18"/>
        <v>0</v>
      </c>
      <c r="L245" s="33">
        <f t="shared" si="19"/>
        <v>30820.73</v>
      </c>
      <c r="M245" s="33">
        <f t="shared" si="20"/>
        <v>461399.01999999996</v>
      </c>
      <c r="N245" s="235">
        <f t="shared" si="17"/>
        <v>0</v>
      </c>
      <c r="O245" s="35" t="s">
        <v>3327</v>
      </c>
      <c r="P245" s="35"/>
      <c r="Q245" s="39">
        <f>SUMIF('Antelope Bailey Split BA'!$B$7:$B$29,B245,'Antelope Bailey Split BA'!$C$7:$C$29)</f>
        <v>0</v>
      </c>
      <c r="R245" s="39" t="str">
        <f>IF(AND(Q245=1,'Plant Total by Account'!$J$1=2),"EKWRA","")</f>
        <v/>
      </c>
    </row>
    <row r="246" spans="1:18" x14ac:dyDescent="0.2">
      <c r="A246" s="31" t="s">
        <v>2807</v>
      </c>
      <c r="B246" s="36" t="s">
        <v>344</v>
      </c>
      <c r="C246" s="504" t="s">
        <v>3353</v>
      </c>
      <c r="D246" s="42">
        <v>0</v>
      </c>
      <c r="E246" s="42">
        <v>0</v>
      </c>
      <c r="F246" s="42">
        <v>289179.46000000002</v>
      </c>
      <c r="G246" s="581">
        <f t="shared" si="16"/>
        <v>289179.46000000002</v>
      </c>
      <c r="H246" s="33">
        <v>0</v>
      </c>
      <c r="I246" s="33">
        <v>0</v>
      </c>
      <c r="J246" s="33">
        <v>0</v>
      </c>
      <c r="K246" s="33">
        <f t="shared" si="18"/>
        <v>0</v>
      </c>
      <c r="L246" s="33">
        <f t="shared" si="19"/>
        <v>0</v>
      </c>
      <c r="M246" s="33">
        <f t="shared" si="20"/>
        <v>289179.46000000002</v>
      </c>
      <c r="N246" s="235">
        <f t="shared" si="17"/>
        <v>0</v>
      </c>
      <c r="O246" s="35" t="s">
        <v>3327</v>
      </c>
      <c r="P246" s="35"/>
      <c r="Q246" s="39">
        <f>SUMIF('Antelope Bailey Split BA'!$B$7:$B$29,B246,'Antelope Bailey Split BA'!$C$7:$C$29)</f>
        <v>0</v>
      </c>
      <c r="R246" s="39" t="str">
        <f>IF(AND(Q246=1,'Plant Total by Account'!$J$1=2),"EKWRA","")</f>
        <v/>
      </c>
    </row>
    <row r="247" spans="1:18" x14ac:dyDescent="0.2">
      <c r="A247" s="31" t="s">
        <v>2808</v>
      </c>
      <c r="B247" s="36" t="s">
        <v>345</v>
      </c>
      <c r="C247" s="504" t="s">
        <v>3353</v>
      </c>
      <c r="D247" s="42">
        <v>0</v>
      </c>
      <c r="E247" s="42">
        <v>14979.880000000001</v>
      </c>
      <c r="F247" s="42">
        <v>450803.35000000003</v>
      </c>
      <c r="G247" s="581">
        <f t="shared" si="16"/>
        <v>465783.23000000004</v>
      </c>
      <c r="H247" s="33">
        <v>0</v>
      </c>
      <c r="I247" s="33">
        <v>0</v>
      </c>
      <c r="J247" s="33">
        <v>0</v>
      </c>
      <c r="K247" s="33">
        <f t="shared" si="18"/>
        <v>0</v>
      </c>
      <c r="L247" s="33">
        <f t="shared" si="19"/>
        <v>14979.880000000001</v>
      </c>
      <c r="M247" s="33">
        <f t="shared" si="20"/>
        <v>450803.35000000003</v>
      </c>
      <c r="N247" s="235">
        <f t="shared" si="17"/>
        <v>0</v>
      </c>
      <c r="O247" s="35" t="s">
        <v>3327</v>
      </c>
      <c r="P247" s="35"/>
      <c r="Q247" s="39">
        <f>SUMIF('Antelope Bailey Split BA'!$B$7:$B$29,B247,'Antelope Bailey Split BA'!$C$7:$C$29)</f>
        <v>0</v>
      </c>
      <c r="R247" s="39" t="str">
        <f>IF(AND(Q247=1,'Plant Total by Account'!$J$1=2),"EKWRA","")</f>
        <v/>
      </c>
    </row>
    <row r="248" spans="1:18" x14ac:dyDescent="0.2">
      <c r="A248" s="31" t="s">
        <v>2809</v>
      </c>
      <c r="B248" s="36" t="s">
        <v>346</v>
      </c>
      <c r="C248" s="504" t="s">
        <v>3353</v>
      </c>
      <c r="D248" s="42">
        <v>0</v>
      </c>
      <c r="E248" s="42">
        <v>2755.73</v>
      </c>
      <c r="F248" s="42">
        <v>699220.49000000011</v>
      </c>
      <c r="G248" s="581">
        <f t="shared" si="16"/>
        <v>701976.22000000009</v>
      </c>
      <c r="H248" s="33">
        <v>0</v>
      </c>
      <c r="I248" s="33">
        <v>0</v>
      </c>
      <c r="J248" s="33">
        <v>0</v>
      </c>
      <c r="K248" s="33">
        <f t="shared" si="18"/>
        <v>0</v>
      </c>
      <c r="L248" s="33">
        <f t="shared" si="19"/>
        <v>2755.73</v>
      </c>
      <c r="M248" s="33">
        <f t="shared" si="20"/>
        <v>699220.49000000011</v>
      </c>
      <c r="N248" s="235">
        <f t="shared" si="17"/>
        <v>0</v>
      </c>
      <c r="O248" s="35" t="s">
        <v>3327</v>
      </c>
      <c r="P248" s="35"/>
      <c r="Q248" s="39">
        <f>SUMIF('Antelope Bailey Split BA'!$B$7:$B$29,B248,'Antelope Bailey Split BA'!$C$7:$C$29)</f>
        <v>0</v>
      </c>
      <c r="R248" s="39" t="str">
        <f>IF(AND(Q248=1,'Plant Total by Account'!$J$1=2),"EKWRA","")</f>
        <v/>
      </c>
    </row>
    <row r="249" spans="1:18" x14ac:dyDescent="0.2">
      <c r="A249" s="31" t="s">
        <v>2810</v>
      </c>
      <c r="B249" s="36" t="s">
        <v>347</v>
      </c>
      <c r="C249" s="504" t="s">
        <v>3353</v>
      </c>
      <c r="D249" s="42">
        <v>0</v>
      </c>
      <c r="E249" s="42">
        <v>39508.25</v>
      </c>
      <c r="F249" s="42">
        <v>455559.36999999994</v>
      </c>
      <c r="G249" s="581">
        <f t="shared" si="16"/>
        <v>495067.61999999994</v>
      </c>
      <c r="H249" s="33">
        <v>0</v>
      </c>
      <c r="I249" s="33">
        <v>0</v>
      </c>
      <c r="J249" s="33">
        <v>0</v>
      </c>
      <c r="K249" s="33">
        <f t="shared" si="18"/>
        <v>0</v>
      </c>
      <c r="L249" s="33">
        <f t="shared" si="19"/>
        <v>39508.25</v>
      </c>
      <c r="M249" s="33">
        <f t="shared" si="20"/>
        <v>455559.36999999994</v>
      </c>
      <c r="N249" s="235">
        <f t="shared" si="17"/>
        <v>0</v>
      </c>
      <c r="O249" s="35" t="s">
        <v>3327</v>
      </c>
      <c r="P249" s="35"/>
      <c r="Q249" s="39">
        <f>SUMIF('Antelope Bailey Split BA'!$B$7:$B$29,B249,'Antelope Bailey Split BA'!$C$7:$C$29)</f>
        <v>0</v>
      </c>
      <c r="R249" s="39" t="str">
        <f>IF(AND(Q249=1,'Plant Total by Account'!$J$1=2),"EKWRA","")</f>
        <v/>
      </c>
    </row>
    <row r="250" spans="1:18" x14ac:dyDescent="0.2">
      <c r="A250" s="31" t="s">
        <v>2811</v>
      </c>
      <c r="B250" s="36" t="s">
        <v>348</v>
      </c>
      <c r="C250" s="504" t="s">
        <v>3353</v>
      </c>
      <c r="D250" s="42">
        <v>0</v>
      </c>
      <c r="E250" s="42">
        <v>11463.86</v>
      </c>
      <c r="F250" s="42">
        <v>1007839.6800000003</v>
      </c>
      <c r="G250" s="581">
        <f t="shared" si="16"/>
        <v>1019303.5400000003</v>
      </c>
      <c r="H250" s="33">
        <v>0</v>
      </c>
      <c r="I250" s="33">
        <v>0</v>
      </c>
      <c r="J250" s="33">
        <v>0</v>
      </c>
      <c r="K250" s="33">
        <f t="shared" si="18"/>
        <v>0</v>
      </c>
      <c r="L250" s="33">
        <f t="shared" si="19"/>
        <v>11463.86</v>
      </c>
      <c r="M250" s="33">
        <f t="shared" si="20"/>
        <v>1007839.6800000003</v>
      </c>
      <c r="N250" s="235">
        <f t="shared" si="17"/>
        <v>0</v>
      </c>
      <c r="O250" s="35" t="s">
        <v>3327</v>
      </c>
      <c r="P250" s="35"/>
      <c r="Q250" s="39">
        <f>SUMIF('Antelope Bailey Split BA'!$B$7:$B$29,B250,'Antelope Bailey Split BA'!$C$7:$C$29)</f>
        <v>0</v>
      </c>
      <c r="R250" s="39" t="str">
        <f>IF(AND(Q250=1,'Plant Total by Account'!$J$1=2),"EKWRA","")</f>
        <v/>
      </c>
    </row>
    <row r="251" spans="1:18" x14ac:dyDescent="0.2">
      <c r="A251" s="31" t="s">
        <v>2812</v>
      </c>
      <c r="B251" s="36" t="s">
        <v>349</v>
      </c>
      <c r="C251" s="504" t="s">
        <v>3353</v>
      </c>
      <c r="D251" s="42">
        <v>0</v>
      </c>
      <c r="E251" s="42">
        <v>43270.93</v>
      </c>
      <c r="F251" s="42">
        <v>2038678.3699999999</v>
      </c>
      <c r="G251" s="581">
        <f t="shared" si="16"/>
        <v>2081949.2999999998</v>
      </c>
      <c r="H251" s="33">
        <v>0</v>
      </c>
      <c r="I251" s="33">
        <v>0</v>
      </c>
      <c r="J251" s="33">
        <v>0</v>
      </c>
      <c r="K251" s="33">
        <f t="shared" si="18"/>
        <v>0</v>
      </c>
      <c r="L251" s="33">
        <f t="shared" si="19"/>
        <v>43270.93</v>
      </c>
      <c r="M251" s="33">
        <f t="shared" si="20"/>
        <v>2038678.3699999999</v>
      </c>
      <c r="N251" s="235">
        <f t="shared" si="17"/>
        <v>0</v>
      </c>
      <c r="O251" s="35" t="s">
        <v>3327</v>
      </c>
      <c r="P251" s="35"/>
      <c r="Q251" s="39">
        <f>SUMIF('Antelope Bailey Split BA'!$B$7:$B$29,B251,'Antelope Bailey Split BA'!$C$7:$C$29)</f>
        <v>0</v>
      </c>
      <c r="R251" s="39" t="str">
        <f>IF(AND(Q251=1,'Plant Total by Account'!$J$1=2),"EKWRA","")</f>
        <v/>
      </c>
    </row>
    <row r="252" spans="1:18" x14ac:dyDescent="0.2">
      <c r="A252" s="31" t="s">
        <v>2813</v>
      </c>
      <c r="B252" s="36" t="s">
        <v>350</v>
      </c>
      <c r="C252" s="504" t="s">
        <v>3353</v>
      </c>
      <c r="D252" s="42">
        <v>0</v>
      </c>
      <c r="E252" s="42">
        <v>0</v>
      </c>
      <c r="F252" s="42">
        <v>57526.04</v>
      </c>
      <c r="G252" s="581">
        <f t="shared" si="16"/>
        <v>57526.04</v>
      </c>
      <c r="H252" s="33">
        <v>0</v>
      </c>
      <c r="I252" s="33">
        <v>0</v>
      </c>
      <c r="J252" s="33">
        <v>0</v>
      </c>
      <c r="K252" s="33">
        <f t="shared" si="18"/>
        <v>0</v>
      </c>
      <c r="L252" s="33">
        <f t="shared" si="19"/>
        <v>0</v>
      </c>
      <c r="M252" s="33">
        <f t="shared" si="20"/>
        <v>57526.04</v>
      </c>
      <c r="N252" s="235">
        <f t="shared" si="17"/>
        <v>0</v>
      </c>
      <c r="O252" s="35" t="s">
        <v>3327</v>
      </c>
      <c r="P252" s="35"/>
      <c r="Q252" s="39">
        <f>SUMIF('Antelope Bailey Split BA'!$B$7:$B$29,B252,'Antelope Bailey Split BA'!$C$7:$C$29)</f>
        <v>0</v>
      </c>
      <c r="R252" s="39" t="str">
        <f>IF(AND(Q252=1,'Plant Total by Account'!$J$1=2),"EKWRA","")</f>
        <v/>
      </c>
    </row>
    <row r="253" spans="1:18" x14ac:dyDescent="0.2">
      <c r="A253" s="31" t="s">
        <v>2814</v>
      </c>
      <c r="B253" s="36" t="s">
        <v>351</v>
      </c>
      <c r="C253" s="504" t="s">
        <v>3353</v>
      </c>
      <c r="D253" s="42">
        <v>0</v>
      </c>
      <c r="E253" s="42">
        <v>223137.50999999998</v>
      </c>
      <c r="F253" s="42">
        <v>5153240.6699999981</v>
      </c>
      <c r="G253" s="581">
        <f t="shared" si="16"/>
        <v>5376378.1799999978</v>
      </c>
      <c r="H253" s="33">
        <v>0</v>
      </c>
      <c r="I253" s="33">
        <v>0</v>
      </c>
      <c r="J253" s="33">
        <v>0</v>
      </c>
      <c r="K253" s="33">
        <f t="shared" si="18"/>
        <v>0</v>
      </c>
      <c r="L253" s="33">
        <f t="shared" si="19"/>
        <v>223137.50999999998</v>
      </c>
      <c r="M253" s="33">
        <f t="shared" si="20"/>
        <v>5153240.6699999981</v>
      </c>
      <c r="N253" s="235">
        <f t="shared" si="17"/>
        <v>0</v>
      </c>
      <c r="O253" s="35" t="s">
        <v>3327</v>
      </c>
      <c r="P253" s="35"/>
      <c r="Q253" s="39">
        <f>SUMIF('Antelope Bailey Split BA'!$B$7:$B$29,B253,'Antelope Bailey Split BA'!$C$7:$C$29)</f>
        <v>0</v>
      </c>
      <c r="R253" s="39" t="str">
        <f>IF(AND(Q253=1,'Plant Total by Account'!$J$1=2),"EKWRA","")</f>
        <v/>
      </c>
    </row>
    <row r="254" spans="1:18" x14ac:dyDescent="0.2">
      <c r="A254" s="31" t="s">
        <v>2815</v>
      </c>
      <c r="B254" s="36" t="s">
        <v>352</v>
      </c>
      <c r="C254" s="504" t="s">
        <v>3353</v>
      </c>
      <c r="D254" s="42">
        <v>0</v>
      </c>
      <c r="E254" s="42">
        <v>22124.05</v>
      </c>
      <c r="F254" s="42">
        <v>956248.81</v>
      </c>
      <c r="G254" s="581">
        <f t="shared" si="16"/>
        <v>978372.8600000001</v>
      </c>
      <c r="H254" s="33">
        <v>0</v>
      </c>
      <c r="I254" s="33">
        <v>0</v>
      </c>
      <c r="J254" s="33">
        <v>0</v>
      </c>
      <c r="K254" s="33">
        <f t="shared" si="18"/>
        <v>0</v>
      </c>
      <c r="L254" s="33">
        <f t="shared" si="19"/>
        <v>22124.05</v>
      </c>
      <c r="M254" s="33">
        <f t="shared" si="20"/>
        <v>956248.81</v>
      </c>
      <c r="N254" s="235">
        <f t="shared" si="17"/>
        <v>0</v>
      </c>
      <c r="O254" s="35" t="s">
        <v>3327</v>
      </c>
      <c r="P254" s="35"/>
      <c r="Q254" s="39">
        <f>SUMIF('Antelope Bailey Split BA'!$B$7:$B$29,B254,'Antelope Bailey Split BA'!$C$7:$C$29)</f>
        <v>0</v>
      </c>
      <c r="R254" s="39" t="str">
        <f>IF(AND(Q254=1,'Plant Total by Account'!$J$1=2),"EKWRA","")</f>
        <v/>
      </c>
    </row>
    <row r="255" spans="1:18" x14ac:dyDescent="0.2">
      <c r="A255" s="31" t="s">
        <v>2816</v>
      </c>
      <c r="B255" s="36" t="s">
        <v>1468</v>
      </c>
      <c r="C255" s="504" t="s">
        <v>3353</v>
      </c>
      <c r="D255" s="42">
        <v>0</v>
      </c>
      <c r="E255" s="42">
        <v>377.66</v>
      </c>
      <c r="F255" s="42">
        <v>174397.36999999994</v>
      </c>
      <c r="G255" s="581">
        <f t="shared" si="16"/>
        <v>174775.02999999994</v>
      </c>
      <c r="H255" s="33">
        <v>0</v>
      </c>
      <c r="I255" s="33">
        <v>0</v>
      </c>
      <c r="J255" s="33">
        <v>0</v>
      </c>
      <c r="K255" s="33">
        <f t="shared" si="18"/>
        <v>0</v>
      </c>
      <c r="L255" s="33">
        <f t="shared" si="19"/>
        <v>377.66</v>
      </c>
      <c r="M255" s="33">
        <f t="shared" si="20"/>
        <v>174397.36999999994</v>
      </c>
      <c r="N255" s="235">
        <f t="shared" si="17"/>
        <v>0</v>
      </c>
      <c r="O255" s="35" t="s">
        <v>3327</v>
      </c>
      <c r="P255" s="35"/>
      <c r="Q255" s="39">
        <f>SUMIF('Antelope Bailey Split BA'!$B$7:$B$29,B255,'Antelope Bailey Split BA'!$C$7:$C$29)</f>
        <v>0</v>
      </c>
      <c r="R255" s="39" t="str">
        <f>IF(AND(Q255=1,'Plant Total by Account'!$J$1=2),"EKWRA","")</f>
        <v/>
      </c>
    </row>
    <row r="256" spans="1:18" x14ac:dyDescent="0.2">
      <c r="A256" s="31" t="s">
        <v>3307</v>
      </c>
      <c r="B256" s="36">
        <v>5300</v>
      </c>
      <c r="C256" s="504" t="s">
        <v>3308</v>
      </c>
      <c r="D256" s="33">
        <v>0</v>
      </c>
      <c r="E256" s="33">
        <v>0</v>
      </c>
      <c r="F256" s="33">
        <v>598866.81000000006</v>
      </c>
      <c r="G256" s="581">
        <f t="shared" si="16"/>
        <v>598866.81000000006</v>
      </c>
      <c r="H256" s="33">
        <v>0</v>
      </c>
      <c r="I256" s="33">
        <v>0</v>
      </c>
      <c r="J256" s="33">
        <v>0</v>
      </c>
      <c r="K256" s="129">
        <f t="shared" si="18"/>
        <v>0</v>
      </c>
      <c r="L256" s="129">
        <f t="shared" si="19"/>
        <v>0</v>
      </c>
      <c r="M256" s="129">
        <f t="shared" si="20"/>
        <v>598866.81000000006</v>
      </c>
      <c r="N256" s="235">
        <f t="shared" si="17"/>
        <v>0</v>
      </c>
      <c r="O256" s="35" t="s">
        <v>3327</v>
      </c>
      <c r="P256" s="35"/>
      <c r="Q256" s="39">
        <f>SUMIF('Antelope Bailey Split BA'!$B$7:$B$29,B256,'Antelope Bailey Split BA'!$C$7:$C$29)</f>
        <v>0</v>
      </c>
      <c r="R256" s="39" t="str">
        <f>IF(AND(Q256=1,'Plant Total by Account'!$J$1=2),"EKWRA","")</f>
        <v/>
      </c>
    </row>
    <row r="257" spans="1:18" x14ac:dyDescent="0.2">
      <c r="A257" s="31" t="s">
        <v>2817</v>
      </c>
      <c r="B257" s="32" t="s">
        <v>353</v>
      </c>
      <c r="C257" s="504" t="s">
        <v>3352</v>
      </c>
      <c r="D257" s="42">
        <v>0</v>
      </c>
      <c r="E257" s="42">
        <v>701347.69000000006</v>
      </c>
      <c r="F257" s="42">
        <v>2763503.52</v>
      </c>
      <c r="G257" s="581">
        <f t="shared" si="16"/>
        <v>3464851.21</v>
      </c>
      <c r="H257" s="33">
        <v>0</v>
      </c>
      <c r="I257" s="33">
        <v>0</v>
      </c>
      <c r="J257" s="33">
        <v>0</v>
      </c>
      <c r="K257" s="33">
        <f t="shared" si="18"/>
        <v>0</v>
      </c>
      <c r="L257" s="33">
        <f t="shared" si="19"/>
        <v>701347.69000000006</v>
      </c>
      <c r="M257" s="33">
        <f t="shared" si="20"/>
        <v>2763503.52</v>
      </c>
      <c r="N257" s="235">
        <f t="shared" si="17"/>
        <v>0</v>
      </c>
      <c r="O257" s="35" t="s">
        <v>3327</v>
      </c>
      <c r="P257" s="35"/>
      <c r="Q257" s="39">
        <f>SUMIF('Antelope Bailey Split BA'!$B$7:$B$29,B257,'Antelope Bailey Split BA'!$C$7:$C$29)</f>
        <v>0</v>
      </c>
      <c r="R257" s="39" t="str">
        <f>IF(AND(Q257=1,'Plant Total by Account'!$J$1=2),"EKWRA","")</f>
        <v/>
      </c>
    </row>
    <row r="258" spans="1:18" x14ac:dyDescent="0.2">
      <c r="A258" s="31" t="s">
        <v>2818</v>
      </c>
      <c r="B258" s="36" t="s">
        <v>354</v>
      </c>
      <c r="C258" s="504" t="s">
        <v>3350</v>
      </c>
      <c r="D258" s="42">
        <v>0</v>
      </c>
      <c r="E258" s="42">
        <v>6754.47</v>
      </c>
      <c r="F258" s="42">
        <v>82537.84</v>
      </c>
      <c r="G258" s="581">
        <f t="shared" si="16"/>
        <v>89292.31</v>
      </c>
      <c r="H258" s="33">
        <v>0</v>
      </c>
      <c r="I258" s="33">
        <v>0</v>
      </c>
      <c r="J258" s="33">
        <v>0</v>
      </c>
      <c r="K258" s="33">
        <f t="shared" si="18"/>
        <v>0</v>
      </c>
      <c r="L258" s="33">
        <f t="shared" si="19"/>
        <v>6754.47</v>
      </c>
      <c r="M258" s="33">
        <f t="shared" si="20"/>
        <v>82537.84</v>
      </c>
      <c r="N258" s="235">
        <f t="shared" si="17"/>
        <v>0</v>
      </c>
      <c r="O258" s="35" t="s">
        <v>3327</v>
      </c>
      <c r="P258" s="35"/>
      <c r="Q258" s="39">
        <f>SUMIF('Antelope Bailey Split BA'!$B$7:$B$29,B258,'Antelope Bailey Split BA'!$C$7:$C$29)</f>
        <v>0</v>
      </c>
      <c r="R258" s="39" t="str">
        <f>IF(AND(Q258=1,'Plant Total by Account'!$J$1=2),"EKWRA","")</f>
        <v/>
      </c>
    </row>
    <row r="259" spans="1:18" x14ac:dyDescent="0.2">
      <c r="A259" s="31" t="s">
        <v>2819</v>
      </c>
      <c r="B259" s="36" t="s">
        <v>355</v>
      </c>
      <c r="C259" s="504" t="s">
        <v>3353</v>
      </c>
      <c r="D259" s="42">
        <v>532.66000000000008</v>
      </c>
      <c r="E259" s="42">
        <v>418072.34000000008</v>
      </c>
      <c r="F259" s="42">
        <v>10966560.159999996</v>
      </c>
      <c r="G259" s="581">
        <f t="shared" si="16"/>
        <v>11385165.159999996</v>
      </c>
      <c r="H259" s="33">
        <v>0</v>
      </c>
      <c r="I259" s="33">
        <v>0</v>
      </c>
      <c r="J259" s="33">
        <v>0</v>
      </c>
      <c r="K259" s="33">
        <f t="shared" si="18"/>
        <v>532.66000000000008</v>
      </c>
      <c r="L259" s="33">
        <f t="shared" si="19"/>
        <v>418072.34000000008</v>
      </c>
      <c r="M259" s="33">
        <f t="shared" si="20"/>
        <v>10966560.159999996</v>
      </c>
      <c r="N259" s="235">
        <f t="shared" si="17"/>
        <v>0</v>
      </c>
      <c r="O259" s="35" t="s">
        <v>3327</v>
      </c>
      <c r="P259" s="35"/>
      <c r="Q259" s="39">
        <f>SUMIF('Antelope Bailey Split BA'!$B$7:$B$29,B259,'Antelope Bailey Split BA'!$C$7:$C$29)</f>
        <v>0</v>
      </c>
      <c r="R259" s="39" t="str">
        <f>IF(AND(Q259=1,'Plant Total by Account'!$J$1=2),"EKWRA","")</f>
        <v/>
      </c>
    </row>
    <row r="260" spans="1:18" x14ac:dyDescent="0.2">
      <c r="A260" s="31" t="s">
        <v>2820</v>
      </c>
      <c r="B260" s="36" t="s">
        <v>356</v>
      </c>
      <c r="C260" s="504" t="s">
        <v>3353</v>
      </c>
      <c r="D260" s="42">
        <v>1931.43</v>
      </c>
      <c r="E260" s="42">
        <v>14487.849999999999</v>
      </c>
      <c r="F260" s="42">
        <v>597003.01999999979</v>
      </c>
      <c r="G260" s="581">
        <f t="shared" si="16"/>
        <v>613422.29999999981</v>
      </c>
      <c r="H260" s="33">
        <v>0</v>
      </c>
      <c r="I260" s="33">
        <v>0</v>
      </c>
      <c r="J260" s="33">
        <v>0</v>
      </c>
      <c r="K260" s="33">
        <f t="shared" si="18"/>
        <v>1931.43</v>
      </c>
      <c r="L260" s="33">
        <f t="shared" si="19"/>
        <v>14487.849999999999</v>
      </c>
      <c r="M260" s="33">
        <f t="shared" si="20"/>
        <v>597003.01999999979</v>
      </c>
      <c r="N260" s="235">
        <f t="shared" si="17"/>
        <v>0</v>
      </c>
      <c r="O260" s="35" t="s">
        <v>3327</v>
      </c>
      <c r="P260" s="35"/>
      <c r="Q260" s="39">
        <f>SUMIF('Antelope Bailey Split BA'!$B$7:$B$29,B260,'Antelope Bailey Split BA'!$C$7:$C$29)</f>
        <v>0</v>
      </c>
      <c r="R260" s="39" t="str">
        <f>IF(AND(Q260=1,'Plant Total by Account'!$J$1=2),"EKWRA","")</f>
        <v/>
      </c>
    </row>
    <row r="261" spans="1:18" x14ac:dyDescent="0.2">
      <c r="A261" s="31" t="s">
        <v>2821</v>
      </c>
      <c r="B261" s="36" t="s">
        <v>357</v>
      </c>
      <c r="C261" s="504" t="s">
        <v>3353</v>
      </c>
      <c r="D261" s="42">
        <v>646.51</v>
      </c>
      <c r="E261" s="42">
        <v>33491.810000000005</v>
      </c>
      <c r="F261" s="42">
        <v>5139318.0800000019</v>
      </c>
      <c r="G261" s="581">
        <f t="shared" si="16"/>
        <v>5173456.4000000022</v>
      </c>
      <c r="H261" s="33">
        <v>0</v>
      </c>
      <c r="I261" s="33">
        <v>0</v>
      </c>
      <c r="J261" s="33">
        <v>0</v>
      </c>
      <c r="K261" s="33">
        <f t="shared" si="18"/>
        <v>646.51</v>
      </c>
      <c r="L261" s="33">
        <f t="shared" si="19"/>
        <v>33491.810000000005</v>
      </c>
      <c r="M261" s="33">
        <f t="shared" si="20"/>
        <v>5139318.0800000019</v>
      </c>
      <c r="N261" s="235">
        <f t="shared" si="17"/>
        <v>0</v>
      </c>
      <c r="O261" s="35" t="s">
        <v>3327</v>
      </c>
      <c r="P261" s="35"/>
      <c r="Q261" s="39">
        <f>SUMIF('Antelope Bailey Split BA'!$B$7:$B$29,B261,'Antelope Bailey Split BA'!$C$7:$C$29)</f>
        <v>0</v>
      </c>
      <c r="R261" s="39" t="str">
        <f>IF(AND(Q261=1,'Plant Total by Account'!$J$1=2),"EKWRA","")</f>
        <v/>
      </c>
    </row>
    <row r="262" spans="1:18" x14ac:dyDescent="0.2">
      <c r="A262" s="31" t="s">
        <v>2822</v>
      </c>
      <c r="B262" s="36" t="s">
        <v>358</v>
      </c>
      <c r="C262" s="504" t="s">
        <v>3353</v>
      </c>
      <c r="D262" s="42">
        <v>17.46</v>
      </c>
      <c r="E262" s="42">
        <v>260586.98000000004</v>
      </c>
      <c r="F262" s="42">
        <v>4054094.5999999996</v>
      </c>
      <c r="G262" s="581">
        <f t="shared" si="16"/>
        <v>4314699.04</v>
      </c>
      <c r="H262" s="33">
        <v>0</v>
      </c>
      <c r="I262" s="33">
        <v>0</v>
      </c>
      <c r="J262" s="33">
        <v>0</v>
      </c>
      <c r="K262" s="33">
        <f t="shared" si="18"/>
        <v>17.46</v>
      </c>
      <c r="L262" s="33">
        <f t="shared" si="19"/>
        <v>260586.98000000004</v>
      </c>
      <c r="M262" s="33">
        <f t="shared" si="20"/>
        <v>4054094.5999999996</v>
      </c>
      <c r="N262" s="235">
        <f t="shared" si="17"/>
        <v>0</v>
      </c>
      <c r="O262" s="35" t="s">
        <v>3327</v>
      </c>
      <c r="P262" s="35"/>
      <c r="Q262" s="39">
        <f>SUMIF('Antelope Bailey Split BA'!$B$7:$B$29,B262,'Antelope Bailey Split BA'!$C$7:$C$29)</f>
        <v>0</v>
      </c>
      <c r="R262" s="39" t="str">
        <f>IF(AND(Q262=1,'Plant Total by Account'!$J$1=2),"EKWRA","")</f>
        <v/>
      </c>
    </row>
    <row r="263" spans="1:18" x14ac:dyDescent="0.2">
      <c r="A263" s="31" t="s">
        <v>2823</v>
      </c>
      <c r="B263" s="36" t="s">
        <v>359</v>
      </c>
      <c r="C263" s="504" t="s">
        <v>3352</v>
      </c>
      <c r="D263" s="42">
        <v>2428.4499999999998</v>
      </c>
      <c r="E263" s="42">
        <v>19685.060000000001</v>
      </c>
      <c r="F263" s="42">
        <v>163830.12000000002</v>
      </c>
      <c r="G263" s="581">
        <f t="shared" si="16"/>
        <v>185943.63000000003</v>
      </c>
      <c r="H263" s="33">
        <v>0</v>
      </c>
      <c r="I263" s="33">
        <v>0</v>
      </c>
      <c r="J263" s="33">
        <v>0</v>
      </c>
      <c r="K263" s="33">
        <f t="shared" si="18"/>
        <v>2428.4499999999998</v>
      </c>
      <c r="L263" s="33">
        <f t="shared" si="19"/>
        <v>19685.060000000001</v>
      </c>
      <c r="M263" s="33">
        <f t="shared" si="20"/>
        <v>163830.12000000002</v>
      </c>
      <c r="N263" s="235">
        <f t="shared" si="17"/>
        <v>0</v>
      </c>
      <c r="O263" s="35" t="s">
        <v>3327</v>
      </c>
      <c r="P263" s="35"/>
      <c r="Q263" s="39">
        <f>SUMIF('Antelope Bailey Split BA'!$B$7:$B$29,B263,'Antelope Bailey Split BA'!$C$7:$C$29)</f>
        <v>0</v>
      </c>
      <c r="R263" s="39" t="str">
        <f>IF(AND(Q263=1,'Plant Total by Account'!$J$1=2),"EKWRA","")</f>
        <v/>
      </c>
    </row>
    <row r="264" spans="1:18" x14ac:dyDescent="0.2">
      <c r="A264" s="31" t="s">
        <v>2824</v>
      </c>
      <c r="B264" s="36" t="s">
        <v>360</v>
      </c>
      <c r="C264" s="504" t="s">
        <v>3353</v>
      </c>
      <c r="D264" s="42">
        <v>0</v>
      </c>
      <c r="E264" s="42">
        <v>36583.22</v>
      </c>
      <c r="F264" s="42">
        <v>740349.55999999994</v>
      </c>
      <c r="G264" s="581">
        <f t="shared" si="16"/>
        <v>776932.77999999991</v>
      </c>
      <c r="H264" s="33">
        <v>0</v>
      </c>
      <c r="I264" s="33">
        <v>0</v>
      </c>
      <c r="J264" s="33">
        <v>0</v>
      </c>
      <c r="K264" s="33">
        <f t="shared" si="18"/>
        <v>0</v>
      </c>
      <c r="L264" s="33">
        <f t="shared" si="19"/>
        <v>36583.22</v>
      </c>
      <c r="M264" s="33">
        <f t="shared" si="20"/>
        <v>740349.55999999994</v>
      </c>
      <c r="N264" s="235">
        <f t="shared" si="17"/>
        <v>0</v>
      </c>
      <c r="O264" s="35" t="s">
        <v>3327</v>
      </c>
      <c r="P264" s="35"/>
      <c r="Q264" s="39">
        <f>SUMIF('Antelope Bailey Split BA'!$B$7:$B$29,B264,'Antelope Bailey Split BA'!$C$7:$C$29)</f>
        <v>0</v>
      </c>
      <c r="R264" s="39" t="str">
        <f>IF(AND(Q264=1,'Plant Total by Account'!$J$1=2),"EKWRA","")</f>
        <v/>
      </c>
    </row>
    <row r="265" spans="1:18" x14ac:dyDescent="0.2">
      <c r="A265" s="31" t="s">
        <v>2825</v>
      </c>
      <c r="B265" s="36" t="s">
        <v>361</v>
      </c>
      <c r="C265" s="504" t="s">
        <v>3353</v>
      </c>
      <c r="D265" s="42">
        <v>1398.21</v>
      </c>
      <c r="E265" s="42">
        <v>52091.700000000004</v>
      </c>
      <c r="F265" s="42">
        <v>3045688.0599999987</v>
      </c>
      <c r="G265" s="581">
        <f t="shared" si="16"/>
        <v>3099177.9699999988</v>
      </c>
      <c r="H265" s="33">
        <v>0</v>
      </c>
      <c r="I265" s="33">
        <v>0</v>
      </c>
      <c r="J265" s="33">
        <v>0</v>
      </c>
      <c r="K265" s="33">
        <f t="shared" si="18"/>
        <v>1398.21</v>
      </c>
      <c r="L265" s="33">
        <f t="shared" si="19"/>
        <v>52091.700000000004</v>
      </c>
      <c r="M265" s="33">
        <f t="shared" si="20"/>
        <v>3045688.0599999987</v>
      </c>
      <c r="N265" s="235">
        <f t="shared" si="17"/>
        <v>0</v>
      </c>
      <c r="O265" s="35" t="s">
        <v>3327</v>
      </c>
      <c r="P265" s="35"/>
      <c r="Q265" s="39">
        <f>SUMIF('Antelope Bailey Split BA'!$B$7:$B$29,B265,'Antelope Bailey Split BA'!$C$7:$C$29)</f>
        <v>0</v>
      </c>
      <c r="R265" s="39" t="str">
        <f>IF(AND(Q265=1,'Plant Total by Account'!$J$1=2),"EKWRA","")</f>
        <v/>
      </c>
    </row>
    <row r="266" spans="1:18" x14ac:dyDescent="0.2">
      <c r="A266" s="31" t="s">
        <v>2826</v>
      </c>
      <c r="B266" s="36" t="s">
        <v>362</v>
      </c>
      <c r="C266" s="504" t="s">
        <v>3353</v>
      </c>
      <c r="D266" s="42">
        <v>45306.58</v>
      </c>
      <c r="E266" s="42">
        <v>578216.12</v>
      </c>
      <c r="F266" s="42">
        <v>13324884.270000009</v>
      </c>
      <c r="G266" s="581">
        <f t="shared" si="16"/>
        <v>13948406.970000008</v>
      </c>
      <c r="H266" s="33">
        <v>0</v>
      </c>
      <c r="I266" s="33">
        <v>0</v>
      </c>
      <c r="J266" s="33">
        <v>0</v>
      </c>
      <c r="K266" s="33">
        <f t="shared" si="18"/>
        <v>45306.58</v>
      </c>
      <c r="L266" s="33">
        <f t="shared" si="19"/>
        <v>578216.12</v>
      </c>
      <c r="M266" s="33">
        <f t="shared" si="20"/>
        <v>13324884.270000009</v>
      </c>
      <c r="N266" s="235">
        <f t="shared" si="17"/>
        <v>0</v>
      </c>
      <c r="O266" s="35" t="s">
        <v>3327</v>
      </c>
      <c r="P266" s="35"/>
      <c r="Q266" s="39">
        <f>SUMIF('Antelope Bailey Split BA'!$B$7:$B$29,B266,'Antelope Bailey Split BA'!$C$7:$C$29)</f>
        <v>0</v>
      </c>
      <c r="R266" s="39" t="str">
        <f>IF(AND(Q266=1,'Plant Total by Account'!$J$1=2),"EKWRA","")</f>
        <v/>
      </c>
    </row>
    <row r="267" spans="1:18" x14ac:dyDescent="0.2">
      <c r="A267" s="31" t="s">
        <v>2827</v>
      </c>
      <c r="B267" s="36" t="s">
        <v>363</v>
      </c>
      <c r="C267" s="504" t="s">
        <v>3353</v>
      </c>
      <c r="D267" s="42">
        <v>9406.380000000001</v>
      </c>
      <c r="E267" s="42">
        <v>14611.330000000002</v>
      </c>
      <c r="F267" s="42">
        <v>114183.08</v>
      </c>
      <c r="G267" s="581">
        <f t="shared" si="16"/>
        <v>138200.79</v>
      </c>
      <c r="H267" s="33">
        <v>0</v>
      </c>
      <c r="I267" s="33">
        <v>0</v>
      </c>
      <c r="J267" s="33">
        <v>0</v>
      </c>
      <c r="K267" s="33">
        <f t="shared" si="18"/>
        <v>9406.380000000001</v>
      </c>
      <c r="L267" s="33">
        <f t="shared" si="19"/>
        <v>14611.330000000002</v>
      </c>
      <c r="M267" s="33">
        <f t="shared" si="20"/>
        <v>114183.08</v>
      </c>
      <c r="N267" s="235">
        <f t="shared" si="17"/>
        <v>0</v>
      </c>
      <c r="O267" s="35" t="s">
        <v>3327</v>
      </c>
      <c r="P267" s="35"/>
      <c r="Q267" s="39">
        <f>SUMIF('Antelope Bailey Split BA'!$B$7:$B$29,B267,'Antelope Bailey Split BA'!$C$7:$C$29)</f>
        <v>0</v>
      </c>
      <c r="R267" s="39" t="str">
        <f>IF(AND(Q267=1,'Plant Total by Account'!$J$1=2),"EKWRA","")</f>
        <v/>
      </c>
    </row>
    <row r="268" spans="1:18" x14ac:dyDescent="0.2">
      <c r="A268" s="31" t="s">
        <v>2828</v>
      </c>
      <c r="B268" s="36" t="s">
        <v>364</v>
      </c>
      <c r="C268" s="504" t="s">
        <v>3353</v>
      </c>
      <c r="D268" s="42">
        <v>8311.15</v>
      </c>
      <c r="E268" s="42">
        <v>381950.49</v>
      </c>
      <c r="F268" s="42">
        <v>8542549.7900000028</v>
      </c>
      <c r="G268" s="581">
        <f t="shared" ref="G268:G331" si="21">SUM(D268:F268)</f>
        <v>8932811.4300000034</v>
      </c>
      <c r="H268" s="33">
        <v>0</v>
      </c>
      <c r="I268" s="33">
        <v>0</v>
      </c>
      <c r="J268" s="33">
        <v>0</v>
      </c>
      <c r="K268" s="33">
        <f t="shared" si="18"/>
        <v>8311.15</v>
      </c>
      <c r="L268" s="33">
        <f t="shared" si="19"/>
        <v>381950.49</v>
      </c>
      <c r="M268" s="33">
        <f t="shared" si="20"/>
        <v>8542549.7900000028</v>
      </c>
      <c r="N268" s="235">
        <f t="shared" ref="N268:N331" si="22">G268-SUM(H268:M268)</f>
        <v>0</v>
      </c>
      <c r="O268" s="35" t="s">
        <v>3327</v>
      </c>
      <c r="P268" s="35"/>
      <c r="Q268" s="39">
        <f>SUMIF('Antelope Bailey Split BA'!$B$7:$B$29,B268,'Antelope Bailey Split BA'!$C$7:$C$29)</f>
        <v>0</v>
      </c>
      <c r="R268" s="39" t="str">
        <f>IF(AND(Q268=1,'Plant Total by Account'!$J$1=2),"EKWRA","")</f>
        <v/>
      </c>
    </row>
    <row r="269" spans="1:18" x14ac:dyDescent="0.2">
      <c r="A269" s="31" t="s">
        <v>2829</v>
      </c>
      <c r="B269" s="36" t="s">
        <v>365</v>
      </c>
      <c r="C269" s="504" t="s">
        <v>3353</v>
      </c>
      <c r="D269" s="42">
        <v>0</v>
      </c>
      <c r="E269" s="42">
        <v>5323.6500000000005</v>
      </c>
      <c r="F269" s="42">
        <v>274662.44</v>
      </c>
      <c r="G269" s="581">
        <f t="shared" si="21"/>
        <v>279986.09000000003</v>
      </c>
      <c r="H269" s="33">
        <v>0</v>
      </c>
      <c r="I269" s="33">
        <v>0</v>
      </c>
      <c r="J269" s="33">
        <v>0</v>
      </c>
      <c r="K269" s="33">
        <f t="shared" si="18"/>
        <v>0</v>
      </c>
      <c r="L269" s="33">
        <f t="shared" si="19"/>
        <v>5323.6500000000005</v>
      </c>
      <c r="M269" s="33">
        <f t="shared" si="20"/>
        <v>274662.44</v>
      </c>
      <c r="N269" s="235">
        <f t="shared" si="22"/>
        <v>0</v>
      </c>
      <c r="O269" s="35" t="s">
        <v>3327</v>
      </c>
      <c r="P269" s="35"/>
      <c r="Q269" s="39">
        <f>SUMIF('Antelope Bailey Split BA'!$B$7:$B$29,B269,'Antelope Bailey Split BA'!$C$7:$C$29)</f>
        <v>0</v>
      </c>
      <c r="R269" s="39" t="str">
        <f>IF(AND(Q269=1,'Plant Total by Account'!$J$1=2),"EKWRA","")</f>
        <v/>
      </c>
    </row>
    <row r="270" spans="1:18" x14ac:dyDescent="0.2">
      <c r="A270" s="31" t="s">
        <v>2830</v>
      </c>
      <c r="B270" s="36" t="s">
        <v>366</v>
      </c>
      <c r="C270" s="504" t="s">
        <v>3353</v>
      </c>
      <c r="D270" s="42">
        <v>601.43000000000006</v>
      </c>
      <c r="E270" s="42">
        <v>9326.11</v>
      </c>
      <c r="F270" s="42">
        <v>1428146.4999999998</v>
      </c>
      <c r="G270" s="581">
        <f t="shared" si="21"/>
        <v>1438074.0399999998</v>
      </c>
      <c r="H270" s="33">
        <v>0</v>
      </c>
      <c r="I270" s="33">
        <v>0</v>
      </c>
      <c r="J270" s="33">
        <v>0</v>
      </c>
      <c r="K270" s="33">
        <f t="shared" si="18"/>
        <v>601.43000000000006</v>
      </c>
      <c r="L270" s="33">
        <f t="shared" si="19"/>
        <v>9326.11</v>
      </c>
      <c r="M270" s="33">
        <f t="shared" si="20"/>
        <v>1428146.4999999998</v>
      </c>
      <c r="N270" s="235">
        <f t="shared" si="22"/>
        <v>0</v>
      </c>
      <c r="O270" s="35" t="s">
        <v>3327</v>
      </c>
      <c r="P270" s="35"/>
      <c r="Q270" s="39">
        <f>SUMIF('Antelope Bailey Split BA'!$B$7:$B$29,B270,'Antelope Bailey Split BA'!$C$7:$C$29)</f>
        <v>0</v>
      </c>
      <c r="R270" s="39" t="str">
        <f>IF(AND(Q270=1,'Plant Total by Account'!$J$1=2),"EKWRA","")</f>
        <v/>
      </c>
    </row>
    <row r="271" spans="1:18" x14ac:dyDescent="0.2">
      <c r="A271" s="31" t="s">
        <v>2831</v>
      </c>
      <c r="B271" s="36" t="s">
        <v>367</v>
      </c>
      <c r="C271" s="504" t="s">
        <v>3353</v>
      </c>
      <c r="D271" s="42">
        <v>2554.34</v>
      </c>
      <c r="E271" s="42">
        <v>7357.9</v>
      </c>
      <c r="F271" s="42">
        <v>333257.92</v>
      </c>
      <c r="G271" s="581">
        <f t="shared" si="21"/>
        <v>343170.16</v>
      </c>
      <c r="H271" s="33">
        <v>0</v>
      </c>
      <c r="I271" s="33">
        <v>0</v>
      </c>
      <c r="J271" s="33">
        <v>0</v>
      </c>
      <c r="K271" s="33">
        <f t="shared" si="18"/>
        <v>2554.34</v>
      </c>
      <c r="L271" s="33">
        <f t="shared" si="19"/>
        <v>7357.9</v>
      </c>
      <c r="M271" s="33">
        <f t="shared" si="20"/>
        <v>333257.92</v>
      </c>
      <c r="N271" s="235">
        <f t="shared" si="22"/>
        <v>0</v>
      </c>
      <c r="O271" s="35" t="s">
        <v>3327</v>
      </c>
      <c r="P271" s="35"/>
      <c r="Q271" s="39">
        <f>SUMIF('Antelope Bailey Split BA'!$B$7:$B$29,B271,'Antelope Bailey Split BA'!$C$7:$C$29)</f>
        <v>0</v>
      </c>
      <c r="R271" s="39" t="str">
        <f>IF(AND(Q271=1,'Plant Total by Account'!$J$1=2),"EKWRA","")</f>
        <v/>
      </c>
    </row>
    <row r="272" spans="1:18" x14ac:dyDescent="0.2">
      <c r="A272" s="31" t="s">
        <v>2832</v>
      </c>
      <c r="B272" s="36" t="s">
        <v>368</v>
      </c>
      <c r="C272" s="504" t="s">
        <v>3353</v>
      </c>
      <c r="D272" s="42">
        <v>4388.67</v>
      </c>
      <c r="E272" s="42">
        <v>179742.66</v>
      </c>
      <c r="F272" s="42">
        <v>3727604.61</v>
      </c>
      <c r="G272" s="581">
        <f t="shared" si="21"/>
        <v>3911735.94</v>
      </c>
      <c r="H272" s="33">
        <v>0</v>
      </c>
      <c r="I272" s="33">
        <v>0</v>
      </c>
      <c r="J272" s="33">
        <v>0</v>
      </c>
      <c r="K272" s="33">
        <f t="shared" ref="K272:K335" si="23">D272</f>
        <v>4388.67</v>
      </c>
      <c r="L272" s="33">
        <f t="shared" ref="L272:L335" si="24">E272</f>
        <v>179742.66</v>
      </c>
      <c r="M272" s="33">
        <f t="shared" ref="M272:M335" si="25">F272</f>
        <v>3727604.61</v>
      </c>
      <c r="N272" s="235">
        <f t="shared" si="22"/>
        <v>0</v>
      </c>
      <c r="O272" s="35" t="s">
        <v>3327</v>
      </c>
      <c r="P272" s="35"/>
      <c r="Q272" s="39">
        <f>SUMIF('Antelope Bailey Split BA'!$B$7:$B$29,B272,'Antelope Bailey Split BA'!$C$7:$C$29)</f>
        <v>0</v>
      </c>
      <c r="R272" s="39" t="str">
        <f>IF(AND(Q272=1,'Plant Total by Account'!$J$1=2),"EKWRA","")</f>
        <v/>
      </c>
    </row>
    <row r="273" spans="1:18" x14ac:dyDescent="0.2">
      <c r="A273" s="31" t="s">
        <v>2833</v>
      </c>
      <c r="B273" s="36" t="s">
        <v>369</v>
      </c>
      <c r="C273" s="504" t="s">
        <v>3353</v>
      </c>
      <c r="D273" s="42">
        <v>0</v>
      </c>
      <c r="E273" s="42">
        <v>6319.26</v>
      </c>
      <c r="F273" s="42">
        <v>850693.30999999994</v>
      </c>
      <c r="G273" s="581">
        <f t="shared" si="21"/>
        <v>857012.57</v>
      </c>
      <c r="H273" s="33">
        <v>0</v>
      </c>
      <c r="I273" s="33">
        <v>0</v>
      </c>
      <c r="J273" s="33">
        <v>0</v>
      </c>
      <c r="K273" s="33">
        <f t="shared" si="23"/>
        <v>0</v>
      </c>
      <c r="L273" s="33">
        <f t="shared" si="24"/>
        <v>6319.26</v>
      </c>
      <c r="M273" s="33">
        <f t="shared" si="25"/>
        <v>850693.30999999994</v>
      </c>
      <c r="N273" s="235">
        <f t="shared" si="22"/>
        <v>0</v>
      </c>
      <c r="O273" s="35" t="s">
        <v>3327</v>
      </c>
      <c r="P273" s="35"/>
      <c r="Q273" s="39">
        <f>SUMIF('Antelope Bailey Split BA'!$B$7:$B$29,B273,'Antelope Bailey Split BA'!$C$7:$C$29)</f>
        <v>0</v>
      </c>
      <c r="R273" s="39" t="str">
        <f>IF(AND(Q273=1,'Plant Total by Account'!$J$1=2),"EKWRA","")</f>
        <v/>
      </c>
    </row>
    <row r="274" spans="1:18" x14ac:dyDescent="0.2">
      <c r="A274" s="31" t="s">
        <v>2834</v>
      </c>
      <c r="B274" s="36" t="s">
        <v>370</v>
      </c>
      <c r="C274" s="504" t="s">
        <v>3353</v>
      </c>
      <c r="D274" s="42">
        <v>2251.48</v>
      </c>
      <c r="E274" s="42">
        <v>15885.64</v>
      </c>
      <c r="F274" s="42">
        <v>536706.74</v>
      </c>
      <c r="G274" s="581">
        <f t="shared" si="21"/>
        <v>554843.86</v>
      </c>
      <c r="H274" s="33">
        <v>0</v>
      </c>
      <c r="I274" s="33">
        <v>0</v>
      </c>
      <c r="J274" s="33">
        <v>0</v>
      </c>
      <c r="K274" s="33">
        <f t="shared" si="23"/>
        <v>2251.48</v>
      </c>
      <c r="L274" s="33">
        <f t="shared" si="24"/>
        <v>15885.64</v>
      </c>
      <c r="M274" s="33">
        <f t="shared" si="25"/>
        <v>536706.74</v>
      </c>
      <c r="N274" s="235">
        <f t="shared" si="22"/>
        <v>0</v>
      </c>
      <c r="O274" s="35" t="s">
        <v>3327</v>
      </c>
      <c r="P274" s="35"/>
      <c r="Q274" s="39">
        <f>SUMIF('Antelope Bailey Split BA'!$B$7:$B$29,B274,'Antelope Bailey Split BA'!$C$7:$C$29)</f>
        <v>0</v>
      </c>
      <c r="R274" s="39" t="str">
        <f>IF(AND(Q274=1,'Plant Total by Account'!$J$1=2),"EKWRA","")</f>
        <v/>
      </c>
    </row>
    <row r="275" spans="1:18" x14ac:dyDescent="0.2">
      <c r="A275" s="31" t="s">
        <v>2835</v>
      </c>
      <c r="B275" s="36" t="s">
        <v>371</v>
      </c>
      <c r="C275" s="504" t="s">
        <v>3353</v>
      </c>
      <c r="D275" s="42">
        <v>1554.23</v>
      </c>
      <c r="E275" s="42">
        <v>83137.540000000008</v>
      </c>
      <c r="F275" s="42">
        <v>5400520.8000000007</v>
      </c>
      <c r="G275" s="581">
        <f t="shared" si="21"/>
        <v>5485212.5700000003</v>
      </c>
      <c r="H275" s="33">
        <v>0</v>
      </c>
      <c r="I275" s="33">
        <v>0</v>
      </c>
      <c r="J275" s="33">
        <v>0</v>
      </c>
      <c r="K275" s="33">
        <f t="shared" si="23"/>
        <v>1554.23</v>
      </c>
      <c r="L275" s="33">
        <f t="shared" si="24"/>
        <v>83137.540000000008</v>
      </c>
      <c r="M275" s="33">
        <f t="shared" si="25"/>
        <v>5400520.8000000007</v>
      </c>
      <c r="N275" s="235">
        <f t="shared" si="22"/>
        <v>0</v>
      </c>
      <c r="O275" s="35" t="s">
        <v>3327</v>
      </c>
      <c r="P275" s="35"/>
      <c r="Q275" s="39">
        <f>SUMIF('Antelope Bailey Split BA'!$B$7:$B$29,B275,'Antelope Bailey Split BA'!$C$7:$C$29)</f>
        <v>0</v>
      </c>
      <c r="R275" s="39" t="str">
        <f>IF(AND(Q275=1,'Plant Total by Account'!$J$1=2),"EKWRA","")</f>
        <v/>
      </c>
    </row>
    <row r="276" spans="1:18" x14ac:dyDescent="0.2">
      <c r="A276" s="31" t="s">
        <v>2836</v>
      </c>
      <c r="B276" s="36" t="s">
        <v>372</v>
      </c>
      <c r="C276" s="504" t="s">
        <v>3353</v>
      </c>
      <c r="D276" s="42">
        <v>1249.6100000000001</v>
      </c>
      <c r="E276" s="42">
        <v>260101.68</v>
      </c>
      <c r="F276" s="42">
        <v>8269895.3200000012</v>
      </c>
      <c r="G276" s="581">
        <f t="shared" si="21"/>
        <v>8531246.6100000013</v>
      </c>
      <c r="H276" s="33">
        <v>0</v>
      </c>
      <c r="I276" s="33">
        <v>0</v>
      </c>
      <c r="J276" s="33">
        <v>0</v>
      </c>
      <c r="K276" s="33">
        <f t="shared" si="23"/>
        <v>1249.6100000000001</v>
      </c>
      <c r="L276" s="33">
        <f t="shared" si="24"/>
        <v>260101.68</v>
      </c>
      <c r="M276" s="33">
        <f t="shared" si="25"/>
        <v>8269895.3200000012</v>
      </c>
      <c r="N276" s="235">
        <f t="shared" si="22"/>
        <v>0</v>
      </c>
      <c r="O276" s="35" t="s">
        <v>3327</v>
      </c>
      <c r="P276" s="35"/>
      <c r="Q276" s="39">
        <f>SUMIF('Antelope Bailey Split BA'!$B$7:$B$29,B276,'Antelope Bailey Split BA'!$C$7:$C$29)</f>
        <v>0</v>
      </c>
      <c r="R276" s="39" t="str">
        <f>IF(AND(Q276=1,'Plant Total by Account'!$J$1=2),"EKWRA","")</f>
        <v/>
      </c>
    </row>
    <row r="277" spans="1:18" x14ac:dyDescent="0.2">
      <c r="A277" s="31" t="s">
        <v>2837</v>
      </c>
      <c r="B277" s="36" t="s">
        <v>373</v>
      </c>
      <c r="C277" s="504" t="s">
        <v>3353</v>
      </c>
      <c r="D277" s="42">
        <v>710.67</v>
      </c>
      <c r="E277" s="42">
        <v>277840.62</v>
      </c>
      <c r="F277" s="42">
        <v>3322056.5900000003</v>
      </c>
      <c r="G277" s="581">
        <f t="shared" si="21"/>
        <v>3600607.8800000004</v>
      </c>
      <c r="H277" s="33">
        <v>0</v>
      </c>
      <c r="I277" s="33">
        <v>0</v>
      </c>
      <c r="J277" s="33">
        <v>0</v>
      </c>
      <c r="K277" s="33">
        <f t="shared" si="23"/>
        <v>710.67</v>
      </c>
      <c r="L277" s="33">
        <f t="shared" si="24"/>
        <v>277840.62</v>
      </c>
      <c r="M277" s="33">
        <f t="shared" si="25"/>
        <v>3322056.5900000003</v>
      </c>
      <c r="N277" s="235">
        <f t="shared" si="22"/>
        <v>0</v>
      </c>
      <c r="O277" s="35" t="s">
        <v>3327</v>
      </c>
      <c r="P277" s="35"/>
      <c r="Q277" s="39">
        <f>SUMIF('Antelope Bailey Split BA'!$B$7:$B$29,B277,'Antelope Bailey Split BA'!$C$7:$C$29)</f>
        <v>0</v>
      </c>
      <c r="R277" s="39" t="str">
        <f>IF(AND(Q277=1,'Plant Total by Account'!$J$1=2),"EKWRA","")</f>
        <v/>
      </c>
    </row>
    <row r="278" spans="1:18" x14ac:dyDescent="0.2">
      <c r="A278" s="31" t="s">
        <v>2838</v>
      </c>
      <c r="B278" s="36" t="s">
        <v>374</v>
      </c>
      <c r="C278" s="504" t="s">
        <v>3353</v>
      </c>
      <c r="D278" s="42">
        <v>2929.65</v>
      </c>
      <c r="E278" s="42">
        <v>260258.22999999995</v>
      </c>
      <c r="F278" s="42">
        <v>8163277.7500000093</v>
      </c>
      <c r="G278" s="581">
        <f t="shared" si="21"/>
        <v>8426465.6300000101</v>
      </c>
      <c r="H278" s="33">
        <v>0</v>
      </c>
      <c r="I278" s="33">
        <v>0</v>
      </c>
      <c r="J278" s="33">
        <v>0</v>
      </c>
      <c r="K278" s="33">
        <f t="shared" si="23"/>
        <v>2929.65</v>
      </c>
      <c r="L278" s="33">
        <f t="shared" si="24"/>
        <v>260258.22999999995</v>
      </c>
      <c r="M278" s="33">
        <f t="shared" si="25"/>
        <v>8163277.7500000093</v>
      </c>
      <c r="N278" s="235">
        <f t="shared" si="22"/>
        <v>0</v>
      </c>
      <c r="O278" s="35" t="s">
        <v>3327</v>
      </c>
      <c r="P278" s="35"/>
      <c r="Q278" s="39">
        <f>SUMIF('Antelope Bailey Split BA'!$B$7:$B$29,B278,'Antelope Bailey Split BA'!$C$7:$C$29)</f>
        <v>0</v>
      </c>
      <c r="R278" s="39" t="str">
        <f>IF(AND(Q278=1,'Plant Total by Account'!$J$1=2),"EKWRA","")</f>
        <v/>
      </c>
    </row>
    <row r="279" spans="1:18" x14ac:dyDescent="0.2">
      <c r="A279" s="31" t="s">
        <v>2839</v>
      </c>
      <c r="B279" s="36" t="s">
        <v>375</v>
      </c>
      <c r="C279" s="504" t="s">
        <v>3353</v>
      </c>
      <c r="D279" s="42">
        <v>32745.94</v>
      </c>
      <c r="E279" s="42">
        <v>27723.05</v>
      </c>
      <c r="F279" s="42">
        <v>568653.08000000007</v>
      </c>
      <c r="G279" s="581">
        <f t="shared" si="21"/>
        <v>629122.07000000007</v>
      </c>
      <c r="H279" s="33">
        <v>0</v>
      </c>
      <c r="I279" s="33">
        <v>0</v>
      </c>
      <c r="J279" s="33">
        <v>0</v>
      </c>
      <c r="K279" s="33">
        <f t="shared" si="23"/>
        <v>32745.94</v>
      </c>
      <c r="L279" s="33">
        <f t="shared" si="24"/>
        <v>27723.05</v>
      </c>
      <c r="M279" s="33">
        <f t="shared" si="25"/>
        <v>568653.08000000007</v>
      </c>
      <c r="N279" s="235">
        <f t="shared" si="22"/>
        <v>0</v>
      </c>
      <c r="O279" s="35" t="s">
        <v>3327</v>
      </c>
      <c r="P279" s="35"/>
      <c r="Q279" s="39">
        <f>SUMIF('Antelope Bailey Split BA'!$B$7:$B$29,B279,'Antelope Bailey Split BA'!$C$7:$C$29)</f>
        <v>0</v>
      </c>
      <c r="R279" s="39" t="str">
        <f>IF(AND(Q279=1,'Plant Total by Account'!$J$1=2),"EKWRA","")</f>
        <v/>
      </c>
    </row>
    <row r="280" spans="1:18" x14ac:dyDescent="0.2">
      <c r="A280" s="31" t="s">
        <v>2437</v>
      </c>
      <c r="B280" s="36" t="s">
        <v>376</v>
      </c>
      <c r="C280" s="504" t="s">
        <v>3353</v>
      </c>
      <c r="D280" s="42">
        <v>2536.8000000000002</v>
      </c>
      <c r="E280" s="42">
        <v>58015.34</v>
      </c>
      <c r="F280" s="42">
        <v>2194284.7200000007</v>
      </c>
      <c r="G280" s="581">
        <f t="shared" si="21"/>
        <v>2254836.8600000008</v>
      </c>
      <c r="H280" s="33">
        <v>0</v>
      </c>
      <c r="I280" s="33">
        <v>0</v>
      </c>
      <c r="J280" s="33">
        <v>0</v>
      </c>
      <c r="K280" s="33">
        <f t="shared" si="23"/>
        <v>2536.8000000000002</v>
      </c>
      <c r="L280" s="33">
        <f t="shared" si="24"/>
        <v>58015.34</v>
      </c>
      <c r="M280" s="33">
        <f t="shared" si="25"/>
        <v>2194284.7200000007</v>
      </c>
      <c r="N280" s="235">
        <f t="shared" si="22"/>
        <v>0</v>
      </c>
      <c r="O280" s="35" t="s">
        <v>3327</v>
      </c>
      <c r="P280" s="35"/>
      <c r="Q280" s="39">
        <f>SUMIF('Antelope Bailey Split BA'!$B$7:$B$29,B280,'Antelope Bailey Split BA'!$C$7:$C$29)</f>
        <v>0</v>
      </c>
      <c r="R280" s="39" t="str">
        <f>IF(AND(Q280=1,'Plant Total by Account'!$J$1=2),"EKWRA","")</f>
        <v/>
      </c>
    </row>
    <row r="281" spans="1:18" x14ac:dyDescent="0.2">
      <c r="A281" s="31" t="s">
        <v>2840</v>
      </c>
      <c r="B281" s="36" t="s">
        <v>377</v>
      </c>
      <c r="C281" s="504" t="s">
        <v>3353</v>
      </c>
      <c r="D281" s="42">
        <v>300</v>
      </c>
      <c r="E281" s="42">
        <v>57465.64</v>
      </c>
      <c r="F281" s="42">
        <v>752920.73</v>
      </c>
      <c r="G281" s="581">
        <f t="shared" si="21"/>
        <v>810686.37</v>
      </c>
      <c r="H281" s="33">
        <v>0</v>
      </c>
      <c r="I281" s="33">
        <v>0</v>
      </c>
      <c r="J281" s="33">
        <v>0</v>
      </c>
      <c r="K281" s="33">
        <f t="shared" si="23"/>
        <v>300</v>
      </c>
      <c r="L281" s="33">
        <f t="shared" si="24"/>
        <v>57465.64</v>
      </c>
      <c r="M281" s="33">
        <f t="shared" si="25"/>
        <v>752920.73</v>
      </c>
      <c r="N281" s="235">
        <f t="shared" si="22"/>
        <v>0</v>
      </c>
      <c r="O281" s="35" t="s">
        <v>3327</v>
      </c>
      <c r="P281" s="35"/>
      <c r="Q281" s="39">
        <f>SUMIF('Antelope Bailey Split BA'!$B$7:$B$29,B281,'Antelope Bailey Split BA'!$C$7:$C$29)</f>
        <v>0</v>
      </c>
      <c r="R281" s="39" t="str">
        <f>IF(AND(Q281=1,'Plant Total by Account'!$J$1=2),"EKWRA","")</f>
        <v/>
      </c>
    </row>
    <row r="282" spans="1:18" x14ac:dyDescent="0.2">
      <c r="A282" s="31" t="s">
        <v>2841</v>
      </c>
      <c r="B282" s="36" t="s">
        <v>378</v>
      </c>
      <c r="C282" s="504" t="s">
        <v>3353</v>
      </c>
      <c r="D282" s="42">
        <v>501.2</v>
      </c>
      <c r="E282" s="42">
        <v>628390.89999999991</v>
      </c>
      <c r="F282" s="42">
        <v>9504768.5999999978</v>
      </c>
      <c r="G282" s="581">
        <f t="shared" si="21"/>
        <v>10133660.699999997</v>
      </c>
      <c r="H282" s="33">
        <v>0</v>
      </c>
      <c r="I282" s="33">
        <v>0</v>
      </c>
      <c r="J282" s="33">
        <v>0</v>
      </c>
      <c r="K282" s="33">
        <f t="shared" si="23"/>
        <v>501.2</v>
      </c>
      <c r="L282" s="33">
        <f t="shared" si="24"/>
        <v>628390.89999999991</v>
      </c>
      <c r="M282" s="33">
        <f t="shared" si="25"/>
        <v>9504768.5999999978</v>
      </c>
      <c r="N282" s="235">
        <f t="shared" si="22"/>
        <v>0</v>
      </c>
      <c r="O282" s="35" t="s">
        <v>3327</v>
      </c>
      <c r="P282" s="35"/>
      <c r="Q282" s="39">
        <f>SUMIF('Antelope Bailey Split BA'!$B$7:$B$29,B282,'Antelope Bailey Split BA'!$C$7:$C$29)</f>
        <v>0</v>
      </c>
      <c r="R282" s="39" t="str">
        <f>IF(AND(Q282=1,'Plant Total by Account'!$J$1=2),"EKWRA","")</f>
        <v/>
      </c>
    </row>
    <row r="283" spans="1:18" x14ac:dyDescent="0.2">
      <c r="A283" s="31" t="s">
        <v>2842</v>
      </c>
      <c r="B283" s="36" t="s">
        <v>379</v>
      </c>
      <c r="C283" s="504" t="s">
        <v>3353</v>
      </c>
      <c r="D283" s="42">
        <v>3522.48</v>
      </c>
      <c r="E283" s="42">
        <v>297450.80000000005</v>
      </c>
      <c r="F283" s="42">
        <v>11289391.599999996</v>
      </c>
      <c r="G283" s="581">
        <f t="shared" si="21"/>
        <v>11590364.879999995</v>
      </c>
      <c r="H283" s="33">
        <v>0</v>
      </c>
      <c r="I283" s="33">
        <v>0</v>
      </c>
      <c r="J283" s="33">
        <v>0</v>
      </c>
      <c r="K283" s="33">
        <f t="shared" si="23"/>
        <v>3522.48</v>
      </c>
      <c r="L283" s="33">
        <f t="shared" si="24"/>
        <v>297450.80000000005</v>
      </c>
      <c r="M283" s="33">
        <f t="shared" si="25"/>
        <v>11289391.599999996</v>
      </c>
      <c r="N283" s="235">
        <f t="shared" si="22"/>
        <v>0</v>
      </c>
      <c r="O283" s="35" t="s">
        <v>3327</v>
      </c>
      <c r="P283" s="35"/>
      <c r="Q283" s="39">
        <f>SUMIF('Antelope Bailey Split BA'!$B$7:$B$29,B283,'Antelope Bailey Split BA'!$C$7:$C$29)</f>
        <v>0</v>
      </c>
      <c r="R283" s="39" t="str">
        <f>IF(AND(Q283=1,'Plant Total by Account'!$J$1=2),"EKWRA","")</f>
        <v/>
      </c>
    </row>
    <row r="284" spans="1:18" x14ac:dyDescent="0.2">
      <c r="A284" s="31" t="s">
        <v>2843</v>
      </c>
      <c r="B284" s="36" t="s">
        <v>380</v>
      </c>
      <c r="C284" s="504" t="s">
        <v>3353</v>
      </c>
      <c r="D284" s="42">
        <v>14777.480000000001</v>
      </c>
      <c r="E284" s="42">
        <v>174852.81</v>
      </c>
      <c r="F284" s="42">
        <v>3711456.9299999988</v>
      </c>
      <c r="G284" s="581">
        <f t="shared" si="21"/>
        <v>3901087.2199999988</v>
      </c>
      <c r="H284" s="33">
        <v>0</v>
      </c>
      <c r="I284" s="33">
        <v>0</v>
      </c>
      <c r="J284" s="33">
        <v>0</v>
      </c>
      <c r="K284" s="33">
        <f t="shared" si="23"/>
        <v>14777.480000000001</v>
      </c>
      <c r="L284" s="33">
        <f t="shared" si="24"/>
        <v>174852.81</v>
      </c>
      <c r="M284" s="33">
        <f t="shared" si="25"/>
        <v>3711456.9299999988</v>
      </c>
      <c r="N284" s="235">
        <f t="shared" si="22"/>
        <v>0</v>
      </c>
      <c r="O284" s="35" t="s">
        <v>3327</v>
      </c>
      <c r="P284" s="35"/>
      <c r="Q284" s="39">
        <f>SUMIF('Antelope Bailey Split BA'!$B$7:$B$29,B284,'Antelope Bailey Split BA'!$C$7:$C$29)</f>
        <v>0</v>
      </c>
      <c r="R284" s="39" t="str">
        <f>IF(AND(Q284=1,'Plant Total by Account'!$J$1=2),"EKWRA","")</f>
        <v/>
      </c>
    </row>
    <row r="285" spans="1:18" x14ac:dyDescent="0.2">
      <c r="A285" s="31" t="s">
        <v>2844</v>
      </c>
      <c r="B285" s="36" t="s">
        <v>381</v>
      </c>
      <c r="C285" s="504" t="s">
        <v>3353</v>
      </c>
      <c r="D285" s="42">
        <v>1683.31</v>
      </c>
      <c r="E285" s="42">
        <v>906542.16999999993</v>
      </c>
      <c r="F285" s="42">
        <v>7621026.0700000068</v>
      </c>
      <c r="G285" s="581">
        <f t="shared" si="21"/>
        <v>8529251.5500000063</v>
      </c>
      <c r="H285" s="33">
        <v>0</v>
      </c>
      <c r="I285" s="33">
        <v>0</v>
      </c>
      <c r="J285" s="33">
        <v>0</v>
      </c>
      <c r="K285" s="33">
        <f t="shared" si="23"/>
        <v>1683.31</v>
      </c>
      <c r="L285" s="33">
        <f t="shared" si="24"/>
        <v>906542.16999999993</v>
      </c>
      <c r="M285" s="33">
        <f t="shared" si="25"/>
        <v>7621026.0700000068</v>
      </c>
      <c r="N285" s="235">
        <f t="shared" si="22"/>
        <v>0</v>
      </c>
      <c r="O285" s="35" t="s">
        <v>3327</v>
      </c>
      <c r="P285" s="35"/>
      <c r="Q285" s="39">
        <f>SUMIF('Antelope Bailey Split BA'!$B$7:$B$29,B285,'Antelope Bailey Split BA'!$C$7:$C$29)</f>
        <v>0</v>
      </c>
      <c r="R285" s="39" t="str">
        <f>IF(AND(Q285=1,'Plant Total by Account'!$J$1=2),"EKWRA","")</f>
        <v/>
      </c>
    </row>
    <row r="286" spans="1:18" x14ac:dyDescent="0.2">
      <c r="A286" s="31" t="s">
        <v>2438</v>
      </c>
      <c r="B286" s="36" t="s">
        <v>382</v>
      </c>
      <c r="C286" s="504" t="s">
        <v>3353</v>
      </c>
      <c r="D286" s="42">
        <v>198.32</v>
      </c>
      <c r="E286" s="42">
        <v>86689.050000000017</v>
      </c>
      <c r="F286" s="42">
        <v>4662295.3599999985</v>
      </c>
      <c r="G286" s="581">
        <f t="shared" si="21"/>
        <v>4749182.7299999986</v>
      </c>
      <c r="H286" s="33">
        <v>0</v>
      </c>
      <c r="I286" s="33">
        <v>0</v>
      </c>
      <c r="J286" s="33">
        <v>0</v>
      </c>
      <c r="K286" s="33">
        <f t="shared" si="23"/>
        <v>198.32</v>
      </c>
      <c r="L286" s="33">
        <f t="shared" si="24"/>
        <v>86689.050000000017</v>
      </c>
      <c r="M286" s="33">
        <f t="shared" si="25"/>
        <v>4662295.3599999985</v>
      </c>
      <c r="N286" s="235">
        <f t="shared" si="22"/>
        <v>0</v>
      </c>
      <c r="O286" s="35" t="s">
        <v>3327</v>
      </c>
      <c r="P286" s="35"/>
      <c r="Q286" s="39">
        <f>SUMIF('Antelope Bailey Split BA'!$B$7:$B$29,B286,'Antelope Bailey Split BA'!$C$7:$C$29)</f>
        <v>0</v>
      </c>
      <c r="R286" s="39" t="str">
        <f>IF(AND(Q286=1,'Plant Total by Account'!$J$1=2),"EKWRA","")</f>
        <v/>
      </c>
    </row>
    <row r="287" spans="1:18" x14ac:dyDescent="0.2">
      <c r="A287" s="31" t="s">
        <v>2845</v>
      </c>
      <c r="B287" s="36" t="s">
        <v>383</v>
      </c>
      <c r="C287" s="504" t="s">
        <v>3353</v>
      </c>
      <c r="D287" s="42">
        <v>0</v>
      </c>
      <c r="E287" s="42">
        <v>37942.9</v>
      </c>
      <c r="F287" s="42">
        <v>116859.73999999998</v>
      </c>
      <c r="G287" s="581">
        <f t="shared" si="21"/>
        <v>154802.63999999998</v>
      </c>
      <c r="H287" s="33">
        <v>0</v>
      </c>
      <c r="I287" s="33">
        <v>0</v>
      </c>
      <c r="J287" s="33">
        <v>0</v>
      </c>
      <c r="K287" s="33">
        <f t="shared" si="23"/>
        <v>0</v>
      </c>
      <c r="L287" s="33">
        <f t="shared" si="24"/>
        <v>37942.9</v>
      </c>
      <c r="M287" s="33">
        <f t="shared" si="25"/>
        <v>116859.73999999998</v>
      </c>
      <c r="N287" s="235">
        <f t="shared" si="22"/>
        <v>0</v>
      </c>
      <c r="O287" s="35" t="s">
        <v>3327</v>
      </c>
      <c r="P287" s="35"/>
      <c r="Q287" s="39">
        <f>SUMIF('Antelope Bailey Split BA'!$B$7:$B$29,B287,'Antelope Bailey Split BA'!$C$7:$C$29)</f>
        <v>0</v>
      </c>
      <c r="R287" s="39" t="str">
        <f>IF(AND(Q287=1,'Plant Total by Account'!$J$1=2),"EKWRA","")</f>
        <v/>
      </c>
    </row>
    <row r="288" spans="1:18" x14ac:dyDescent="0.2">
      <c r="A288" s="31" t="s">
        <v>2846</v>
      </c>
      <c r="B288" s="36" t="s">
        <v>384</v>
      </c>
      <c r="C288" s="504" t="s">
        <v>3353</v>
      </c>
      <c r="D288" s="42">
        <v>200</v>
      </c>
      <c r="E288" s="42">
        <v>12065.74</v>
      </c>
      <c r="F288" s="42">
        <v>2055917.6500000001</v>
      </c>
      <c r="G288" s="581">
        <f t="shared" si="21"/>
        <v>2068183.3900000001</v>
      </c>
      <c r="H288" s="33">
        <v>0</v>
      </c>
      <c r="I288" s="33">
        <v>0</v>
      </c>
      <c r="J288" s="33">
        <v>0</v>
      </c>
      <c r="K288" s="33">
        <f t="shared" si="23"/>
        <v>200</v>
      </c>
      <c r="L288" s="33">
        <f t="shared" si="24"/>
        <v>12065.74</v>
      </c>
      <c r="M288" s="33">
        <f t="shared" si="25"/>
        <v>2055917.6500000001</v>
      </c>
      <c r="N288" s="235">
        <f t="shared" si="22"/>
        <v>0</v>
      </c>
      <c r="O288" s="35" t="s">
        <v>3327</v>
      </c>
      <c r="P288" s="35"/>
      <c r="Q288" s="39">
        <f>SUMIF('Antelope Bailey Split BA'!$B$7:$B$29,B288,'Antelope Bailey Split BA'!$C$7:$C$29)</f>
        <v>0</v>
      </c>
      <c r="R288" s="39" t="str">
        <f>IF(AND(Q288=1,'Plant Total by Account'!$J$1=2),"EKWRA","")</f>
        <v/>
      </c>
    </row>
    <row r="289" spans="1:18" x14ac:dyDescent="0.2">
      <c r="A289" s="31" t="s">
        <v>2847</v>
      </c>
      <c r="B289" s="36" t="s">
        <v>385</v>
      </c>
      <c r="C289" s="504" t="s">
        <v>3353</v>
      </c>
      <c r="D289" s="42">
        <v>0</v>
      </c>
      <c r="E289" s="42">
        <v>5505.59</v>
      </c>
      <c r="F289" s="42">
        <v>16154.030000000002</v>
      </c>
      <c r="G289" s="581">
        <f t="shared" si="21"/>
        <v>21659.620000000003</v>
      </c>
      <c r="H289" s="33">
        <v>0</v>
      </c>
      <c r="I289" s="33">
        <v>0</v>
      </c>
      <c r="J289" s="33">
        <v>0</v>
      </c>
      <c r="K289" s="33">
        <f t="shared" si="23"/>
        <v>0</v>
      </c>
      <c r="L289" s="33">
        <f t="shared" si="24"/>
        <v>5505.59</v>
      </c>
      <c r="M289" s="33">
        <f t="shared" si="25"/>
        <v>16154.030000000002</v>
      </c>
      <c r="N289" s="235">
        <f t="shared" si="22"/>
        <v>0</v>
      </c>
      <c r="O289" s="35" t="s">
        <v>3327</v>
      </c>
      <c r="P289" s="35"/>
      <c r="Q289" s="39">
        <f>SUMIF('Antelope Bailey Split BA'!$B$7:$B$29,B289,'Antelope Bailey Split BA'!$C$7:$C$29)</f>
        <v>0</v>
      </c>
      <c r="R289" s="39" t="str">
        <f>IF(AND(Q289=1,'Plant Total by Account'!$J$1=2),"EKWRA","")</f>
        <v/>
      </c>
    </row>
    <row r="290" spans="1:18" x14ac:dyDescent="0.2">
      <c r="A290" s="31" t="s">
        <v>2848</v>
      </c>
      <c r="B290" s="36" t="s">
        <v>386</v>
      </c>
      <c r="C290" s="504" t="s">
        <v>3353</v>
      </c>
      <c r="D290" s="42">
        <v>0</v>
      </c>
      <c r="E290" s="42">
        <v>7049.14</v>
      </c>
      <c r="F290" s="42">
        <v>264955.33999999997</v>
      </c>
      <c r="G290" s="581">
        <f t="shared" si="21"/>
        <v>272004.47999999998</v>
      </c>
      <c r="H290" s="33">
        <v>0</v>
      </c>
      <c r="I290" s="33">
        <v>0</v>
      </c>
      <c r="J290" s="33">
        <v>0</v>
      </c>
      <c r="K290" s="33">
        <f t="shared" si="23"/>
        <v>0</v>
      </c>
      <c r="L290" s="33">
        <f t="shared" si="24"/>
        <v>7049.14</v>
      </c>
      <c r="M290" s="33">
        <f t="shared" si="25"/>
        <v>264955.33999999997</v>
      </c>
      <c r="N290" s="235">
        <f t="shared" si="22"/>
        <v>0</v>
      </c>
      <c r="O290" s="35" t="s">
        <v>3327</v>
      </c>
      <c r="P290" s="35"/>
      <c r="Q290" s="39">
        <f>SUMIF('Antelope Bailey Split BA'!$B$7:$B$29,B290,'Antelope Bailey Split BA'!$C$7:$C$29)</f>
        <v>0</v>
      </c>
      <c r="R290" s="39" t="str">
        <f>IF(AND(Q290=1,'Plant Total by Account'!$J$1=2),"EKWRA","")</f>
        <v/>
      </c>
    </row>
    <row r="291" spans="1:18" x14ac:dyDescent="0.2">
      <c r="A291" s="31" t="s">
        <v>2849</v>
      </c>
      <c r="B291" s="36" t="s">
        <v>387</v>
      </c>
      <c r="C291" s="504" t="s">
        <v>3353</v>
      </c>
      <c r="D291" s="42">
        <v>3281.2500000000005</v>
      </c>
      <c r="E291" s="42">
        <v>2990.91</v>
      </c>
      <c r="F291" s="42">
        <v>142719.45000000001</v>
      </c>
      <c r="G291" s="581">
        <f t="shared" si="21"/>
        <v>148991.61000000002</v>
      </c>
      <c r="H291" s="33">
        <v>0</v>
      </c>
      <c r="I291" s="33">
        <v>0</v>
      </c>
      <c r="J291" s="33">
        <v>0</v>
      </c>
      <c r="K291" s="33">
        <f t="shared" si="23"/>
        <v>3281.2500000000005</v>
      </c>
      <c r="L291" s="33">
        <f t="shared" si="24"/>
        <v>2990.91</v>
      </c>
      <c r="M291" s="33">
        <f t="shared" si="25"/>
        <v>142719.45000000001</v>
      </c>
      <c r="N291" s="235">
        <f t="shared" si="22"/>
        <v>0</v>
      </c>
      <c r="O291" s="35" t="s">
        <v>3327</v>
      </c>
      <c r="P291" s="35"/>
      <c r="Q291" s="39">
        <f>SUMIF('Antelope Bailey Split BA'!$B$7:$B$29,B291,'Antelope Bailey Split BA'!$C$7:$C$29)</f>
        <v>0</v>
      </c>
      <c r="R291" s="39" t="str">
        <f>IF(AND(Q291=1,'Plant Total by Account'!$J$1=2),"EKWRA","")</f>
        <v/>
      </c>
    </row>
    <row r="292" spans="1:18" x14ac:dyDescent="0.2">
      <c r="A292" s="31" t="s">
        <v>2850</v>
      </c>
      <c r="B292" s="36" t="s">
        <v>388</v>
      </c>
      <c r="C292" s="504" t="s">
        <v>3353</v>
      </c>
      <c r="D292" s="42">
        <v>1487.57</v>
      </c>
      <c r="E292" s="42">
        <v>409161.95000000007</v>
      </c>
      <c r="F292" s="42">
        <v>5377252.9900000012</v>
      </c>
      <c r="G292" s="581">
        <f t="shared" si="21"/>
        <v>5787902.5100000016</v>
      </c>
      <c r="H292" s="33">
        <v>0</v>
      </c>
      <c r="I292" s="33">
        <v>0</v>
      </c>
      <c r="J292" s="33">
        <v>0</v>
      </c>
      <c r="K292" s="33">
        <f t="shared" si="23"/>
        <v>1487.57</v>
      </c>
      <c r="L292" s="33">
        <f t="shared" si="24"/>
        <v>409161.95000000007</v>
      </c>
      <c r="M292" s="33">
        <f t="shared" si="25"/>
        <v>5377252.9900000012</v>
      </c>
      <c r="N292" s="235">
        <f t="shared" si="22"/>
        <v>0</v>
      </c>
      <c r="O292" s="35" t="s">
        <v>3327</v>
      </c>
      <c r="P292" s="35"/>
      <c r="Q292" s="39">
        <f>SUMIF('Antelope Bailey Split BA'!$B$7:$B$29,B292,'Antelope Bailey Split BA'!$C$7:$C$29)</f>
        <v>0</v>
      </c>
      <c r="R292" s="39" t="str">
        <f>IF(AND(Q292=1,'Plant Total by Account'!$J$1=2),"EKWRA","")</f>
        <v/>
      </c>
    </row>
    <row r="293" spans="1:18" x14ac:dyDescent="0.2">
      <c r="A293" s="31" t="s">
        <v>2851</v>
      </c>
      <c r="B293" s="36" t="s">
        <v>389</v>
      </c>
      <c r="C293" s="504" t="s">
        <v>3352</v>
      </c>
      <c r="D293" s="42">
        <v>1834.42</v>
      </c>
      <c r="E293" s="42">
        <v>30713.7</v>
      </c>
      <c r="F293" s="42">
        <v>228864.45000000004</v>
      </c>
      <c r="G293" s="581">
        <f t="shared" si="21"/>
        <v>261412.57000000004</v>
      </c>
      <c r="H293" s="33">
        <v>0</v>
      </c>
      <c r="I293" s="33">
        <v>0</v>
      </c>
      <c r="J293" s="33">
        <v>0</v>
      </c>
      <c r="K293" s="33">
        <f t="shared" si="23"/>
        <v>1834.42</v>
      </c>
      <c r="L293" s="33">
        <f t="shared" si="24"/>
        <v>30713.7</v>
      </c>
      <c r="M293" s="33">
        <f t="shared" si="25"/>
        <v>228864.45000000004</v>
      </c>
      <c r="N293" s="235">
        <f t="shared" si="22"/>
        <v>0</v>
      </c>
      <c r="O293" s="35" t="s">
        <v>3327</v>
      </c>
      <c r="P293" s="35"/>
      <c r="Q293" s="39">
        <f>SUMIF('Antelope Bailey Split BA'!$B$7:$B$29,B293,'Antelope Bailey Split BA'!$C$7:$C$29)</f>
        <v>0</v>
      </c>
      <c r="R293" s="39" t="str">
        <f>IF(AND(Q293=1,'Plant Total by Account'!$J$1=2),"EKWRA","")</f>
        <v/>
      </c>
    </row>
    <row r="294" spans="1:18" x14ac:dyDescent="0.2">
      <c r="A294" s="31" t="s">
        <v>2852</v>
      </c>
      <c r="B294" s="36" t="s">
        <v>390</v>
      </c>
      <c r="C294" s="504" t="s">
        <v>3353</v>
      </c>
      <c r="D294" s="42">
        <v>727</v>
      </c>
      <c r="E294" s="42">
        <v>12872.439999999999</v>
      </c>
      <c r="F294" s="42">
        <v>55839.710000000006</v>
      </c>
      <c r="G294" s="581">
        <f t="shared" si="21"/>
        <v>69439.150000000009</v>
      </c>
      <c r="H294" s="33">
        <v>0</v>
      </c>
      <c r="I294" s="33">
        <v>0</v>
      </c>
      <c r="J294" s="33">
        <v>0</v>
      </c>
      <c r="K294" s="33">
        <f t="shared" si="23"/>
        <v>727</v>
      </c>
      <c r="L294" s="33">
        <f t="shared" si="24"/>
        <v>12872.439999999999</v>
      </c>
      <c r="M294" s="33">
        <f t="shared" si="25"/>
        <v>55839.710000000006</v>
      </c>
      <c r="N294" s="235">
        <f t="shared" si="22"/>
        <v>0</v>
      </c>
      <c r="O294" s="35" t="s">
        <v>3327</v>
      </c>
      <c r="P294" s="35"/>
      <c r="Q294" s="39">
        <f>SUMIF('Antelope Bailey Split BA'!$B$7:$B$29,B294,'Antelope Bailey Split BA'!$C$7:$C$29)</f>
        <v>0</v>
      </c>
      <c r="R294" s="39" t="str">
        <f>IF(AND(Q294=1,'Plant Total by Account'!$J$1=2),"EKWRA","")</f>
        <v/>
      </c>
    </row>
    <row r="295" spans="1:18" x14ac:dyDescent="0.2">
      <c r="A295" s="31" t="s">
        <v>2853</v>
      </c>
      <c r="B295" s="36" t="s">
        <v>391</v>
      </c>
      <c r="C295" s="504" t="s">
        <v>3352</v>
      </c>
      <c r="D295" s="42">
        <v>2309.2000000000003</v>
      </c>
      <c r="E295" s="42">
        <v>37082.81</v>
      </c>
      <c r="F295" s="42">
        <v>132042.20000000001</v>
      </c>
      <c r="G295" s="581">
        <f t="shared" si="21"/>
        <v>171434.21000000002</v>
      </c>
      <c r="H295" s="33">
        <v>0</v>
      </c>
      <c r="I295" s="33">
        <v>0</v>
      </c>
      <c r="J295" s="33">
        <v>0</v>
      </c>
      <c r="K295" s="33">
        <f t="shared" si="23"/>
        <v>2309.2000000000003</v>
      </c>
      <c r="L295" s="33">
        <f t="shared" si="24"/>
        <v>37082.81</v>
      </c>
      <c r="M295" s="33">
        <f t="shared" si="25"/>
        <v>132042.20000000001</v>
      </c>
      <c r="N295" s="235">
        <f t="shared" si="22"/>
        <v>0</v>
      </c>
      <c r="O295" s="35" t="s">
        <v>3327</v>
      </c>
      <c r="P295" s="35"/>
      <c r="Q295" s="39">
        <f>SUMIF('Antelope Bailey Split BA'!$B$7:$B$29,B295,'Antelope Bailey Split BA'!$C$7:$C$29)</f>
        <v>0</v>
      </c>
      <c r="R295" s="39" t="str">
        <f>IF(AND(Q295=1,'Plant Total by Account'!$J$1=2),"EKWRA","")</f>
        <v/>
      </c>
    </row>
    <row r="296" spans="1:18" x14ac:dyDescent="0.2">
      <c r="A296" s="31" t="s">
        <v>2854</v>
      </c>
      <c r="B296" s="36" t="s">
        <v>392</v>
      </c>
      <c r="C296" s="504" t="s">
        <v>3352</v>
      </c>
      <c r="D296" s="42">
        <v>1318.16</v>
      </c>
      <c r="E296" s="42">
        <v>9220.99</v>
      </c>
      <c r="F296" s="42">
        <v>129113.52</v>
      </c>
      <c r="G296" s="581">
        <f t="shared" si="21"/>
        <v>139652.67000000001</v>
      </c>
      <c r="H296" s="33">
        <v>0</v>
      </c>
      <c r="I296" s="33">
        <v>0</v>
      </c>
      <c r="J296" s="33">
        <v>0</v>
      </c>
      <c r="K296" s="33">
        <f t="shared" si="23"/>
        <v>1318.16</v>
      </c>
      <c r="L296" s="33">
        <f t="shared" si="24"/>
        <v>9220.99</v>
      </c>
      <c r="M296" s="33">
        <f t="shared" si="25"/>
        <v>129113.52</v>
      </c>
      <c r="N296" s="235">
        <f t="shared" si="22"/>
        <v>0</v>
      </c>
      <c r="O296" s="35" t="s">
        <v>3327</v>
      </c>
      <c r="P296" s="35"/>
      <c r="Q296" s="39">
        <f>SUMIF('Antelope Bailey Split BA'!$B$7:$B$29,B296,'Antelope Bailey Split BA'!$C$7:$C$29)</f>
        <v>0</v>
      </c>
      <c r="R296" s="39" t="str">
        <f>IF(AND(Q296=1,'Plant Total by Account'!$J$1=2),"EKWRA","")</f>
        <v/>
      </c>
    </row>
    <row r="297" spans="1:18" x14ac:dyDescent="0.2">
      <c r="A297" s="31" t="s">
        <v>2855</v>
      </c>
      <c r="B297" s="36" t="s">
        <v>393</v>
      </c>
      <c r="C297" s="504" t="s">
        <v>3353</v>
      </c>
      <c r="D297" s="42">
        <v>5351.5300000000007</v>
      </c>
      <c r="E297" s="42">
        <v>6113.7000000000007</v>
      </c>
      <c r="F297" s="42">
        <v>302022.55</v>
      </c>
      <c r="G297" s="581">
        <f t="shared" si="21"/>
        <v>313487.77999999997</v>
      </c>
      <c r="H297" s="33">
        <v>0</v>
      </c>
      <c r="I297" s="33">
        <v>0</v>
      </c>
      <c r="J297" s="33">
        <v>0</v>
      </c>
      <c r="K297" s="33">
        <f t="shared" si="23"/>
        <v>5351.5300000000007</v>
      </c>
      <c r="L297" s="33">
        <f t="shared" si="24"/>
        <v>6113.7000000000007</v>
      </c>
      <c r="M297" s="33">
        <f t="shared" si="25"/>
        <v>302022.55</v>
      </c>
      <c r="N297" s="235">
        <f t="shared" si="22"/>
        <v>0</v>
      </c>
      <c r="O297" s="35" t="s">
        <v>3327</v>
      </c>
      <c r="P297" s="35"/>
      <c r="Q297" s="39">
        <f>SUMIF('Antelope Bailey Split BA'!$B$7:$B$29,B297,'Antelope Bailey Split BA'!$C$7:$C$29)</f>
        <v>0</v>
      </c>
      <c r="R297" s="39" t="str">
        <f>IF(AND(Q297=1,'Plant Total by Account'!$J$1=2),"EKWRA","")</f>
        <v/>
      </c>
    </row>
    <row r="298" spans="1:18" x14ac:dyDescent="0.2">
      <c r="A298" s="31" t="s">
        <v>2856</v>
      </c>
      <c r="B298" s="36" t="s">
        <v>394</v>
      </c>
      <c r="C298" s="504" t="s">
        <v>3352</v>
      </c>
      <c r="D298" s="42">
        <v>5747.65</v>
      </c>
      <c r="E298" s="42">
        <v>3591.09</v>
      </c>
      <c r="F298" s="42">
        <v>78468.590000000011</v>
      </c>
      <c r="G298" s="581">
        <f t="shared" si="21"/>
        <v>87807.330000000016</v>
      </c>
      <c r="H298" s="33">
        <v>0</v>
      </c>
      <c r="I298" s="33">
        <v>0</v>
      </c>
      <c r="J298" s="33">
        <v>0</v>
      </c>
      <c r="K298" s="33">
        <f t="shared" si="23"/>
        <v>5747.65</v>
      </c>
      <c r="L298" s="33">
        <f t="shared" si="24"/>
        <v>3591.09</v>
      </c>
      <c r="M298" s="33">
        <f t="shared" si="25"/>
        <v>78468.590000000011</v>
      </c>
      <c r="N298" s="235">
        <f t="shared" si="22"/>
        <v>0</v>
      </c>
      <c r="O298" s="35" t="s">
        <v>3327</v>
      </c>
      <c r="P298" s="35"/>
      <c r="Q298" s="39">
        <f>SUMIF('Antelope Bailey Split BA'!$B$7:$B$29,B298,'Antelope Bailey Split BA'!$C$7:$C$29)</f>
        <v>0</v>
      </c>
      <c r="R298" s="39" t="str">
        <f>IF(AND(Q298=1,'Plant Total by Account'!$J$1=2),"EKWRA","")</f>
        <v/>
      </c>
    </row>
    <row r="299" spans="1:18" x14ac:dyDescent="0.2">
      <c r="A299" s="31" t="s">
        <v>2857</v>
      </c>
      <c r="B299" s="36" t="s">
        <v>395</v>
      </c>
      <c r="C299" s="504" t="s">
        <v>3353</v>
      </c>
      <c r="D299" s="42">
        <v>10241.220000000001</v>
      </c>
      <c r="E299" s="42">
        <v>17810.62</v>
      </c>
      <c r="F299" s="42">
        <v>454960.78000000014</v>
      </c>
      <c r="G299" s="581">
        <f t="shared" si="21"/>
        <v>483012.62000000017</v>
      </c>
      <c r="H299" s="33">
        <v>0</v>
      </c>
      <c r="I299" s="33">
        <v>0</v>
      </c>
      <c r="J299" s="33">
        <v>0</v>
      </c>
      <c r="K299" s="33">
        <f t="shared" si="23"/>
        <v>10241.220000000001</v>
      </c>
      <c r="L299" s="33">
        <f t="shared" si="24"/>
        <v>17810.62</v>
      </c>
      <c r="M299" s="33">
        <f t="shared" si="25"/>
        <v>454960.78000000014</v>
      </c>
      <c r="N299" s="235">
        <f t="shared" si="22"/>
        <v>0</v>
      </c>
      <c r="O299" s="35" t="s">
        <v>3327</v>
      </c>
      <c r="P299" s="35"/>
      <c r="Q299" s="39">
        <f>SUMIF('Antelope Bailey Split BA'!$B$7:$B$29,B299,'Antelope Bailey Split BA'!$C$7:$C$29)</f>
        <v>0</v>
      </c>
      <c r="R299" s="39" t="str">
        <f>IF(AND(Q299=1,'Plant Total by Account'!$J$1=2),"EKWRA","")</f>
        <v/>
      </c>
    </row>
    <row r="300" spans="1:18" x14ac:dyDescent="0.2">
      <c r="A300" s="31" t="s">
        <v>2858</v>
      </c>
      <c r="B300" s="36" t="s">
        <v>396</v>
      </c>
      <c r="C300" s="504" t="s">
        <v>3353</v>
      </c>
      <c r="D300" s="42">
        <v>1846.3899999999999</v>
      </c>
      <c r="E300" s="42">
        <v>14556.32</v>
      </c>
      <c r="F300" s="42">
        <v>531009.74000000011</v>
      </c>
      <c r="G300" s="581">
        <f t="shared" si="21"/>
        <v>547412.45000000007</v>
      </c>
      <c r="H300" s="33">
        <v>0</v>
      </c>
      <c r="I300" s="33">
        <v>0</v>
      </c>
      <c r="J300" s="33">
        <v>0</v>
      </c>
      <c r="K300" s="33">
        <f t="shared" si="23"/>
        <v>1846.3899999999999</v>
      </c>
      <c r="L300" s="33">
        <f t="shared" si="24"/>
        <v>14556.32</v>
      </c>
      <c r="M300" s="33">
        <f t="shared" si="25"/>
        <v>531009.74000000011</v>
      </c>
      <c r="N300" s="235">
        <f t="shared" si="22"/>
        <v>0</v>
      </c>
      <c r="O300" s="35" t="s">
        <v>3327</v>
      </c>
      <c r="P300" s="35"/>
      <c r="Q300" s="39">
        <f>SUMIF('Antelope Bailey Split BA'!$B$7:$B$29,B300,'Antelope Bailey Split BA'!$C$7:$C$29)</f>
        <v>0</v>
      </c>
      <c r="R300" s="39" t="str">
        <f>IF(AND(Q300=1,'Plant Total by Account'!$J$1=2),"EKWRA","")</f>
        <v/>
      </c>
    </row>
    <row r="301" spans="1:18" x14ac:dyDescent="0.2">
      <c r="A301" s="31" t="s">
        <v>2859</v>
      </c>
      <c r="B301" s="36" t="s">
        <v>397</v>
      </c>
      <c r="C301" s="504" t="s">
        <v>3353</v>
      </c>
      <c r="D301" s="42">
        <v>4658.6000000000004</v>
      </c>
      <c r="E301" s="42">
        <v>17460.620000000003</v>
      </c>
      <c r="F301" s="42">
        <v>679489.2799999998</v>
      </c>
      <c r="G301" s="581">
        <f t="shared" si="21"/>
        <v>701608.49999999977</v>
      </c>
      <c r="H301" s="33">
        <v>0</v>
      </c>
      <c r="I301" s="33">
        <v>0</v>
      </c>
      <c r="J301" s="33">
        <v>0</v>
      </c>
      <c r="K301" s="33">
        <f t="shared" si="23"/>
        <v>4658.6000000000004</v>
      </c>
      <c r="L301" s="33">
        <f t="shared" si="24"/>
        <v>17460.620000000003</v>
      </c>
      <c r="M301" s="33">
        <f t="shared" si="25"/>
        <v>679489.2799999998</v>
      </c>
      <c r="N301" s="235">
        <f t="shared" si="22"/>
        <v>0</v>
      </c>
      <c r="O301" s="35" t="s">
        <v>3327</v>
      </c>
      <c r="P301" s="35"/>
      <c r="Q301" s="39">
        <f>SUMIF('Antelope Bailey Split BA'!$B$7:$B$29,B301,'Antelope Bailey Split BA'!$C$7:$C$29)</f>
        <v>0</v>
      </c>
      <c r="R301" s="39" t="str">
        <f>IF(AND(Q301=1,'Plant Total by Account'!$J$1=2),"EKWRA","")</f>
        <v/>
      </c>
    </row>
    <row r="302" spans="1:18" x14ac:dyDescent="0.2">
      <c r="A302" s="31" t="s">
        <v>2860</v>
      </c>
      <c r="B302" s="36" t="s">
        <v>398</v>
      </c>
      <c r="C302" s="504" t="s">
        <v>3353</v>
      </c>
      <c r="D302" s="42">
        <v>1738.77</v>
      </c>
      <c r="E302" s="42">
        <v>16676.45</v>
      </c>
      <c r="F302" s="42">
        <v>1064892.6700000002</v>
      </c>
      <c r="G302" s="581">
        <f t="shared" si="21"/>
        <v>1083307.8900000001</v>
      </c>
      <c r="H302" s="33">
        <v>0</v>
      </c>
      <c r="I302" s="33">
        <v>0</v>
      </c>
      <c r="J302" s="33">
        <v>0</v>
      </c>
      <c r="K302" s="33">
        <f t="shared" si="23"/>
        <v>1738.77</v>
      </c>
      <c r="L302" s="33">
        <f t="shared" si="24"/>
        <v>16676.45</v>
      </c>
      <c r="M302" s="33">
        <f t="shared" si="25"/>
        <v>1064892.6700000002</v>
      </c>
      <c r="N302" s="235">
        <f t="shared" si="22"/>
        <v>0</v>
      </c>
      <c r="O302" s="35" t="s">
        <v>3327</v>
      </c>
      <c r="P302" s="35"/>
      <c r="Q302" s="39">
        <f>SUMIF('Antelope Bailey Split BA'!$B$7:$B$29,B302,'Antelope Bailey Split BA'!$C$7:$C$29)</f>
        <v>0</v>
      </c>
      <c r="R302" s="39" t="str">
        <f>IF(AND(Q302=1,'Plant Total by Account'!$J$1=2),"EKWRA","")</f>
        <v/>
      </c>
    </row>
    <row r="303" spans="1:18" x14ac:dyDescent="0.2">
      <c r="A303" s="31" t="s">
        <v>2861</v>
      </c>
      <c r="B303" s="36" t="s">
        <v>399</v>
      </c>
      <c r="C303" s="504" t="s">
        <v>3353</v>
      </c>
      <c r="D303" s="42">
        <v>2788.23</v>
      </c>
      <c r="E303" s="42">
        <v>40519.31</v>
      </c>
      <c r="F303" s="42">
        <v>403610.14999999991</v>
      </c>
      <c r="G303" s="581">
        <f t="shared" si="21"/>
        <v>446917.68999999989</v>
      </c>
      <c r="H303" s="33">
        <v>0</v>
      </c>
      <c r="I303" s="33">
        <v>0</v>
      </c>
      <c r="J303" s="33">
        <v>0</v>
      </c>
      <c r="K303" s="33">
        <f t="shared" si="23"/>
        <v>2788.23</v>
      </c>
      <c r="L303" s="33">
        <f t="shared" si="24"/>
        <v>40519.31</v>
      </c>
      <c r="M303" s="33">
        <f t="shared" si="25"/>
        <v>403610.14999999991</v>
      </c>
      <c r="N303" s="235">
        <f t="shared" si="22"/>
        <v>0</v>
      </c>
      <c r="O303" s="35" t="s">
        <v>3327</v>
      </c>
      <c r="P303" s="35"/>
      <c r="Q303" s="39">
        <f>SUMIF('Antelope Bailey Split BA'!$B$7:$B$29,B303,'Antelope Bailey Split BA'!$C$7:$C$29)</f>
        <v>0</v>
      </c>
      <c r="R303" s="39" t="str">
        <f>IF(AND(Q303=1,'Plant Total by Account'!$J$1=2),"EKWRA","")</f>
        <v/>
      </c>
    </row>
    <row r="304" spans="1:18" x14ac:dyDescent="0.2">
      <c r="A304" s="31" t="s">
        <v>2862</v>
      </c>
      <c r="B304" s="36" t="s">
        <v>400</v>
      </c>
      <c r="C304" s="504" t="s">
        <v>3353</v>
      </c>
      <c r="D304" s="42">
        <v>6973.4000000000005</v>
      </c>
      <c r="E304" s="42">
        <v>34506.620000000003</v>
      </c>
      <c r="F304" s="42">
        <v>628548.54999999993</v>
      </c>
      <c r="G304" s="581">
        <f t="shared" si="21"/>
        <v>670028.56999999995</v>
      </c>
      <c r="H304" s="33">
        <v>0</v>
      </c>
      <c r="I304" s="33">
        <v>0</v>
      </c>
      <c r="J304" s="33">
        <v>0</v>
      </c>
      <c r="K304" s="33">
        <f t="shared" si="23"/>
        <v>6973.4000000000005</v>
      </c>
      <c r="L304" s="33">
        <f t="shared" si="24"/>
        <v>34506.620000000003</v>
      </c>
      <c r="M304" s="33">
        <f t="shared" si="25"/>
        <v>628548.54999999993</v>
      </c>
      <c r="N304" s="235">
        <f t="shared" si="22"/>
        <v>0</v>
      </c>
      <c r="O304" s="35" t="s">
        <v>3327</v>
      </c>
      <c r="P304" s="35"/>
      <c r="Q304" s="39">
        <f>SUMIF('Antelope Bailey Split BA'!$B$7:$B$29,B304,'Antelope Bailey Split BA'!$C$7:$C$29)</f>
        <v>0</v>
      </c>
      <c r="R304" s="39" t="str">
        <f>IF(AND(Q304=1,'Plant Total by Account'!$J$1=2),"EKWRA","")</f>
        <v/>
      </c>
    </row>
    <row r="305" spans="1:18" x14ac:dyDescent="0.2">
      <c r="A305" s="31" t="s">
        <v>2439</v>
      </c>
      <c r="B305" s="36" t="s">
        <v>401</v>
      </c>
      <c r="C305" s="504" t="s">
        <v>3352</v>
      </c>
      <c r="D305" s="42">
        <v>0</v>
      </c>
      <c r="E305" s="42">
        <v>4794.12</v>
      </c>
      <c r="F305" s="42">
        <v>233784.96000000005</v>
      </c>
      <c r="G305" s="581">
        <f t="shared" si="21"/>
        <v>238579.08000000005</v>
      </c>
      <c r="H305" s="33">
        <v>0</v>
      </c>
      <c r="I305" s="33">
        <v>0</v>
      </c>
      <c r="J305" s="33">
        <v>0</v>
      </c>
      <c r="K305" s="33">
        <f t="shared" si="23"/>
        <v>0</v>
      </c>
      <c r="L305" s="33">
        <f t="shared" si="24"/>
        <v>4794.12</v>
      </c>
      <c r="M305" s="33">
        <f t="shared" si="25"/>
        <v>233784.96000000005</v>
      </c>
      <c r="N305" s="235">
        <f t="shared" si="22"/>
        <v>0</v>
      </c>
      <c r="O305" s="35" t="s">
        <v>3327</v>
      </c>
      <c r="P305" s="35"/>
      <c r="Q305" s="39">
        <f>SUMIF('Antelope Bailey Split BA'!$B$7:$B$29,B305,'Antelope Bailey Split BA'!$C$7:$C$29)</f>
        <v>0</v>
      </c>
      <c r="R305" s="39" t="str">
        <f>IF(AND(Q305=1,'Plant Total by Account'!$J$1=2),"EKWRA","")</f>
        <v/>
      </c>
    </row>
    <row r="306" spans="1:18" x14ac:dyDescent="0.2">
      <c r="A306" s="31" t="s">
        <v>2863</v>
      </c>
      <c r="B306" s="36" t="s">
        <v>402</v>
      </c>
      <c r="C306" s="504" t="s">
        <v>3353</v>
      </c>
      <c r="D306" s="42">
        <v>7155.5</v>
      </c>
      <c r="E306" s="42">
        <v>25622.080000000002</v>
      </c>
      <c r="F306" s="42">
        <v>871253.77</v>
      </c>
      <c r="G306" s="581">
        <f t="shared" si="21"/>
        <v>904031.35</v>
      </c>
      <c r="H306" s="33">
        <v>0</v>
      </c>
      <c r="I306" s="33">
        <v>0</v>
      </c>
      <c r="J306" s="33">
        <v>0</v>
      </c>
      <c r="K306" s="33">
        <f t="shared" si="23"/>
        <v>7155.5</v>
      </c>
      <c r="L306" s="33">
        <f t="shared" si="24"/>
        <v>25622.080000000002</v>
      </c>
      <c r="M306" s="33">
        <f t="shared" si="25"/>
        <v>871253.77</v>
      </c>
      <c r="N306" s="235">
        <f t="shared" si="22"/>
        <v>0</v>
      </c>
      <c r="O306" s="35" t="s">
        <v>3327</v>
      </c>
      <c r="P306" s="35"/>
      <c r="Q306" s="39">
        <f>SUMIF('Antelope Bailey Split BA'!$B$7:$B$29,B306,'Antelope Bailey Split BA'!$C$7:$C$29)</f>
        <v>0</v>
      </c>
      <c r="R306" s="39" t="str">
        <f>IF(AND(Q306=1,'Plant Total by Account'!$J$1=2),"EKWRA","")</f>
        <v/>
      </c>
    </row>
    <row r="307" spans="1:18" x14ac:dyDescent="0.2">
      <c r="A307" s="31" t="s">
        <v>2864</v>
      </c>
      <c r="B307" s="36" t="s">
        <v>403</v>
      </c>
      <c r="C307" s="504" t="s">
        <v>3353</v>
      </c>
      <c r="D307" s="42">
        <v>0</v>
      </c>
      <c r="E307" s="42">
        <v>362250.79</v>
      </c>
      <c r="F307" s="42">
        <v>1655699.0799999998</v>
      </c>
      <c r="G307" s="581">
        <f t="shared" si="21"/>
        <v>2017949.8699999999</v>
      </c>
      <c r="H307" s="33">
        <v>0</v>
      </c>
      <c r="I307" s="33">
        <v>0</v>
      </c>
      <c r="J307" s="33">
        <v>0</v>
      </c>
      <c r="K307" s="33">
        <f t="shared" si="23"/>
        <v>0</v>
      </c>
      <c r="L307" s="33">
        <f t="shared" si="24"/>
        <v>362250.79</v>
      </c>
      <c r="M307" s="33">
        <f t="shared" si="25"/>
        <v>1655699.0799999998</v>
      </c>
      <c r="N307" s="235">
        <f t="shared" si="22"/>
        <v>0</v>
      </c>
      <c r="O307" s="35" t="s">
        <v>3327</v>
      </c>
      <c r="P307" s="35"/>
      <c r="Q307" s="39">
        <f>SUMIF('Antelope Bailey Split BA'!$B$7:$B$29,B307,'Antelope Bailey Split BA'!$C$7:$C$29)</f>
        <v>0</v>
      </c>
      <c r="R307" s="39" t="str">
        <f>IF(AND(Q307=1,'Plant Total by Account'!$J$1=2),"EKWRA","")</f>
        <v/>
      </c>
    </row>
    <row r="308" spans="1:18" ht="12.75" customHeight="1" x14ac:dyDescent="0.2">
      <c r="A308" s="31" t="s">
        <v>2440</v>
      </c>
      <c r="B308" s="36" t="s">
        <v>404</v>
      </c>
      <c r="C308" s="504" t="s">
        <v>3353</v>
      </c>
      <c r="D308" s="42">
        <v>678.89</v>
      </c>
      <c r="E308" s="42">
        <v>12925.800000000001</v>
      </c>
      <c r="F308" s="42">
        <v>1172975.2800000005</v>
      </c>
      <c r="G308" s="581">
        <f>SUM(D308:F308)</f>
        <v>1186579.9700000004</v>
      </c>
      <c r="H308" s="33">
        <v>0</v>
      </c>
      <c r="I308" s="33">
        <v>0</v>
      </c>
      <c r="J308" s="33">
        <v>0</v>
      </c>
      <c r="K308" s="33">
        <f>D308</f>
        <v>678.89</v>
      </c>
      <c r="L308" s="33">
        <f>E308</f>
        <v>12925.800000000001</v>
      </c>
      <c r="M308" s="33">
        <f>F308</f>
        <v>1172975.2800000005</v>
      </c>
      <c r="N308" s="235">
        <f>G308-SUM(H308:M308)</f>
        <v>0</v>
      </c>
      <c r="O308" s="35" t="s">
        <v>3327</v>
      </c>
      <c r="P308" s="35"/>
      <c r="Q308" s="39">
        <f>SUMIF('Antelope Bailey Split BA'!$B$7:$B$29,B308,'Antelope Bailey Split BA'!$C$7:$C$29)</f>
        <v>1</v>
      </c>
      <c r="R308" s="39" t="str">
        <f>IF(AND(Q308=1,'Plant Total by Account'!$J$1=2),"EKWRA","")</f>
        <v>EKWRA</v>
      </c>
    </row>
    <row r="309" spans="1:18" ht="12.75" customHeight="1" x14ac:dyDescent="0.2">
      <c r="A309" s="31" t="s">
        <v>2441</v>
      </c>
      <c r="B309" s="36" t="s">
        <v>405</v>
      </c>
      <c r="C309" s="504" t="s">
        <v>3353</v>
      </c>
      <c r="D309" s="42">
        <v>295.7</v>
      </c>
      <c r="E309" s="42">
        <v>640438.54999999993</v>
      </c>
      <c r="F309" s="42">
        <v>8271511.7800000031</v>
      </c>
      <c r="G309" s="581">
        <f t="shared" si="21"/>
        <v>8912246.0300000031</v>
      </c>
      <c r="H309" s="33">
        <v>0</v>
      </c>
      <c r="I309" s="33">
        <v>0</v>
      </c>
      <c r="J309" s="33">
        <v>0</v>
      </c>
      <c r="K309" s="129">
        <f t="shared" si="23"/>
        <v>295.7</v>
      </c>
      <c r="L309" s="129">
        <f t="shared" si="24"/>
        <v>640438.54999999993</v>
      </c>
      <c r="M309" s="129">
        <f t="shared" si="25"/>
        <v>8271511.7800000031</v>
      </c>
      <c r="N309" s="235">
        <f t="shared" si="22"/>
        <v>0</v>
      </c>
      <c r="O309" s="35" t="s">
        <v>3327</v>
      </c>
      <c r="P309" s="35"/>
      <c r="Q309" s="39">
        <f>SUMIF('Antelope Bailey Split BA'!$B$7:$B$29,B309,'Antelope Bailey Split BA'!$C$7:$C$29)</f>
        <v>1</v>
      </c>
      <c r="R309" s="39" t="str">
        <f>IF(AND(Q309=1,'Plant Total by Account'!$J$1=2),"EKWRA","")</f>
        <v>EKWRA</v>
      </c>
    </row>
    <row r="310" spans="1:18" x14ac:dyDescent="0.2">
      <c r="A310" s="31" t="s">
        <v>2865</v>
      </c>
      <c r="B310" s="36" t="s">
        <v>406</v>
      </c>
      <c r="C310" s="504" t="s">
        <v>3353</v>
      </c>
      <c r="D310" s="42">
        <v>43083.57</v>
      </c>
      <c r="E310" s="42">
        <v>1482.22</v>
      </c>
      <c r="F310" s="42">
        <v>2603967.0700000003</v>
      </c>
      <c r="G310" s="581">
        <f t="shared" si="21"/>
        <v>2648532.8600000003</v>
      </c>
      <c r="H310" s="33">
        <v>0</v>
      </c>
      <c r="I310" s="33">
        <v>0</v>
      </c>
      <c r="J310" s="33">
        <v>0</v>
      </c>
      <c r="K310" s="33">
        <f t="shared" si="23"/>
        <v>43083.57</v>
      </c>
      <c r="L310" s="33">
        <f t="shared" si="24"/>
        <v>1482.22</v>
      </c>
      <c r="M310" s="33">
        <f t="shared" si="25"/>
        <v>2603967.0700000003</v>
      </c>
      <c r="N310" s="235">
        <f t="shared" si="22"/>
        <v>0</v>
      </c>
      <c r="O310" s="35" t="s">
        <v>3327</v>
      </c>
      <c r="P310" s="35"/>
      <c r="Q310" s="39">
        <f>SUMIF('Antelope Bailey Split BA'!$B$7:$B$29,B310,'Antelope Bailey Split BA'!$C$7:$C$29)</f>
        <v>0</v>
      </c>
      <c r="R310" s="39" t="str">
        <f>IF(AND(Q310=1,'Plant Total by Account'!$J$1=2),"EKWRA","")</f>
        <v/>
      </c>
    </row>
    <row r="311" spans="1:18" x14ac:dyDescent="0.2">
      <c r="A311" s="31" t="s">
        <v>2866</v>
      </c>
      <c r="B311" s="36" t="s">
        <v>407</v>
      </c>
      <c r="C311" s="504" t="s">
        <v>3353</v>
      </c>
      <c r="D311" s="42">
        <v>12560.53</v>
      </c>
      <c r="E311" s="42">
        <v>16137.58</v>
      </c>
      <c r="F311" s="42">
        <v>737610.26999999979</v>
      </c>
      <c r="G311" s="581">
        <f t="shared" si="21"/>
        <v>766308.37999999977</v>
      </c>
      <c r="H311" s="33">
        <v>0</v>
      </c>
      <c r="I311" s="33">
        <v>0</v>
      </c>
      <c r="J311" s="33">
        <v>0</v>
      </c>
      <c r="K311" s="33">
        <f t="shared" si="23"/>
        <v>12560.53</v>
      </c>
      <c r="L311" s="33">
        <f t="shared" si="24"/>
        <v>16137.58</v>
      </c>
      <c r="M311" s="33">
        <f t="shared" si="25"/>
        <v>737610.26999999979</v>
      </c>
      <c r="N311" s="235">
        <f t="shared" si="22"/>
        <v>0</v>
      </c>
      <c r="O311" s="35" t="s">
        <v>3327</v>
      </c>
      <c r="P311" s="35"/>
      <c r="Q311" s="39">
        <f>SUMIF('Antelope Bailey Split BA'!$B$7:$B$29,B311,'Antelope Bailey Split BA'!$C$7:$C$29)</f>
        <v>0</v>
      </c>
      <c r="R311" s="39" t="str">
        <f>IF(AND(Q311=1,'Plant Total by Account'!$J$1=2),"EKWRA","")</f>
        <v/>
      </c>
    </row>
    <row r="312" spans="1:18" x14ac:dyDescent="0.2">
      <c r="A312" s="31" t="s">
        <v>2867</v>
      </c>
      <c r="B312" s="36" t="s">
        <v>408</v>
      </c>
      <c r="C312" s="504" t="s">
        <v>3353</v>
      </c>
      <c r="D312" s="42">
        <v>3467.7400000000002</v>
      </c>
      <c r="E312" s="42">
        <v>13192.74</v>
      </c>
      <c r="F312" s="42">
        <v>43671.840000000004</v>
      </c>
      <c r="G312" s="581">
        <f t="shared" si="21"/>
        <v>60332.320000000007</v>
      </c>
      <c r="H312" s="33">
        <v>0</v>
      </c>
      <c r="I312" s="33">
        <v>0</v>
      </c>
      <c r="J312" s="33">
        <v>0</v>
      </c>
      <c r="K312" s="33">
        <f t="shared" si="23"/>
        <v>3467.7400000000002</v>
      </c>
      <c r="L312" s="33">
        <f t="shared" si="24"/>
        <v>13192.74</v>
      </c>
      <c r="M312" s="33">
        <f t="shared" si="25"/>
        <v>43671.840000000004</v>
      </c>
      <c r="N312" s="235">
        <f t="shared" si="22"/>
        <v>0</v>
      </c>
      <c r="O312" s="35" t="s">
        <v>3327</v>
      </c>
      <c r="P312" s="35"/>
      <c r="Q312" s="39">
        <f>SUMIF('Antelope Bailey Split BA'!$B$7:$B$29,B312,'Antelope Bailey Split BA'!$C$7:$C$29)</f>
        <v>0</v>
      </c>
      <c r="R312" s="39" t="str">
        <f>IF(AND(Q312=1,'Plant Total by Account'!$J$1=2),"EKWRA","")</f>
        <v/>
      </c>
    </row>
    <row r="313" spans="1:18" ht="12.75" customHeight="1" x14ac:dyDescent="0.2">
      <c r="A313" s="31" t="s">
        <v>2868</v>
      </c>
      <c r="B313" s="36" t="s">
        <v>409</v>
      </c>
      <c r="C313" s="504" t="s">
        <v>3353</v>
      </c>
      <c r="D313" s="42">
        <v>35760.450000000004</v>
      </c>
      <c r="E313" s="42">
        <v>0</v>
      </c>
      <c r="F313" s="42">
        <v>319855.35999999993</v>
      </c>
      <c r="G313" s="581">
        <f t="shared" si="21"/>
        <v>355615.80999999994</v>
      </c>
      <c r="H313" s="33">
        <v>0</v>
      </c>
      <c r="I313" s="33">
        <v>0</v>
      </c>
      <c r="J313" s="33">
        <v>0</v>
      </c>
      <c r="K313" s="33">
        <f t="shared" si="23"/>
        <v>35760.450000000004</v>
      </c>
      <c r="L313" s="33">
        <f t="shared" si="24"/>
        <v>0</v>
      </c>
      <c r="M313" s="33">
        <f t="shared" si="25"/>
        <v>319855.35999999993</v>
      </c>
      <c r="N313" s="235">
        <f t="shared" si="22"/>
        <v>0</v>
      </c>
      <c r="O313" s="35" t="s">
        <v>3327</v>
      </c>
      <c r="P313" s="35"/>
      <c r="Q313" s="39">
        <f>SUMIF('Antelope Bailey Split BA'!$B$7:$B$29,B313,'Antelope Bailey Split BA'!$C$7:$C$29)</f>
        <v>0</v>
      </c>
      <c r="R313" s="39" t="str">
        <f>IF(AND(Q313=1,'Plant Total by Account'!$J$1=2),"EKWRA","")</f>
        <v/>
      </c>
    </row>
    <row r="314" spans="1:18" x14ac:dyDescent="0.2">
      <c r="A314" s="31" t="s">
        <v>2869</v>
      </c>
      <c r="B314" s="36" t="s">
        <v>411</v>
      </c>
      <c r="C314" s="504" t="s">
        <v>3353</v>
      </c>
      <c r="D314" s="42">
        <v>0</v>
      </c>
      <c r="E314" s="42">
        <v>30744.120000000003</v>
      </c>
      <c r="F314" s="42">
        <v>346029.92000000004</v>
      </c>
      <c r="G314" s="581">
        <f t="shared" si="21"/>
        <v>376774.04000000004</v>
      </c>
      <c r="H314" s="33">
        <v>0</v>
      </c>
      <c r="I314" s="33">
        <v>0</v>
      </c>
      <c r="J314" s="33">
        <v>0</v>
      </c>
      <c r="K314" s="33">
        <f t="shared" si="23"/>
        <v>0</v>
      </c>
      <c r="L314" s="33">
        <f t="shared" si="24"/>
        <v>30744.120000000003</v>
      </c>
      <c r="M314" s="33">
        <f t="shared" si="25"/>
        <v>346029.92000000004</v>
      </c>
      <c r="N314" s="235">
        <f t="shared" si="22"/>
        <v>0</v>
      </c>
      <c r="O314" s="35" t="s">
        <v>3327</v>
      </c>
      <c r="P314" s="35"/>
      <c r="Q314" s="39">
        <f>SUMIF('Antelope Bailey Split BA'!$B$7:$B$29,B314,'Antelope Bailey Split BA'!$C$7:$C$29)</f>
        <v>0</v>
      </c>
      <c r="R314" s="39" t="str">
        <f>IF(AND(Q314=1,'Plant Total by Account'!$J$1=2),"EKWRA","")</f>
        <v/>
      </c>
    </row>
    <row r="315" spans="1:18" x14ac:dyDescent="0.2">
      <c r="A315" s="31" t="s">
        <v>2870</v>
      </c>
      <c r="B315" s="36" t="s">
        <v>412</v>
      </c>
      <c r="C315" s="504" t="s">
        <v>3353</v>
      </c>
      <c r="D315" s="42">
        <v>39443.040000000001</v>
      </c>
      <c r="E315" s="42">
        <v>87535.85</v>
      </c>
      <c r="F315" s="42">
        <v>601357.89000000013</v>
      </c>
      <c r="G315" s="581">
        <f t="shared" si="21"/>
        <v>728336.78000000014</v>
      </c>
      <c r="H315" s="33">
        <v>0</v>
      </c>
      <c r="I315" s="33">
        <v>0</v>
      </c>
      <c r="J315" s="33">
        <v>0</v>
      </c>
      <c r="K315" s="33">
        <f t="shared" si="23"/>
        <v>39443.040000000001</v>
      </c>
      <c r="L315" s="33">
        <f t="shared" si="24"/>
        <v>87535.85</v>
      </c>
      <c r="M315" s="33">
        <f t="shared" si="25"/>
        <v>601357.89000000013</v>
      </c>
      <c r="N315" s="235">
        <f t="shared" si="22"/>
        <v>0</v>
      </c>
      <c r="O315" s="35" t="s">
        <v>3327</v>
      </c>
      <c r="P315" s="35"/>
      <c r="Q315" s="39">
        <f>SUMIF('Antelope Bailey Split BA'!$B$7:$B$29,B315,'Antelope Bailey Split BA'!$C$7:$C$29)</f>
        <v>0</v>
      </c>
      <c r="R315" s="39" t="str">
        <f>IF(AND(Q315=1,'Plant Total by Account'!$J$1=2),"EKWRA","")</f>
        <v/>
      </c>
    </row>
    <row r="316" spans="1:18" x14ac:dyDescent="0.2">
      <c r="A316" s="31" t="s">
        <v>2871</v>
      </c>
      <c r="B316" s="32" t="s">
        <v>413</v>
      </c>
      <c r="C316" s="504" t="s">
        <v>3353</v>
      </c>
      <c r="D316" s="42">
        <v>0</v>
      </c>
      <c r="E316" s="42">
        <v>0</v>
      </c>
      <c r="F316" s="42">
        <v>162821.85</v>
      </c>
      <c r="G316" s="581">
        <f t="shared" si="21"/>
        <v>162821.85</v>
      </c>
      <c r="H316" s="33">
        <v>0</v>
      </c>
      <c r="I316" s="33">
        <v>0</v>
      </c>
      <c r="J316" s="33">
        <v>0</v>
      </c>
      <c r="K316" s="33">
        <f t="shared" si="23"/>
        <v>0</v>
      </c>
      <c r="L316" s="33">
        <f t="shared" si="24"/>
        <v>0</v>
      </c>
      <c r="M316" s="33">
        <f t="shared" si="25"/>
        <v>162821.85</v>
      </c>
      <c r="N316" s="235">
        <f t="shared" si="22"/>
        <v>0</v>
      </c>
      <c r="O316" s="35" t="s">
        <v>3327</v>
      </c>
      <c r="P316" s="35"/>
      <c r="Q316" s="39">
        <f>SUMIF('Antelope Bailey Split BA'!$B$7:$B$29,B316,'Antelope Bailey Split BA'!$C$7:$C$29)</f>
        <v>0</v>
      </c>
      <c r="R316" s="39" t="str">
        <f>IF(AND(Q316=1,'Plant Total by Account'!$J$1=2),"EKWRA","")</f>
        <v/>
      </c>
    </row>
    <row r="317" spans="1:18" x14ac:dyDescent="0.2">
      <c r="A317" s="31" t="s">
        <v>2872</v>
      </c>
      <c r="B317" s="36" t="s">
        <v>414</v>
      </c>
      <c r="C317" s="504" t="s">
        <v>3353</v>
      </c>
      <c r="D317" s="42">
        <v>6241.06</v>
      </c>
      <c r="E317" s="42">
        <v>20596.02</v>
      </c>
      <c r="F317" s="42">
        <v>552743.07000000007</v>
      </c>
      <c r="G317" s="581">
        <f t="shared" si="21"/>
        <v>579580.15</v>
      </c>
      <c r="H317" s="33">
        <v>0</v>
      </c>
      <c r="I317" s="33">
        <v>0</v>
      </c>
      <c r="J317" s="33">
        <v>0</v>
      </c>
      <c r="K317" s="33">
        <f t="shared" si="23"/>
        <v>6241.06</v>
      </c>
      <c r="L317" s="33">
        <f t="shared" si="24"/>
        <v>20596.02</v>
      </c>
      <c r="M317" s="33">
        <f t="shared" si="25"/>
        <v>552743.07000000007</v>
      </c>
      <c r="N317" s="235">
        <f t="shared" si="22"/>
        <v>0</v>
      </c>
      <c r="O317" s="35" t="s">
        <v>3327</v>
      </c>
      <c r="P317" s="35"/>
      <c r="Q317" s="39">
        <f>SUMIF('Antelope Bailey Split BA'!$B$7:$B$29,B317,'Antelope Bailey Split BA'!$C$7:$C$29)</f>
        <v>0</v>
      </c>
      <c r="R317" s="39" t="str">
        <f>IF(AND(Q317=1,'Plant Total by Account'!$J$1=2),"EKWRA","")</f>
        <v/>
      </c>
    </row>
    <row r="318" spans="1:18" x14ac:dyDescent="0.2">
      <c r="A318" s="31" t="s">
        <v>2873</v>
      </c>
      <c r="B318" s="36" t="s">
        <v>415</v>
      </c>
      <c r="C318" s="504" t="s">
        <v>3353</v>
      </c>
      <c r="D318" s="42">
        <v>0</v>
      </c>
      <c r="E318" s="42">
        <v>10138.09</v>
      </c>
      <c r="F318" s="42">
        <v>292628.34000000003</v>
      </c>
      <c r="G318" s="581">
        <f t="shared" si="21"/>
        <v>302766.43000000005</v>
      </c>
      <c r="H318" s="33">
        <v>0</v>
      </c>
      <c r="I318" s="33">
        <v>0</v>
      </c>
      <c r="J318" s="33">
        <v>0</v>
      </c>
      <c r="K318" s="33">
        <f t="shared" si="23"/>
        <v>0</v>
      </c>
      <c r="L318" s="33">
        <f t="shared" si="24"/>
        <v>10138.09</v>
      </c>
      <c r="M318" s="33">
        <f t="shared" si="25"/>
        <v>292628.34000000003</v>
      </c>
      <c r="N318" s="235">
        <f t="shared" si="22"/>
        <v>0</v>
      </c>
      <c r="O318" s="35" t="s">
        <v>3327</v>
      </c>
      <c r="P318" s="35"/>
      <c r="Q318" s="39">
        <f>SUMIF('Antelope Bailey Split BA'!$B$7:$B$29,B318,'Antelope Bailey Split BA'!$C$7:$C$29)</f>
        <v>0</v>
      </c>
      <c r="R318" s="39" t="str">
        <f>IF(AND(Q318=1,'Plant Total by Account'!$J$1=2),"EKWRA","")</f>
        <v/>
      </c>
    </row>
    <row r="319" spans="1:18" x14ac:dyDescent="0.2">
      <c r="A319" s="31" t="s">
        <v>2874</v>
      </c>
      <c r="B319" s="36" t="s">
        <v>416</v>
      </c>
      <c r="C319" s="504" t="s">
        <v>3353</v>
      </c>
      <c r="D319" s="42">
        <v>36251.520000000004</v>
      </c>
      <c r="E319" s="42">
        <v>19027.91</v>
      </c>
      <c r="F319" s="42">
        <v>2204413.5499999998</v>
      </c>
      <c r="G319" s="581">
        <f t="shared" si="21"/>
        <v>2259692.98</v>
      </c>
      <c r="H319" s="33">
        <v>0</v>
      </c>
      <c r="I319" s="33">
        <v>0</v>
      </c>
      <c r="J319" s="33">
        <v>0</v>
      </c>
      <c r="K319" s="33">
        <f t="shared" si="23"/>
        <v>36251.520000000004</v>
      </c>
      <c r="L319" s="33">
        <f t="shared" si="24"/>
        <v>19027.91</v>
      </c>
      <c r="M319" s="33">
        <f t="shared" si="25"/>
        <v>2204413.5499999998</v>
      </c>
      <c r="N319" s="235">
        <f t="shared" si="22"/>
        <v>0</v>
      </c>
      <c r="O319" s="35" t="s">
        <v>3327</v>
      </c>
      <c r="P319" s="35"/>
      <c r="Q319" s="39">
        <f>SUMIF('Antelope Bailey Split BA'!$B$7:$B$29,B319,'Antelope Bailey Split BA'!$C$7:$C$29)</f>
        <v>0</v>
      </c>
      <c r="R319" s="39" t="str">
        <f>IF(AND(Q319=1,'Plant Total by Account'!$J$1=2),"EKWRA","")</f>
        <v/>
      </c>
    </row>
    <row r="320" spans="1:18" x14ac:dyDescent="0.2">
      <c r="A320" s="31" t="s">
        <v>2875</v>
      </c>
      <c r="B320" s="36" t="s">
        <v>417</v>
      </c>
      <c r="C320" s="504" t="s">
        <v>3353</v>
      </c>
      <c r="D320" s="42">
        <v>0</v>
      </c>
      <c r="E320" s="42">
        <v>62485.08</v>
      </c>
      <c r="F320" s="42">
        <v>1036759.7100000001</v>
      </c>
      <c r="G320" s="581">
        <f t="shared" si="21"/>
        <v>1099244.79</v>
      </c>
      <c r="H320" s="33">
        <v>0</v>
      </c>
      <c r="I320" s="33">
        <v>0</v>
      </c>
      <c r="J320" s="33">
        <v>0</v>
      </c>
      <c r="K320" s="33">
        <f t="shared" si="23"/>
        <v>0</v>
      </c>
      <c r="L320" s="33">
        <f t="shared" si="24"/>
        <v>62485.08</v>
      </c>
      <c r="M320" s="33">
        <f t="shared" si="25"/>
        <v>1036759.7100000001</v>
      </c>
      <c r="N320" s="235">
        <f t="shared" si="22"/>
        <v>0</v>
      </c>
      <c r="O320" s="35" t="s">
        <v>3327</v>
      </c>
      <c r="P320" s="35"/>
      <c r="Q320" s="39">
        <f>SUMIF('Antelope Bailey Split BA'!$B$7:$B$29,B320,'Antelope Bailey Split BA'!$C$7:$C$29)</f>
        <v>0</v>
      </c>
      <c r="R320" s="39" t="str">
        <f>IF(AND(Q320=1,'Plant Total by Account'!$J$1=2),"EKWRA","")</f>
        <v/>
      </c>
    </row>
    <row r="321" spans="1:18" x14ac:dyDescent="0.2">
      <c r="A321" s="31" t="s">
        <v>2443</v>
      </c>
      <c r="B321" s="36" t="s">
        <v>1173</v>
      </c>
      <c r="C321" s="504" t="s">
        <v>3353</v>
      </c>
      <c r="D321" s="42">
        <v>0</v>
      </c>
      <c r="E321" s="42">
        <v>499193.55999999994</v>
      </c>
      <c r="F321" s="42">
        <v>11262479.239999991</v>
      </c>
      <c r="G321" s="581">
        <f t="shared" si="21"/>
        <v>11761672.799999991</v>
      </c>
      <c r="H321" s="33">
        <v>0</v>
      </c>
      <c r="I321" s="33">
        <v>0</v>
      </c>
      <c r="J321" s="33">
        <v>0</v>
      </c>
      <c r="K321" s="33">
        <f t="shared" si="23"/>
        <v>0</v>
      </c>
      <c r="L321" s="33">
        <f t="shared" si="24"/>
        <v>499193.55999999994</v>
      </c>
      <c r="M321" s="33">
        <f t="shared" si="25"/>
        <v>11262479.239999991</v>
      </c>
      <c r="N321" s="235">
        <f t="shared" si="22"/>
        <v>0</v>
      </c>
      <c r="O321" s="35" t="s">
        <v>3327</v>
      </c>
      <c r="P321" s="35"/>
      <c r="Q321" s="39">
        <f>SUMIF('Antelope Bailey Split BA'!$B$7:$B$29,B321,'Antelope Bailey Split BA'!$C$7:$C$29)</f>
        <v>0</v>
      </c>
      <c r="R321" s="39" t="str">
        <f>IF(AND(Q321=1,'Plant Total by Account'!$J$1=2),"EKWRA","")</f>
        <v/>
      </c>
    </row>
    <row r="322" spans="1:18" x14ac:dyDescent="0.2">
      <c r="A322" s="31" t="s">
        <v>2876</v>
      </c>
      <c r="B322" s="97" t="s">
        <v>418</v>
      </c>
      <c r="C322" s="504" t="s">
        <v>3353</v>
      </c>
      <c r="D322" s="42">
        <v>0</v>
      </c>
      <c r="E322" s="42">
        <v>0</v>
      </c>
      <c r="F322" s="42">
        <v>6671.15</v>
      </c>
      <c r="G322" s="581">
        <f t="shared" si="21"/>
        <v>6671.15</v>
      </c>
      <c r="H322" s="33">
        <v>0</v>
      </c>
      <c r="I322" s="33">
        <v>0</v>
      </c>
      <c r="J322" s="33">
        <v>0</v>
      </c>
      <c r="K322" s="33">
        <f t="shared" si="23"/>
        <v>0</v>
      </c>
      <c r="L322" s="33">
        <f t="shared" si="24"/>
        <v>0</v>
      </c>
      <c r="M322" s="33">
        <f t="shared" si="25"/>
        <v>6671.15</v>
      </c>
      <c r="N322" s="235">
        <f t="shared" si="22"/>
        <v>0</v>
      </c>
      <c r="O322" s="35" t="s">
        <v>3327</v>
      </c>
      <c r="P322" s="35"/>
      <c r="Q322" s="39">
        <f>SUMIF('Antelope Bailey Split BA'!$B$7:$B$29,B322,'Antelope Bailey Split BA'!$C$7:$C$29)</f>
        <v>0</v>
      </c>
      <c r="R322" s="39" t="str">
        <f>IF(AND(Q322=1,'Plant Total by Account'!$J$1=2),"EKWRA","")</f>
        <v/>
      </c>
    </row>
    <row r="323" spans="1:18" x14ac:dyDescent="0.2">
      <c r="A323" s="31" t="s">
        <v>2877</v>
      </c>
      <c r="B323" s="36" t="s">
        <v>419</v>
      </c>
      <c r="C323" s="504" t="s">
        <v>3353</v>
      </c>
      <c r="D323" s="42">
        <v>0</v>
      </c>
      <c r="E323" s="42">
        <v>35896.400000000001</v>
      </c>
      <c r="F323" s="42">
        <v>577017.86999999988</v>
      </c>
      <c r="G323" s="581">
        <f t="shared" si="21"/>
        <v>612914.2699999999</v>
      </c>
      <c r="H323" s="33">
        <v>0</v>
      </c>
      <c r="I323" s="33">
        <v>0</v>
      </c>
      <c r="J323" s="33">
        <v>0</v>
      </c>
      <c r="K323" s="33">
        <f t="shared" si="23"/>
        <v>0</v>
      </c>
      <c r="L323" s="33">
        <f t="shared" si="24"/>
        <v>35896.400000000001</v>
      </c>
      <c r="M323" s="33">
        <f t="shared" si="25"/>
        <v>577017.86999999988</v>
      </c>
      <c r="N323" s="235">
        <f t="shared" si="22"/>
        <v>0</v>
      </c>
      <c r="O323" s="35" t="s">
        <v>3327</v>
      </c>
      <c r="P323" s="35"/>
      <c r="Q323" s="39">
        <f>SUMIF('Antelope Bailey Split BA'!$B$7:$B$29,B323,'Antelope Bailey Split BA'!$C$7:$C$29)</f>
        <v>0</v>
      </c>
      <c r="R323" s="39" t="str">
        <f>IF(AND(Q323=1,'Plant Total by Account'!$J$1=2),"EKWRA","")</f>
        <v/>
      </c>
    </row>
    <row r="324" spans="1:18" x14ac:dyDescent="0.2">
      <c r="A324" s="31" t="s">
        <v>2878</v>
      </c>
      <c r="B324" s="36" t="s">
        <v>420</v>
      </c>
      <c r="C324" s="504" t="s">
        <v>3353</v>
      </c>
      <c r="D324" s="42">
        <v>0</v>
      </c>
      <c r="E324" s="42">
        <v>3673.62</v>
      </c>
      <c r="F324" s="42">
        <v>214229.25999999995</v>
      </c>
      <c r="G324" s="581">
        <f t="shared" si="21"/>
        <v>217902.87999999995</v>
      </c>
      <c r="H324" s="33">
        <v>0</v>
      </c>
      <c r="I324" s="33">
        <v>0</v>
      </c>
      <c r="J324" s="33">
        <v>0</v>
      </c>
      <c r="K324" s="33">
        <f t="shared" si="23"/>
        <v>0</v>
      </c>
      <c r="L324" s="33">
        <f t="shared" si="24"/>
        <v>3673.62</v>
      </c>
      <c r="M324" s="33">
        <f t="shared" si="25"/>
        <v>214229.25999999995</v>
      </c>
      <c r="N324" s="235">
        <f t="shared" si="22"/>
        <v>0</v>
      </c>
      <c r="O324" s="35" t="s">
        <v>3327</v>
      </c>
      <c r="P324" s="35"/>
      <c r="Q324" s="39">
        <f>SUMIF('Antelope Bailey Split BA'!$B$7:$B$29,B324,'Antelope Bailey Split BA'!$C$7:$C$29)</f>
        <v>0</v>
      </c>
      <c r="R324" s="39" t="str">
        <f>IF(AND(Q324=1,'Plant Total by Account'!$J$1=2),"EKWRA","")</f>
        <v/>
      </c>
    </row>
    <row r="325" spans="1:18" x14ac:dyDescent="0.2">
      <c r="A325" s="31" t="s">
        <v>2879</v>
      </c>
      <c r="B325" s="36" t="s">
        <v>421</v>
      </c>
      <c r="C325" s="504" t="s">
        <v>3353</v>
      </c>
      <c r="D325" s="42">
        <v>0</v>
      </c>
      <c r="E325" s="42">
        <v>0</v>
      </c>
      <c r="F325" s="42">
        <v>6798.8</v>
      </c>
      <c r="G325" s="581">
        <f t="shared" si="21"/>
        <v>6798.8</v>
      </c>
      <c r="H325" s="33">
        <v>0</v>
      </c>
      <c r="I325" s="33">
        <v>0</v>
      </c>
      <c r="J325" s="33">
        <v>0</v>
      </c>
      <c r="K325" s="33">
        <f t="shared" si="23"/>
        <v>0</v>
      </c>
      <c r="L325" s="33">
        <f t="shared" si="24"/>
        <v>0</v>
      </c>
      <c r="M325" s="33">
        <f t="shared" si="25"/>
        <v>6798.8</v>
      </c>
      <c r="N325" s="235">
        <f t="shared" si="22"/>
        <v>0</v>
      </c>
      <c r="O325" s="35" t="s">
        <v>3327</v>
      </c>
      <c r="P325" s="35"/>
      <c r="Q325" s="39">
        <f>SUMIF('Antelope Bailey Split BA'!$B$7:$B$29,B325,'Antelope Bailey Split BA'!$C$7:$C$29)</f>
        <v>0</v>
      </c>
      <c r="R325" s="39" t="str">
        <f>IF(AND(Q325=1,'Plant Total by Account'!$J$1=2),"EKWRA","")</f>
        <v/>
      </c>
    </row>
    <row r="326" spans="1:18" x14ac:dyDescent="0.2">
      <c r="A326" s="31" t="s">
        <v>2880</v>
      </c>
      <c r="B326" s="35" t="s">
        <v>422</v>
      </c>
      <c r="C326" s="504" t="s">
        <v>3353</v>
      </c>
      <c r="D326" s="42">
        <v>0</v>
      </c>
      <c r="E326" s="42">
        <v>0</v>
      </c>
      <c r="F326" s="42">
        <v>304629</v>
      </c>
      <c r="G326" s="581">
        <f t="shared" si="21"/>
        <v>304629</v>
      </c>
      <c r="H326" s="33">
        <v>0</v>
      </c>
      <c r="I326" s="33">
        <v>0</v>
      </c>
      <c r="J326" s="33">
        <v>0</v>
      </c>
      <c r="K326" s="33">
        <f t="shared" si="23"/>
        <v>0</v>
      </c>
      <c r="L326" s="33">
        <f t="shared" si="24"/>
        <v>0</v>
      </c>
      <c r="M326" s="33">
        <f t="shared" si="25"/>
        <v>304629</v>
      </c>
      <c r="N326" s="235">
        <f t="shared" si="22"/>
        <v>0</v>
      </c>
      <c r="O326" s="35" t="s">
        <v>3327</v>
      </c>
      <c r="P326" s="35"/>
      <c r="Q326" s="39">
        <f>SUMIF('Antelope Bailey Split BA'!$B$7:$B$29,B326,'Antelope Bailey Split BA'!$C$7:$C$29)</f>
        <v>0</v>
      </c>
      <c r="R326" s="39" t="str">
        <f>IF(AND(Q326=1,'Plant Total by Account'!$J$1=2),"EKWRA","")</f>
        <v/>
      </c>
    </row>
    <row r="327" spans="1:18" x14ac:dyDescent="0.2">
      <c r="A327" s="31" t="s">
        <v>2881</v>
      </c>
      <c r="B327" s="36" t="s">
        <v>423</v>
      </c>
      <c r="C327" s="504" t="s">
        <v>3353</v>
      </c>
      <c r="D327" s="42">
        <v>0</v>
      </c>
      <c r="E327" s="42">
        <v>0</v>
      </c>
      <c r="F327" s="42">
        <v>297941.99000000005</v>
      </c>
      <c r="G327" s="581">
        <f t="shared" si="21"/>
        <v>297941.99000000005</v>
      </c>
      <c r="H327" s="33">
        <v>0</v>
      </c>
      <c r="I327" s="33">
        <v>0</v>
      </c>
      <c r="J327" s="33">
        <v>0</v>
      </c>
      <c r="K327" s="33">
        <f t="shared" si="23"/>
        <v>0</v>
      </c>
      <c r="L327" s="33">
        <f t="shared" si="24"/>
        <v>0</v>
      </c>
      <c r="M327" s="33">
        <f t="shared" si="25"/>
        <v>297941.99000000005</v>
      </c>
      <c r="N327" s="235">
        <f t="shared" si="22"/>
        <v>0</v>
      </c>
      <c r="O327" s="35" t="s">
        <v>3327</v>
      </c>
      <c r="P327" s="35"/>
      <c r="Q327" s="39">
        <f>SUMIF('Antelope Bailey Split BA'!$B$7:$B$29,B327,'Antelope Bailey Split BA'!$C$7:$C$29)</f>
        <v>0</v>
      </c>
      <c r="R327" s="39" t="str">
        <f>IF(AND(Q327=1,'Plant Total by Account'!$J$1=2),"EKWRA","")</f>
        <v/>
      </c>
    </row>
    <row r="328" spans="1:18" x14ac:dyDescent="0.2">
      <c r="A328" s="31" t="s">
        <v>2882</v>
      </c>
      <c r="B328" s="36" t="s">
        <v>424</v>
      </c>
      <c r="C328" s="504" t="s">
        <v>3353</v>
      </c>
      <c r="D328" s="42">
        <v>0</v>
      </c>
      <c r="E328" s="42">
        <v>0</v>
      </c>
      <c r="F328" s="42">
        <v>40622.770000000004</v>
      </c>
      <c r="G328" s="581">
        <f t="shared" si="21"/>
        <v>40622.770000000004</v>
      </c>
      <c r="H328" s="33">
        <v>0</v>
      </c>
      <c r="I328" s="33">
        <v>0</v>
      </c>
      <c r="J328" s="33">
        <v>0</v>
      </c>
      <c r="K328" s="33">
        <f t="shared" si="23"/>
        <v>0</v>
      </c>
      <c r="L328" s="33">
        <f t="shared" si="24"/>
        <v>0</v>
      </c>
      <c r="M328" s="33">
        <f t="shared" si="25"/>
        <v>40622.770000000004</v>
      </c>
      <c r="N328" s="235">
        <f t="shared" si="22"/>
        <v>0</v>
      </c>
      <c r="O328" s="35" t="s">
        <v>3327</v>
      </c>
      <c r="P328" s="35"/>
      <c r="Q328" s="39">
        <f>SUMIF('Antelope Bailey Split BA'!$B$7:$B$29,B328,'Antelope Bailey Split BA'!$C$7:$C$29)</f>
        <v>0</v>
      </c>
      <c r="R328" s="39" t="str">
        <f>IF(AND(Q328=1,'Plant Total by Account'!$J$1=2),"EKWRA","")</f>
        <v/>
      </c>
    </row>
    <row r="329" spans="1:18" x14ac:dyDescent="0.2">
      <c r="A329" s="31" t="s">
        <v>2883</v>
      </c>
      <c r="B329" s="36" t="s">
        <v>425</v>
      </c>
      <c r="C329" s="504" t="s">
        <v>3353</v>
      </c>
      <c r="D329" s="42">
        <v>50341.71</v>
      </c>
      <c r="E329" s="42">
        <v>0</v>
      </c>
      <c r="F329" s="42">
        <v>480651.14000000025</v>
      </c>
      <c r="G329" s="581">
        <f t="shared" si="21"/>
        <v>530992.85000000021</v>
      </c>
      <c r="H329" s="33">
        <v>0</v>
      </c>
      <c r="I329" s="33">
        <v>0</v>
      </c>
      <c r="J329" s="33">
        <v>0</v>
      </c>
      <c r="K329" s="33">
        <f t="shared" si="23"/>
        <v>50341.71</v>
      </c>
      <c r="L329" s="33">
        <f t="shared" si="24"/>
        <v>0</v>
      </c>
      <c r="M329" s="33">
        <f t="shared" si="25"/>
        <v>480651.14000000025</v>
      </c>
      <c r="N329" s="235">
        <f t="shared" si="22"/>
        <v>0</v>
      </c>
      <c r="O329" s="35" t="s">
        <v>3327</v>
      </c>
      <c r="P329" s="35"/>
      <c r="Q329" s="39">
        <f>SUMIF('Antelope Bailey Split BA'!$B$7:$B$29,B329,'Antelope Bailey Split BA'!$C$7:$C$29)</f>
        <v>0</v>
      </c>
      <c r="R329" s="39" t="str">
        <f>IF(AND(Q329=1,'Plant Total by Account'!$J$1=2),"EKWRA","")</f>
        <v/>
      </c>
    </row>
    <row r="330" spans="1:18" x14ac:dyDescent="0.2">
      <c r="A330" s="31" t="s">
        <v>2884</v>
      </c>
      <c r="B330" s="36" t="s">
        <v>426</v>
      </c>
      <c r="C330" s="504" t="s">
        <v>3353</v>
      </c>
      <c r="D330" s="42">
        <v>0</v>
      </c>
      <c r="E330" s="42">
        <v>0</v>
      </c>
      <c r="F330" s="42">
        <v>87286.99</v>
      </c>
      <c r="G330" s="581">
        <f t="shared" si="21"/>
        <v>87286.99</v>
      </c>
      <c r="H330" s="33">
        <v>0</v>
      </c>
      <c r="I330" s="33">
        <v>0</v>
      </c>
      <c r="J330" s="33">
        <v>0</v>
      </c>
      <c r="K330" s="33">
        <f t="shared" si="23"/>
        <v>0</v>
      </c>
      <c r="L330" s="33">
        <f t="shared" si="24"/>
        <v>0</v>
      </c>
      <c r="M330" s="33">
        <f t="shared" si="25"/>
        <v>87286.99</v>
      </c>
      <c r="N330" s="235">
        <f t="shared" si="22"/>
        <v>0</v>
      </c>
      <c r="O330" s="35" t="s">
        <v>3327</v>
      </c>
      <c r="P330" s="35"/>
      <c r="Q330" s="39">
        <f>SUMIF('Antelope Bailey Split BA'!$B$7:$B$29,B330,'Antelope Bailey Split BA'!$C$7:$C$29)</f>
        <v>0</v>
      </c>
      <c r="R330" s="39" t="str">
        <f>IF(AND(Q330=1,'Plant Total by Account'!$J$1=2),"EKWRA","")</f>
        <v/>
      </c>
    </row>
    <row r="331" spans="1:18" x14ac:dyDescent="0.2">
      <c r="A331" s="31" t="s">
        <v>2885</v>
      </c>
      <c r="B331" s="36" t="s">
        <v>427</v>
      </c>
      <c r="C331" s="504" t="s">
        <v>3353</v>
      </c>
      <c r="D331" s="42">
        <v>0</v>
      </c>
      <c r="E331" s="42">
        <v>0</v>
      </c>
      <c r="F331" s="42">
        <v>61463.03</v>
      </c>
      <c r="G331" s="581">
        <f t="shared" si="21"/>
        <v>61463.03</v>
      </c>
      <c r="H331" s="33">
        <v>0</v>
      </c>
      <c r="I331" s="33">
        <v>0</v>
      </c>
      <c r="J331" s="33">
        <v>0</v>
      </c>
      <c r="K331" s="33">
        <f t="shared" si="23"/>
        <v>0</v>
      </c>
      <c r="L331" s="33">
        <f t="shared" si="24"/>
        <v>0</v>
      </c>
      <c r="M331" s="33">
        <f t="shared" si="25"/>
        <v>61463.03</v>
      </c>
      <c r="N331" s="235">
        <f t="shared" si="22"/>
        <v>0</v>
      </c>
      <c r="O331" s="35" t="s">
        <v>3327</v>
      </c>
      <c r="P331" s="35"/>
      <c r="Q331" s="39">
        <f>SUMIF('Antelope Bailey Split BA'!$B$7:$B$29,B331,'Antelope Bailey Split BA'!$C$7:$C$29)</f>
        <v>0</v>
      </c>
      <c r="R331" s="39" t="str">
        <f>IF(AND(Q331=1,'Plant Total by Account'!$J$1=2),"EKWRA","")</f>
        <v/>
      </c>
    </row>
    <row r="332" spans="1:18" x14ac:dyDescent="0.2">
      <c r="A332" s="31" t="s">
        <v>2886</v>
      </c>
      <c r="B332" s="36" t="s">
        <v>428</v>
      </c>
      <c r="C332" s="504" t="s">
        <v>3353</v>
      </c>
      <c r="D332" s="42">
        <v>0</v>
      </c>
      <c r="E332" s="42">
        <v>6121.6500000000005</v>
      </c>
      <c r="F332" s="42">
        <v>179336.02</v>
      </c>
      <c r="G332" s="581">
        <f t="shared" ref="G332:G394" si="26">SUM(D332:F332)</f>
        <v>185457.66999999998</v>
      </c>
      <c r="H332" s="33">
        <v>0</v>
      </c>
      <c r="I332" s="33">
        <v>0</v>
      </c>
      <c r="J332" s="33">
        <v>0</v>
      </c>
      <c r="K332" s="33">
        <f t="shared" si="23"/>
        <v>0</v>
      </c>
      <c r="L332" s="33">
        <f t="shared" si="24"/>
        <v>6121.6500000000005</v>
      </c>
      <c r="M332" s="33">
        <f t="shared" si="25"/>
        <v>179336.02</v>
      </c>
      <c r="N332" s="235">
        <f t="shared" ref="N332:N394" si="27">G332-SUM(H332:M332)</f>
        <v>0</v>
      </c>
      <c r="O332" s="35" t="s">
        <v>3327</v>
      </c>
      <c r="P332" s="35"/>
      <c r="Q332" s="39">
        <f>SUMIF('Antelope Bailey Split BA'!$B$7:$B$29,B332,'Antelope Bailey Split BA'!$C$7:$C$29)</f>
        <v>0</v>
      </c>
      <c r="R332" s="39" t="str">
        <f>IF(AND(Q332=1,'Plant Total by Account'!$J$1=2),"EKWRA","")</f>
        <v/>
      </c>
    </row>
    <row r="333" spans="1:18" x14ac:dyDescent="0.2">
      <c r="A333" s="31" t="s">
        <v>2887</v>
      </c>
      <c r="B333" s="36" t="s">
        <v>429</v>
      </c>
      <c r="C333" s="504" t="s">
        <v>3353</v>
      </c>
      <c r="D333" s="42">
        <v>0</v>
      </c>
      <c r="E333" s="42">
        <v>0</v>
      </c>
      <c r="F333" s="42">
        <v>109689.35999999999</v>
      </c>
      <c r="G333" s="581">
        <f t="shared" si="26"/>
        <v>109689.35999999999</v>
      </c>
      <c r="H333" s="33">
        <v>0</v>
      </c>
      <c r="I333" s="33">
        <v>0</v>
      </c>
      <c r="J333" s="33">
        <v>0</v>
      </c>
      <c r="K333" s="33">
        <f t="shared" si="23"/>
        <v>0</v>
      </c>
      <c r="L333" s="33">
        <f t="shared" si="24"/>
        <v>0</v>
      </c>
      <c r="M333" s="33">
        <f t="shared" si="25"/>
        <v>109689.35999999999</v>
      </c>
      <c r="N333" s="235">
        <f t="shared" si="27"/>
        <v>0</v>
      </c>
      <c r="O333" s="35" t="s">
        <v>3327</v>
      </c>
      <c r="P333" s="35"/>
      <c r="Q333" s="39">
        <f>SUMIF('Antelope Bailey Split BA'!$B$7:$B$29,B333,'Antelope Bailey Split BA'!$C$7:$C$29)</f>
        <v>0</v>
      </c>
      <c r="R333" s="39" t="str">
        <f>IF(AND(Q333=1,'Plant Total by Account'!$J$1=2),"EKWRA","")</f>
        <v/>
      </c>
    </row>
    <row r="334" spans="1:18" x14ac:dyDescent="0.2">
      <c r="A334" s="31" t="s">
        <v>2888</v>
      </c>
      <c r="B334" s="36" t="s">
        <v>430</v>
      </c>
      <c r="C334" s="504" t="s">
        <v>3353</v>
      </c>
      <c r="D334" s="42">
        <v>72874.680000000008</v>
      </c>
      <c r="E334" s="42">
        <v>113162.13</v>
      </c>
      <c r="F334" s="42">
        <v>270481.93000000005</v>
      </c>
      <c r="G334" s="581">
        <f t="shared" si="26"/>
        <v>456518.74000000005</v>
      </c>
      <c r="H334" s="33">
        <v>0</v>
      </c>
      <c r="I334" s="33">
        <v>0</v>
      </c>
      <c r="J334" s="33">
        <v>0</v>
      </c>
      <c r="K334" s="33">
        <f t="shared" si="23"/>
        <v>72874.680000000008</v>
      </c>
      <c r="L334" s="33">
        <f t="shared" si="24"/>
        <v>113162.13</v>
      </c>
      <c r="M334" s="33">
        <f t="shared" si="25"/>
        <v>270481.93000000005</v>
      </c>
      <c r="N334" s="235">
        <f t="shared" si="27"/>
        <v>0</v>
      </c>
      <c r="O334" s="35" t="s">
        <v>3327</v>
      </c>
      <c r="P334" s="35"/>
      <c r="Q334" s="39">
        <f>SUMIF('Antelope Bailey Split BA'!$B$7:$B$29,B334,'Antelope Bailey Split BA'!$C$7:$C$29)</f>
        <v>0</v>
      </c>
      <c r="R334" s="39" t="str">
        <f>IF(AND(Q334=1,'Plant Total by Account'!$J$1=2),"EKWRA","")</f>
        <v/>
      </c>
    </row>
    <row r="335" spans="1:18" x14ac:dyDescent="0.2">
      <c r="A335" s="31" t="s">
        <v>2889</v>
      </c>
      <c r="B335" s="36" t="s">
        <v>431</v>
      </c>
      <c r="C335" s="504" t="s">
        <v>3353</v>
      </c>
      <c r="D335" s="42">
        <v>65767.760000000009</v>
      </c>
      <c r="E335" s="42">
        <v>14917.460000000001</v>
      </c>
      <c r="F335" s="42">
        <v>555575.36</v>
      </c>
      <c r="G335" s="581">
        <f t="shared" si="26"/>
        <v>636260.57999999996</v>
      </c>
      <c r="H335" s="33">
        <v>0</v>
      </c>
      <c r="I335" s="33">
        <v>0</v>
      </c>
      <c r="J335" s="33">
        <v>0</v>
      </c>
      <c r="K335" s="33">
        <f t="shared" si="23"/>
        <v>65767.760000000009</v>
      </c>
      <c r="L335" s="33">
        <f t="shared" si="24"/>
        <v>14917.460000000001</v>
      </c>
      <c r="M335" s="33">
        <f t="shared" si="25"/>
        <v>555575.36</v>
      </c>
      <c r="N335" s="235">
        <f t="shared" si="27"/>
        <v>0</v>
      </c>
      <c r="O335" s="35" t="s">
        <v>3327</v>
      </c>
      <c r="P335" s="35"/>
      <c r="Q335" s="39">
        <f>SUMIF('Antelope Bailey Split BA'!$B$7:$B$29,B335,'Antelope Bailey Split BA'!$C$7:$C$29)</f>
        <v>0</v>
      </c>
      <c r="R335" s="39" t="str">
        <f>IF(AND(Q335=1,'Plant Total by Account'!$J$1=2),"EKWRA","")</f>
        <v/>
      </c>
    </row>
    <row r="336" spans="1:18" x14ac:dyDescent="0.2">
      <c r="A336" s="31" t="s">
        <v>2890</v>
      </c>
      <c r="B336" s="36" t="s">
        <v>432</v>
      </c>
      <c r="C336" s="504" t="s">
        <v>3353</v>
      </c>
      <c r="D336" s="42">
        <v>0</v>
      </c>
      <c r="E336" s="42">
        <v>167.77</v>
      </c>
      <c r="F336" s="42">
        <v>32190.710000000003</v>
      </c>
      <c r="G336" s="581">
        <f t="shared" si="26"/>
        <v>32358.480000000003</v>
      </c>
      <c r="H336" s="33">
        <v>0</v>
      </c>
      <c r="I336" s="33">
        <v>0</v>
      </c>
      <c r="J336" s="33">
        <v>0</v>
      </c>
      <c r="K336" s="33">
        <f t="shared" ref="K336:K398" si="28">D336</f>
        <v>0</v>
      </c>
      <c r="L336" s="33">
        <f t="shared" ref="L336:L398" si="29">E336</f>
        <v>167.77</v>
      </c>
      <c r="M336" s="33">
        <f t="shared" ref="M336:M398" si="30">F336</f>
        <v>32190.710000000003</v>
      </c>
      <c r="N336" s="235">
        <f t="shared" si="27"/>
        <v>0</v>
      </c>
      <c r="O336" s="35" t="s">
        <v>3327</v>
      </c>
      <c r="P336" s="35"/>
      <c r="Q336" s="39">
        <f>SUMIF('Antelope Bailey Split BA'!$B$7:$B$29,B336,'Antelope Bailey Split BA'!$C$7:$C$29)</f>
        <v>0</v>
      </c>
      <c r="R336" s="39" t="str">
        <f>IF(AND(Q336=1,'Plant Total by Account'!$J$1=2),"EKWRA","")</f>
        <v/>
      </c>
    </row>
    <row r="337" spans="1:18" x14ac:dyDescent="0.2">
      <c r="A337" s="31" t="s">
        <v>2891</v>
      </c>
      <c r="B337" s="36" t="s">
        <v>433</v>
      </c>
      <c r="C337" s="504" t="s">
        <v>3352</v>
      </c>
      <c r="D337" s="42">
        <v>27650.47</v>
      </c>
      <c r="E337" s="42">
        <v>235219.75</v>
      </c>
      <c r="F337" s="42">
        <v>4116340.2500000028</v>
      </c>
      <c r="G337" s="581">
        <f t="shared" si="26"/>
        <v>4379210.4700000025</v>
      </c>
      <c r="H337" s="33">
        <v>0</v>
      </c>
      <c r="I337" s="33">
        <v>0</v>
      </c>
      <c r="J337" s="33">
        <v>0</v>
      </c>
      <c r="K337" s="33">
        <f t="shared" si="28"/>
        <v>27650.47</v>
      </c>
      <c r="L337" s="33">
        <f t="shared" si="29"/>
        <v>235219.75</v>
      </c>
      <c r="M337" s="33">
        <f t="shared" si="30"/>
        <v>4116340.2500000028</v>
      </c>
      <c r="N337" s="235">
        <f t="shared" si="27"/>
        <v>0</v>
      </c>
      <c r="O337" s="35" t="s">
        <v>3327</v>
      </c>
      <c r="P337" s="35"/>
      <c r="Q337" s="39">
        <f>SUMIF('Antelope Bailey Split BA'!$B$7:$B$29,B337,'Antelope Bailey Split BA'!$C$7:$C$29)</f>
        <v>0</v>
      </c>
      <c r="R337" s="39" t="str">
        <f>IF(AND(Q337=1,'Plant Total by Account'!$J$1=2),"EKWRA","")</f>
        <v/>
      </c>
    </row>
    <row r="338" spans="1:18" x14ac:dyDescent="0.2">
      <c r="A338" s="31" t="s">
        <v>2892</v>
      </c>
      <c r="B338" s="36" t="s">
        <v>434</v>
      </c>
      <c r="C338" s="504" t="s">
        <v>3353</v>
      </c>
      <c r="D338" s="42">
        <v>0</v>
      </c>
      <c r="E338" s="42">
        <v>0</v>
      </c>
      <c r="F338" s="42">
        <v>421286.76</v>
      </c>
      <c r="G338" s="581">
        <f t="shared" si="26"/>
        <v>421286.76</v>
      </c>
      <c r="H338" s="33">
        <v>0</v>
      </c>
      <c r="I338" s="33">
        <v>0</v>
      </c>
      <c r="J338" s="33">
        <v>0</v>
      </c>
      <c r="K338" s="33">
        <f t="shared" si="28"/>
        <v>0</v>
      </c>
      <c r="L338" s="33">
        <f t="shared" si="29"/>
        <v>0</v>
      </c>
      <c r="M338" s="33">
        <f t="shared" si="30"/>
        <v>421286.76</v>
      </c>
      <c r="N338" s="235">
        <f t="shared" si="27"/>
        <v>0</v>
      </c>
      <c r="O338" s="35" t="s">
        <v>3327</v>
      </c>
      <c r="P338" s="35"/>
      <c r="Q338" s="39">
        <f>SUMIF('Antelope Bailey Split BA'!$B$7:$B$29,B338,'Antelope Bailey Split BA'!$C$7:$C$29)</f>
        <v>0</v>
      </c>
      <c r="R338" s="39" t="str">
        <f>IF(AND(Q338=1,'Plant Total by Account'!$J$1=2),"EKWRA","")</f>
        <v/>
      </c>
    </row>
    <row r="339" spans="1:18" x14ac:dyDescent="0.2">
      <c r="A339" s="31" t="s">
        <v>2893</v>
      </c>
      <c r="B339" s="36" t="s">
        <v>435</v>
      </c>
      <c r="C339" s="504" t="s">
        <v>3353</v>
      </c>
      <c r="D339" s="42">
        <v>0</v>
      </c>
      <c r="E339" s="42">
        <v>9498.41</v>
      </c>
      <c r="F339" s="42">
        <v>592343.71</v>
      </c>
      <c r="G339" s="581">
        <f t="shared" si="26"/>
        <v>601842.12</v>
      </c>
      <c r="H339" s="33">
        <v>0</v>
      </c>
      <c r="I339" s="33">
        <v>0</v>
      </c>
      <c r="J339" s="33">
        <v>0</v>
      </c>
      <c r="K339" s="33">
        <f t="shared" si="28"/>
        <v>0</v>
      </c>
      <c r="L339" s="33">
        <f t="shared" si="29"/>
        <v>9498.41</v>
      </c>
      <c r="M339" s="33">
        <f t="shared" si="30"/>
        <v>592343.71</v>
      </c>
      <c r="N339" s="235">
        <f t="shared" si="27"/>
        <v>0</v>
      </c>
      <c r="O339" s="35" t="s">
        <v>3327</v>
      </c>
      <c r="P339" s="35"/>
      <c r="Q339" s="39">
        <f>SUMIF('Antelope Bailey Split BA'!$B$7:$B$29,B339,'Antelope Bailey Split BA'!$C$7:$C$29)</f>
        <v>0</v>
      </c>
      <c r="R339" s="39" t="str">
        <f>IF(AND(Q339=1,'Plant Total by Account'!$J$1=2),"EKWRA","")</f>
        <v/>
      </c>
    </row>
    <row r="340" spans="1:18" x14ac:dyDescent="0.2">
      <c r="A340" s="31" t="s">
        <v>2894</v>
      </c>
      <c r="B340" s="36" t="s">
        <v>436</v>
      </c>
      <c r="C340" s="504" t="s">
        <v>3353</v>
      </c>
      <c r="D340" s="42">
        <v>0</v>
      </c>
      <c r="E340" s="42">
        <v>29687.75</v>
      </c>
      <c r="F340" s="42">
        <v>648720.51</v>
      </c>
      <c r="G340" s="581">
        <f t="shared" si="26"/>
        <v>678408.26</v>
      </c>
      <c r="H340" s="33">
        <v>0</v>
      </c>
      <c r="I340" s="33">
        <v>0</v>
      </c>
      <c r="J340" s="33">
        <v>0</v>
      </c>
      <c r="K340" s="33">
        <f t="shared" si="28"/>
        <v>0</v>
      </c>
      <c r="L340" s="33">
        <f t="shared" si="29"/>
        <v>29687.75</v>
      </c>
      <c r="M340" s="33">
        <f t="shared" si="30"/>
        <v>648720.51</v>
      </c>
      <c r="N340" s="235">
        <f t="shared" si="27"/>
        <v>0</v>
      </c>
      <c r="O340" s="35" t="s">
        <v>3327</v>
      </c>
      <c r="P340" s="35"/>
      <c r="Q340" s="39">
        <f>SUMIF('Antelope Bailey Split BA'!$B$7:$B$29,B340,'Antelope Bailey Split BA'!$C$7:$C$29)</f>
        <v>0</v>
      </c>
      <c r="R340" s="39" t="str">
        <f>IF(AND(Q340=1,'Plant Total by Account'!$J$1=2),"EKWRA","")</f>
        <v/>
      </c>
    </row>
    <row r="341" spans="1:18" x14ac:dyDescent="0.2">
      <c r="A341" s="31" t="s">
        <v>3309</v>
      </c>
      <c r="B341" s="36" t="s">
        <v>437</v>
      </c>
      <c r="C341" s="504" t="s">
        <v>3308</v>
      </c>
      <c r="D341" s="33">
        <v>0</v>
      </c>
      <c r="E341" s="33">
        <v>0</v>
      </c>
      <c r="F341" s="33">
        <v>16765.16</v>
      </c>
      <c r="G341" s="581">
        <f t="shared" si="26"/>
        <v>16765.16</v>
      </c>
      <c r="H341" s="33">
        <v>0</v>
      </c>
      <c r="I341" s="33">
        <v>0</v>
      </c>
      <c r="J341" s="33">
        <v>0</v>
      </c>
      <c r="K341" s="129">
        <f t="shared" si="28"/>
        <v>0</v>
      </c>
      <c r="L341" s="129">
        <f t="shared" si="29"/>
        <v>0</v>
      </c>
      <c r="M341" s="129">
        <f t="shared" si="30"/>
        <v>16765.16</v>
      </c>
      <c r="N341" s="235">
        <f t="shared" si="27"/>
        <v>0</v>
      </c>
      <c r="O341" s="35" t="s">
        <v>3327</v>
      </c>
      <c r="P341" s="35"/>
      <c r="Q341" s="39">
        <f>SUMIF('Antelope Bailey Split BA'!$B$7:$B$29,B341,'Antelope Bailey Split BA'!$C$7:$C$29)</f>
        <v>0</v>
      </c>
      <c r="R341" s="39" t="str">
        <f>IF(AND(Q341=1,'Plant Total by Account'!$J$1=2),"EKWRA","")</f>
        <v/>
      </c>
    </row>
    <row r="342" spans="1:18" x14ac:dyDescent="0.2">
      <c r="A342" s="31" t="s">
        <v>2895</v>
      </c>
      <c r="B342" s="36" t="s">
        <v>438</v>
      </c>
      <c r="C342" s="504" t="s">
        <v>3353</v>
      </c>
      <c r="D342" s="42">
        <v>1068.3800000000001</v>
      </c>
      <c r="E342" s="42">
        <v>9100.76</v>
      </c>
      <c r="F342" s="42">
        <v>80365.88</v>
      </c>
      <c r="G342" s="581">
        <f t="shared" si="26"/>
        <v>90535.02</v>
      </c>
      <c r="H342" s="33">
        <v>0</v>
      </c>
      <c r="I342" s="33">
        <v>0</v>
      </c>
      <c r="J342" s="33">
        <v>0</v>
      </c>
      <c r="K342" s="33">
        <f t="shared" si="28"/>
        <v>1068.3800000000001</v>
      </c>
      <c r="L342" s="33">
        <f t="shared" si="29"/>
        <v>9100.76</v>
      </c>
      <c r="M342" s="33">
        <f t="shared" si="30"/>
        <v>80365.88</v>
      </c>
      <c r="N342" s="235">
        <f t="shared" si="27"/>
        <v>0</v>
      </c>
      <c r="O342" s="35" t="s">
        <v>3327</v>
      </c>
      <c r="P342" s="35"/>
      <c r="Q342" s="39">
        <f>SUMIF('Antelope Bailey Split BA'!$B$7:$B$29,B342,'Antelope Bailey Split BA'!$C$7:$C$29)</f>
        <v>0</v>
      </c>
      <c r="R342" s="39" t="str">
        <f>IF(AND(Q342=1,'Plant Total by Account'!$J$1=2),"EKWRA","")</f>
        <v/>
      </c>
    </row>
    <row r="343" spans="1:18" x14ac:dyDescent="0.2">
      <c r="A343" s="31" t="s">
        <v>2896</v>
      </c>
      <c r="B343" s="36" t="s">
        <v>439</v>
      </c>
      <c r="C343" s="504" t="s">
        <v>3353</v>
      </c>
      <c r="D343" s="42">
        <v>3006.3</v>
      </c>
      <c r="E343" s="42">
        <v>219644.17000000004</v>
      </c>
      <c r="F343" s="42">
        <v>2315857.2000000007</v>
      </c>
      <c r="G343" s="581">
        <f t="shared" si="26"/>
        <v>2538507.6700000009</v>
      </c>
      <c r="H343" s="33">
        <v>0</v>
      </c>
      <c r="I343" s="33">
        <v>0</v>
      </c>
      <c r="J343" s="33">
        <v>0</v>
      </c>
      <c r="K343" s="33">
        <f t="shared" si="28"/>
        <v>3006.3</v>
      </c>
      <c r="L343" s="33">
        <f t="shared" si="29"/>
        <v>219644.17000000004</v>
      </c>
      <c r="M343" s="33">
        <f t="shared" si="30"/>
        <v>2315857.2000000007</v>
      </c>
      <c r="N343" s="235">
        <f t="shared" si="27"/>
        <v>0</v>
      </c>
      <c r="O343" s="35" t="s">
        <v>3327</v>
      </c>
      <c r="P343" s="35"/>
      <c r="Q343" s="39">
        <f>SUMIF('Antelope Bailey Split BA'!$B$7:$B$29,B343,'Antelope Bailey Split BA'!$C$7:$C$29)</f>
        <v>0</v>
      </c>
      <c r="R343" s="39" t="str">
        <f>IF(AND(Q343=1,'Plant Total by Account'!$J$1=2),"EKWRA","")</f>
        <v/>
      </c>
    </row>
    <row r="344" spans="1:18" x14ac:dyDescent="0.2">
      <c r="A344" s="31" t="s">
        <v>2897</v>
      </c>
      <c r="B344" s="36" t="s">
        <v>440</v>
      </c>
      <c r="C344" s="504" t="s">
        <v>3353</v>
      </c>
      <c r="D344" s="42">
        <v>1281.24</v>
      </c>
      <c r="E344" s="42">
        <v>186862.37000000005</v>
      </c>
      <c r="F344" s="42">
        <v>4190507.4499999979</v>
      </c>
      <c r="G344" s="581">
        <f t="shared" si="26"/>
        <v>4378651.0599999977</v>
      </c>
      <c r="H344" s="33">
        <v>0</v>
      </c>
      <c r="I344" s="33">
        <v>0</v>
      </c>
      <c r="J344" s="33">
        <v>0</v>
      </c>
      <c r="K344" s="33">
        <f t="shared" si="28"/>
        <v>1281.24</v>
      </c>
      <c r="L344" s="33">
        <f t="shared" si="29"/>
        <v>186862.37000000005</v>
      </c>
      <c r="M344" s="33">
        <f t="shared" si="30"/>
        <v>4190507.4499999979</v>
      </c>
      <c r="N344" s="235">
        <f t="shared" si="27"/>
        <v>0</v>
      </c>
      <c r="O344" s="35" t="s">
        <v>3327</v>
      </c>
      <c r="P344" s="35"/>
      <c r="Q344" s="39">
        <f>SUMIF('Antelope Bailey Split BA'!$B$7:$B$29,B344,'Antelope Bailey Split BA'!$C$7:$C$29)</f>
        <v>0</v>
      </c>
      <c r="R344" s="39" t="str">
        <f>IF(AND(Q344=1,'Plant Total by Account'!$J$1=2),"EKWRA","")</f>
        <v/>
      </c>
    </row>
    <row r="345" spans="1:18" x14ac:dyDescent="0.2">
      <c r="A345" s="31" t="s">
        <v>2898</v>
      </c>
      <c r="B345" s="36" t="s">
        <v>441</v>
      </c>
      <c r="C345" s="504" t="s">
        <v>3353</v>
      </c>
      <c r="D345" s="42">
        <v>1944.8600000000001</v>
      </c>
      <c r="E345" s="42">
        <v>328540.42</v>
      </c>
      <c r="F345" s="42">
        <v>7006072.2299999995</v>
      </c>
      <c r="G345" s="581">
        <f t="shared" si="26"/>
        <v>7336557.5099999998</v>
      </c>
      <c r="H345" s="33">
        <v>0</v>
      </c>
      <c r="I345" s="33">
        <v>0</v>
      </c>
      <c r="J345" s="33">
        <v>0</v>
      </c>
      <c r="K345" s="33">
        <f t="shared" si="28"/>
        <v>1944.8600000000001</v>
      </c>
      <c r="L345" s="33">
        <f t="shared" si="29"/>
        <v>328540.42</v>
      </c>
      <c r="M345" s="33">
        <f t="shared" si="30"/>
        <v>7006072.2299999995</v>
      </c>
      <c r="N345" s="235">
        <f t="shared" si="27"/>
        <v>0</v>
      </c>
      <c r="O345" s="35" t="s">
        <v>3327</v>
      </c>
      <c r="P345" s="35"/>
      <c r="Q345" s="39">
        <f>SUMIF('Antelope Bailey Split BA'!$B$7:$B$29,B345,'Antelope Bailey Split BA'!$C$7:$C$29)</f>
        <v>0</v>
      </c>
      <c r="R345" s="39" t="str">
        <f>IF(AND(Q345=1,'Plant Total by Account'!$J$1=2),"EKWRA","")</f>
        <v/>
      </c>
    </row>
    <row r="346" spans="1:18" x14ac:dyDescent="0.2">
      <c r="A346" s="31" t="s">
        <v>2899</v>
      </c>
      <c r="B346" s="36" t="s">
        <v>442</v>
      </c>
      <c r="C346" s="504" t="s">
        <v>3353</v>
      </c>
      <c r="D346" s="42">
        <v>97257.97</v>
      </c>
      <c r="E346" s="42">
        <v>443016.04</v>
      </c>
      <c r="F346" s="42">
        <v>3464403.5200000005</v>
      </c>
      <c r="G346" s="581">
        <f t="shared" si="26"/>
        <v>4004677.5300000003</v>
      </c>
      <c r="H346" s="33">
        <v>0</v>
      </c>
      <c r="I346" s="33">
        <v>0</v>
      </c>
      <c r="J346" s="33">
        <v>0</v>
      </c>
      <c r="K346" s="33">
        <f t="shared" si="28"/>
        <v>97257.97</v>
      </c>
      <c r="L346" s="33">
        <f t="shared" si="29"/>
        <v>443016.04</v>
      </c>
      <c r="M346" s="33">
        <f t="shared" si="30"/>
        <v>3464403.5200000005</v>
      </c>
      <c r="N346" s="235">
        <f t="shared" si="27"/>
        <v>0</v>
      </c>
      <c r="O346" s="35" t="s">
        <v>3327</v>
      </c>
      <c r="P346" s="35"/>
      <c r="Q346" s="39">
        <f>SUMIF('Antelope Bailey Split BA'!$B$7:$B$29,B346,'Antelope Bailey Split BA'!$C$7:$C$29)</f>
        <v>0</v>
      </c>
      <c r="R346" s="39" t="str">
        <f>IF(AND(Q346=1,'Plant Total by Account'!$J$1=2),"EKWRA","")</f>
        <v/>
      </c>
    </row>
    <row r="347" spans="1:18" x14ac:dyDescent="0.2">
      <c r="A347" s="31" t="s">
        <v>2900</v>
      </c>
      <c r="B347" s="36" t="s">
        <v>443</v>
      </c>
      <c r="C347" s="504" t="s">
        <v>3353</v>
      </c>
      <c r="D347" s="42">
        <v>319668.63</v>
      </c>
      <c r="E347" s="42">
        <v>370480.97000000009</v>
      </c>
      <c r="F347" s="42">
        <v>2046921.5300000005</v>
      </c>
      <c r="G347" s="581">
        <f t="shared" si="26"/>
        <v>2737071.1300000008</v>
      </c>
      <c r="H347" s="33">
        <v>0</v>
      </c>
      <c r="I347" s="33">
        <v>0</v>
      </c>
      <c r="J347" s="33">
        <v>0</v>
      </c>
      <c r="K347" s="33">
        <f t="shared" si="28"/>
        <v>319668.63</v>
      </c>
      <c r="L347" s="33">
        <f t="shared" si="29"/>
        <v>370480.97000000009</v>
      </c>
      <c r="M347" s="33">
        <f t="shared" si="30"/>
        <v>2046921.5300000005</v>
      </c>
      <c r="N347" s="235">
        <f t="shared" si="27"/>
        <v>0</v>
      </c>
      <c r="O347" s="35" t="s">
        <v>3327</v>
      </c>
      <c r="P347" s="35"/>
      <c r="Q347" s="39">
        <f>SUMIF('Antelope Bailey Split BA'!$B$7:$B$29,B347,'Antelope Bailey Split BA'!$C$7:$C$29)</f>
        <v>0</v>
      </c>
      <c r="R347" s="39" t="str">
        <f>IF(AND(Q347=1,'Plant Total by Account'!$J$1=2),"EKWRA","")</f>
        <v/>
      </c>
    </row>
    <row r="348" spans="1:18" ht="12.75" customHeight="1" x14ac:dyDescent="0.2">
      <c r="A348" s="31" t="s">
        <v>2444</v>
      </c>
      <c r="B348" s="36" t="s">
        <v>444</v>
      </c>
      <c r="C348" s="504" t="s">
        <v>3353</v>
      </c>
      <c r="D348" s="42">
        <v>1492.8000000000002</v>
      </c>
      <c r="E348" s="42">
        <v>382653.57999999996</v>
      </c>
      <c r="F348" s="42">
        <v>5903778.2499999963</v>
      </c>
      <c r="G348" s="581">
        <f t="shared" si="26"/>
        <v>6287924.6299999962</v>
      </c>
      <c r="H348" s="33">
        <v>0</v>
      </c>
      <c r="I348" s="33">
        <v>0</v>
      </c>
      <c r="J348" s="33">
        <v>0</v>
      </c>
      <c r="K348" s="129">
        <f t="shared" si="28"/>
        <v>1492.8000000000002</v>
      </c>
      <c r="L348" s="129">
        <f t="shared" si="29"/>
        <v>382653.57999999996</v>
      </c>
      <c r="M348" s="129">
        <f t="shared" si="30"/>
        <v>5903778.2499999963</v>
      </c>
      <c r="N348" s="235">
        <f t="shared" si="27"/>
        <v>0</v>
      </c>
      <c r="O348" s="35" t="s">
        <v>3327</v>
      </c>
      <c r="P348" s="35"/>
      <c r="Q348" s="39">
        <f>SUMIF('Antelope Bailey Split BA'!$B$7:$B$29,B348,'Antelope Bailey Split BA'!$C$7:$C$29)</f>
        <v>1</v>
      </c>
      <c r="R348" s="39" t="str">
        <f>IF(AND(Q348=1,'Plant Total by Account'!$J$1=2),"EKWRA","")</f>
        <v>EKWRA</v>
      </c>
    </row>
    <row r="349" spans="1:18" x14ac:dyDescent="0.2">
      <c r="A349" s="31" t="s">
        <v>2901</v>
      </c>
      <c r="B349" s="36" t="s">
        <v>445</v>
      </c>
      <c r="C349" s="504" t="s">
        <v>3353</v>
      </c>
      <c r="D349" s="42">
        <v>554.46</v>
      </c>
      <c r="E349" s="42">
        <v>86.34</v>
      </c>
      <c r="F349" s="42">
        <v>9814.7799999999988</v>
      </c>
      <c r="G349" s="581">
        <f t="shared" si="26"/>
        <v>10455.579999999998</v>
      </c>
      <c r="H349" s="33">
        <v>0</v>
      </c>
      <c r="I349" s="33">
        <v>0</v>
      </c>
      <c r="J349" s="33">
        <v>0</v>
      </c>
      <c r="K349" s="33">
        <f t="shared" si="28"/>
        <v>554.46</v>
      </c>
      <c r="L349" s="33">
        <f t="shared" si="29"/>
        <v>86.34</v>
      </c>
      <c r="M349" s="33">
        <f t="shared" si="30"/>
        <v>9814.7799999999988</v>
      </c>
      <c r="N349" s="235">
        <f t="shared" si="27"/>
        <v>0</v>
      </c>
      <c r="O349" s="35" t="s">
        <v>3327</v>
      </c>
      <c r="P349" s="35"/>
      <c r="Q349" s="39">
        <f>SUMIF('Antelope Bailey Split BA'!$B$7:$B$29,B349,'Antelope Bailey Split BA'!$C$7:$C$29)</f>
        <v>0</v>
      </c>
      <c r="R349" s="39" t="str">
        <f>IF(AND(Q349=1,'Plant Total by Account'!$J$1=2),"EKWRA","")</f>
        <v/>
      </c>
    </row>
    <row r="350" spans="1:18" x14ac:dyDescent="0.2">
      <c r="A350" s="31" t="s">
        <v>2445</v>
      </c>
      <c r="B350" s="36" t="s">
        <v>446</v>
      </c>
      <c r="C350" s="504" t="s">
        <v>3353</v>
      </c>
      <c r="D350" s="42">
        <v>58776.66</v>
      </c>
      <c r="E350" s="42">
        <v>211460.74000000002</v>
      </c>
      <c r="F350" s="42">
        <v>2023252.3200000003</v>
      </c>
      <c r="G350" s="581">
        <f t="shared" si="26"/>
        <v>2293489.7200000002</v>
      </c>
      <c r="H350" s="33">
        <v>0</v>
      </c>
      <c r="I350" s="33">
        <v>0</v>
      </c>
      <c r="J350" s="33">
        <v>0</v>
      </c>
      <c r="K350" s="33">
        <f t="shared" si="28"/>
        <v>58776.66</v>
      </c>
      <c r="L350" s="33">
        <f t="shared" si="29"/>
        <v>211460.74000000002</v>
      </c>
      <c r="M350" s="33">
        <f t="shared" si="30"/>
        <v>2023252.3200000003</v>
      </c>
      <c r="N350" s="235">
        <f t="shared" si="27"/>
        <v>0</v>
      </c>
      <c r="O350" s="35" t="s">
        <v>3327</v>
      </c>
      <c r="P350" s="35"/>
      <c r="Q350" s="39">
        <f>SUMIF('Antelope Bailey Split BA'!$B$7:$B$29,B350,'Antelope Bailey Split BA'!$C$7:$C$29)</f>
        <v>0</v>
      </c>
      <c r="R350" s="39" t="str">
        <f>IF(AND(Q350=1,'Plant Total by Account'!$J$1=2),"EKWRA","")</f>
        <v/>
      </c>
    </row>
    <row r="351" spans="1:18" ht="12.75" customHeight="1" x14ac:dyDescent="0.2">
      <c r="A351" s="31" t="s">
        <v>2446</v>
      </c>
      <c r="B351" s="36" t="s">
        <v>453</v>
      </c>
      <c r="C351" s="504" t="s">
        <v>3353</v>
      </c>
      <c r="D351" s="42">
        <v>187.19</v>
      </c>
      <c r="E351" s="42">
        <v>148976.93000000002</v>
      </c>
      <c r="F351" s="42">
        <v>1787024.05</v>
      </c>
      <c r="G351" s="581">
        <f t="shared" si="26"/>
        <v>1936188.1700000002</v>
      </c>
      <c r="H351" s="33">
        <v>0</v>
      </c>
      <c r="I351" s="33">
        <v>0</v>
      </c>
      <c r="J351" s="33">
        <v>0</v>
      </c>
      <c r="K351" s="129">
        <f t="shared" si="28"/>
        <v>187.19</v>
      </c>
      <c r="L351" s="129">
        <f t="shared" si="29"/>
        <v>148976.93000000002</v>
      </c>
      <c r="M351" s="129">
        <f t="shared" si="30"/>
        <v>1787024.05</v>
      </c>
      <c r="N351" s="235">
        <f t="shared" si="27"/>
        <v>0</v>
      </c>
      <c r="O351" s="35" t="s">
        <v>3327</v>
      </c>
      <c r="P351" s="35"/>
      <c r="Q351" s="39">
        <f>SUMIF('Antelope Bailey Split BA'!$B$7:$B$29,B351,'Antelope Bailey Split BA'!$C$7:$C$29)</f>
        <v>1</v>
      </c>
      <c r="R351" s="39" t="str">
        <f>IF(AND(Q351=1,'Plant Total by Account'!$J$1=2),"EKWRA","")</f>
        <v>EKWRA</v>
      </c>
    </row>
    <row r="352" spans="1:18" ht="12.75" customHeight="1" x14ac:dyDescent="0.2">
      <c r="A352" s="31" t="s">
        <v>2447</v>
      </c>
      <c r="B352" s="36" t="s">
        <v>455</v>
      </c>
      <c r="C352" s="504" t="s">
        <v>3353</v>
      </c>
      <c r="D352" s="42">
        <v>0</v>
      </c>
      <c r="E352" s="42">
        <v>333421.91000000009</v>
      </c>
      <c r="F352" s="42">
        <v>5975488.6199999964</v>
      </c>
      <c r="G352" s="581">
        <f t="shared" si="26"/>
        <v>6308910.5299999965</v>
      </c>
      <c r="H352" s="33">
        <v>0</v>
      </c>
      <c r="I352" s="33">
        <v>0</v>
      </c>
      <c r="J352" s="33">
        <v>0</v>
      </c>
      <c r="K352" s="129">
        <f t="shared" si="28"/>
        <v>0</v>
      </c>
      <c r="L352" s="129">
        <f t="shared" si="29"/>
        <v>333421.91000000009</v>
      </c>
      <c r="M352" s="129">
        <f t="shared" si="30"/>
        <v>5975488.6199999964</v>
      </c>
      <c r="N352" s="235">
        <f t="shared" si="27"/>
        <v>0</v>
      </c>
      <c r="O352" s="35" t="s">
        <v>3327</v>
      </c>
      <c r="P352" s="35"/>
      <c r="Q352" s="39">
        <f>SUMIF('Antelope Bailey Split BA'!$B$7:$B$29,B352,'Antelope Bailey Split BA'!$C$7:$C$29)</f>
        <v>1</v>
      </c>
      <c r="R352" s="39" t="str">
        <f>IF(AND(Q352=1,'Plant Total by Account'!$J$1=2),"EKWRA","")</f>
        <v>EKWRA</v>
      </c>
    </row>
    <row r="353" spans="1:18" x14ac:dyDescent="0.2">
      <c r="A353" s="31" t="s">
        <v>2903</v>
      </c>
      <c r="B353" s="36" t="s">
        <v>456</v>
      </c>
      <c r="C353" s="504" t="s">
        <v>3353</v>
      </c>
      <c r="D353" s="42">
        <v>0</v>
      </c>
      <c r="E353" s="42">
        <v>24286.54</v>
      </c>
      <c r="F353" s="42">
        <v>970726.28000000038</v>
      </c>
      <c r="G353" s="581">
        <f t="shared" si="26"/>
        <v>995012.82000000041</v>
      </c>
      <c r="H353" s="33">
        <v>0</v>
      </c>
      <c r="I353" s="33">
        <v>0</v>
      </c>
      <c r="J353" s="33">
        <v>0</v>
      </c>
      <c r="K353" s="33">
        <f t="shared" si="28"/>
        <v>0</v>
      </c>
      <c r="L353" s="33">
        <f t="shared" si="29"/>
        <v>24286.54</v>
      </c>
      <c r="M353" s="33">
        <f t="shared" si="30"/>
        <v>970726.28000000038</v>
      </c>
      <c r="N353" s="235">
        <f t="shared" si="27"/>
        <v>0</v>
      </c>
      <c r="O353" s="35" t="s">
        <v>3327</v>
      </c>
      <c r="P353" s="35"/>
      <c r="Q353" s="39">
        <f>SUMIF('Antelope Bailey Split BA'!$B$7:$B$29,B353,'Antelope Bailey Split BA'!$C$7:$C$29)</f>
        <v>0</v>
      </c>
      <c r="R353" s="39" t="str">
        <f>IF(AND(Q353=1,'Plant Total by Account'!$J$1=2),"EKWRA","")</f>
        <v/>
      </c>
    </row>
    <row r="354" spans="1:18" x14ac:dyDescent="0.2">
      <c r="A354" s="31" t="s">
        <v>2904</v>
      </c>
      <c r="B354" s="36" t="s">
        <v>457</v>
      </c>
      <c r="C354" s="504" t="s">
        <v>3353</v>
      </c>
      <c r="D354" s="42">
        <v>0</v>
      </c>
      <c r="E354" s="42">
        <v>58840.989999999991</v>
      </c>
      <c r="F354" s="42">
        <v>2077868.7</v>
      </c>
      <c r="G354" s="581">
        <f t="shared" si="26"/>
        <v>2136709.69</v>
      </c>
      <c r="H354" s="33">
        <v>0</v>
      </c>
      <c r="I354" s="33">
        <v>0</v>
      </c>
      <c r="J354" s="33">
        <v>0</v>
      </c>
      <c r="K354" s="33">
        <f t="shared" si="28"/>
        <v>0</v>
      </c>
      <c r="L354" s="33">
        <f t="shared" si="29"/>
        <v>58840.989999999991</v>
      </c>
      <c r="M354" s="33">
        <f t="shared" si="30"/>
        <v>2077868.7</v>
      </c>
      <c r="N354" s="235">
        <f t="shared" si="27"/>
        <v>0</v>
      </c>
      <c r="O354" s="35" t="s">
        <v>3327</v>
      </c>
      <c r="P354" s="35"/>
      <c r="Q354" s="39">
        <f>SUMIF('Antelope Bailey Split BA'!$B$7:$B$29,B354,'Antelope Bailey Split BA'!$C$7:$C$29)</f>
        <v>0</v>
      </c>
      <c r="R354" s="39" t="str">
        <f>IF(AND(Q354=1,'Plant Total by Account'!$J$1=2),"EKWRA","")</f>
        <v/>
      </c>
    </row>
    <row r="355" spans="1:18" ht="12.75" customHeight="1" x14ac:dyDescent="0.2">
      <c r="A355" s="31" t="s">
        <v>2905</v>
      </c>
      <c r="B355" s="36" t="s">
        <v>458</v>
      </c>
      <c r="C355" s="504" t="s">
        <v>3353</v>
      </c>
      <c r="D355" s="42">
        <v>28584.49</v>
      </c>
      <c r="E355" s="42">
        <v>422945.18999999989</v>
      </c>
      <c r="F355" s="42">
        <v>5677183.7599999961</v>
      </c>
      <c r="G355" s="581">
        <f t="shared" si="26"/>
        <v>6128713.4399999958</v>
      </c>
      <c r="H355" s="33">
        <v>0</v>
      </c>
      <c r="I355" s="33">
        <v>0</v>
      </c>
      <c r="J355" s="33">
        <v>0</v>
      </c>
      <c r="K355" s="33">
        <f t="shared" si="28"/>
        <v>28584.49</v>
      </c>
      <c r="L355" s="33">
        <f t="shared" si="29"/>
        <v>422945.18999999989</v>
      </c>
      <c r="M355" s="33">
        <f t="shared" si="30"/>
        <v>5677183.7599999961</v>
      </c>
      <c r="N355" s="235">
        <f t="shared" si="27"/>
        <v>0</v>
      </c>
      <c r="O355" s="35" t="s">
        <v>3327</v>
      </c>
      <c r="P355" s="35"/>
      <c r="Q355" s="39">
        <f>SUMIF('Antelope Bailey Split BA'!$B$7:$B$29,B355,'Antelope Bailey Split BA'!$C$7:$C$29)</f>
        <v>0</v>
      </c>
      <c r="R355" s="39" t="str">
        <f>IF(AND(Q355=1,'Plant Total by Account'!$J$1=2),"EKWRA","")</f>
        <v/>
      </c>
    </row>
    <row r="356" spans="1:18" ht="12.75" customHeight="1" x14ac:dyDescent="0.2">
      <c r="A356" s="31" t="s">
        <v>2448</v>
      </c>
      <c r="B356" s="36" t="s">
        <v>459</v>
      </c>
      <c r="C356" s="504" t="s">
        <v>3353</v>
      </c>
      <c r="D356" s="42">
        <v>442.59000000000003</v>
      </c>
      <c r="E356" s="42">
        <v>367752.41</v>
      </c>
      <c r="F356" s="42">
        <v>8625515.0299999993</v>
      </c>
      <c r="G356" s="581">
        <f t="shared" si="26"/>
        <v>8993710.0299999993</v>
      </c>
      <c r="H356" s="33">
        <v>0</v>
      </c>
      <c r="I356" s="33">
        <v>0</v>
      </c>
      <c r="J356" s="33">
        <v>0</v>
      </c>
      <c r="K356" s="129">
        <f t="shared" si="28"/>
        <v>442.59000000000003</v>
      </c>
      <c r="L356" s="129">
        <f t="shared" si="29"/>
        <v>367752.41</v>
      </c>
      <c r="M356" s="129">
        <f t="shared" si="30"/>
        <v>8625515.0299999993</v>
      </c>
      <c r="N356" s="235">
        <f t="shared" si="27"/>
        <v>0</v>
      </c>
      <c r="O356" s="35" t="s">
        <v>3327</v>
      </c>
      <c r="P356" s="35"/>
      <c r="Q356" s="39">
        <f>SUMIF('Antelope Bailey Split BA'!$B$7:$B$29,B356,'Antelope Bailey Split BA'!$C$7:$C$29)</f>
        <v>1</v>
      </c>
      <c r="R356" s="39" t="str">
        <f>IF(AND(Q356=1,'Plant Total by Account'!$J$1=2),"EKWRA","")</f>
        <v>EKWRA</v>
      </c>
    </row>
    <row r="357" spans="1:18" x14ac:dyDescent="0.2">
      <c r="A357" s="31" t="s">
        <v>2906</v>
      </c>
      <c r="B357" s="36" t="s">
        <v>460</v>
      </c>
      <c r="C357" s="504" t="s">
        <v>3353</v>
      </c>
      <c r="D357" s="42">
        <v>14388.89</v>
      </c>
      <c r="E357" s="42">
        <v>301346.06</v>
      </c>
      <c r="F357" s="42">
        <v>5449553.4000000032</v>
      </c>
      <c r="G357" s="581">
        <f t="shared" si="26"/>
        <v>5765288.3500000034</v>
      </c>
      <c r="H357" s="33">
        <v>0</v>
      </c>
      <c r="I357" s="33">
        <v>0</v>
      </c>
      <c r="J357" s="33">
        <v>0</v>
      </c>
      <c r="K357" s="33">
        <f t="shared" si="28"/>
        <v>14388.89</v>
      </c>
      <c r="L357" s="33">
        <f t="shared" si="29"/>
        <v>301346.06</v>
      </c>
      <c r="M357" s="33">
        <f t="shared" si="30"/>
        <v>5449553.4000000032</v>
      </c>
      <c r="N357" s="235">
        <f t="shared" si="27"/>
        <v>0</v>
      </c>
      <c r="O357" s="35" t="s">
        <v>3327</v>
      </c>
      <c r="P357" s="35"/>
      <c r="Q357" s="39">
        <f>SUMIF('Antelope Bailey Split BA'!$B$7:$B$29,B357,'Antelope Bailey Split BA'!$C$7:$C$29)</f>
        <v>0</v>
      </c>
      <c r="R357" s="39" t="str">
        <f>IF(AND(Q357=1,'Plant Total by Account'!$J$1=2),"EKWRA","")</f>
        <v/>
      </c>
    </row>
    <row r="358" spans="1:18" x14ac:dyDescent="0.2">
      <c r="A358" s="31" t="s">
        <v>2907</v>
      </c>
      <c r="B358" s="36" t="s">
        <v>461</v>
      </c>
      <c r="C358" s="504" t="s">
        <v>3352</v>
      </c>
      <c r="D358" s="42">
        <v>6752.07</v>
      </c>
      <c r="E358" s="42">
        <v>64975.010000000009</v>
      </c>
      <c r="F358" s="42">
        <v>1033663.2700000003</v>
      </c>
      <c r="G358" s="581">
        <f t="shared" si="26"/>
        <v>1105390.3500000003</v>
      </c>
      <c r="H358" s="33">
        <v>0</v>
      </c>
      <c r="I358" s="33">
        <v>0</v>
      </c>
      <c r="J358" s="33">
        <v>0</v>
      </c>
      <c r="K358" s="33">
        <f t="shared" si="28"/>
        <v>6752.07</v>
      </c>
      <c r="L358" s="33">
        <f t="shared" si="29"/>
        <v>64975.010000000009</v>
      </c>
      <c r="M358" s="33">
        <f t="shared" si="30"/>
        <v>1033663.2700000003</v>
      </c>
      <c r="N358" s="235">
        <f t="shared" si="27"/>
        <v>0</v>
      </c>
      <c r="O358" s="35" t="s">
        <v>3327</v>
      </c>
      <c r="P358" s="35"/>
      <c r="Q358" s="39">
        <f>SUMIF('Antelope Bailey Split BA'!$B$7:$B$29,B358,'Antelope Bailey Split BA'!$C$7:$C$29)</f>
        <v>0</v>
      </c>
      <c r="R358" s="39" t="str">
        <f>IF(AND(Q358=1,'Plant Total by Account'!$J$1=2),"EKWRA","")</f>
        <v/>
      </c>
    </row>
    <row r="359" spans="1:18" ht="12.75" customHeight="1" x14ac:dyDescent="0.2">
      <c r="A359" s="31" t="s">
        <v>2908</v>
      </c>
      <c r="B359" s="36" t="s">
        <v>462</v>
      </c>
      <c r="C359" s="504" t="s">
        <v>3353</v>
      </c>
      <c r="D359" s="42">
        <v>0</v>
      </c>
      <c r="E359" s="42">
        <v>25088.46</v>
      </c>
      <c r="F359" s="42">
        <v>821363.42000000016</v>
      </c>
      <c r="G359" s="581">
        <f t="shared" si="26"/>
        <v>846451.88000000012</v>
      </c>
      <c r="H359" s="33">
        <v>0</v>
      </c>
      <c r="I359" s="33">
        <v>0</v>
      </c>
      <c r="J359" s="33">
        <v>0</v>
      </c>
      <c r="K359" s="33">
        <f t="shared" si="28"/>
        <v>0</v>
      </c>
      <c r="L359" s="33">
        <f t="shared" si="29"/>
        <v>25088.46</v>
      </c>
      <c r="M359" s="33">
        <f t="shared" si="30"/>
        <v>821363.42000000016</v>
      </c>
      <c r="N359" s="235">
        <f t="shared" si="27"/>
        <v>0</v>
      </c>
      <c r="O359" s="35" t="s">
        <v>3327</v>
      </c>
      <c r="P359" s="35"/>
      <c r="Q359" s="39">
        <f>SUMIF('Antelope Bailey Split BA'!$B$7:$B$29,B359,'Antelope Bailey Split BA'!$C$7:$C$29)</f>
        <v>0</v>
      </c>
      <c r="R359" s="39" t="str">
        <f>IF(AND(Q359=1,'Plant Total by Account'!$J$1=2),"EKWRA","")</f>
        <v/>
      </c>
    </row>
    <row r="360" spans="1:18" ht="12.75" customHeight="1" x14ac:dyDescent="0.2">
      <c r="A360" s="31" t="s">
        <v>2909</v>
      </c>
      <c r="B360" s="36" t="s">
        <v>464</v>
      </c>
      <c r="C360" s="504" t="s">
        <v>3353</v>
      </c>
      <c r="D360" s="42">
        <v>0</v>
      </c>
      <c r="E360" s="42">
        <v>77034.73</v>
      </c>
      <c r="F360" s="42">
        <v>373364.78</v>
      </c>
      <c r="G360" s="581">
        <f t="shared" si="26"/>
        <v>450399.51</v>
      </c>
      <c r="H360" s="33">
        <v>0</v>
      </c>
      <c r="I360" s="33">
        <v>0</v>
      </c>
      <c r="J360" s="33">
        <v>0</v>
      </c>
      <c r="K360" s="33">
        <f t="shared" si="28"/>
        <v>0</v>
      </c>
      <c r="L360" s="33">
        <f t="shared" si="29"/>
        <v>77034.73</v>
      </c>
      <c r="M360" s="33">
        <f t="shared" si="30"/>
        <v>373364.78</v>
      </c>
      <c r="N360" s="235">
        <f t="shared" si="27"/>
        <v>0</v>
      </c>
      <c r="O360" s="35" t="s">
        <v>3327</v>
      </c>
      <c r="P360" s="35"/>
      <c r="Q360" s="39">
        <f>SUMIF('Antelope Bailey Split BA'!$B$7:$B$29,B360,'Antelope Bailey Split BA'!$C$7:$C$29)</f>
        <v>0</v>
      </c>
      <c r="R360" s="39" t="str">
        <f>IF(AND(Q360=1,'Plant Total by Account'!$J$1=2),"EKWRA","")</f>
        <v/>
      </c>
    </row>
    <row r="361" spans="1:18" ht="12.75" customHeight="1" x14ac:dyDescent="0.2">
      <c r="A361" s="31" t="s">
        <v>2449</v>
      </c>
      <c r="B361" s="36" t="s">
        <v>463</v>
      </c>
      <c r="C361" s="504" t="s">
        <v>3353</v>
      </c>
      <c r="D361" s="42">
        <v>11913.320000000002</v>
      </c>
      <c r="E361" s="42">
        <v>432520.58</v>
      </c>
      <c r="F361" s="42">
        <v>7623460.3700000048</v>
      </c>
      <c r="G361" s="581">
        <f t="shared" si="26"/>
        <v>8067894.2700000051</v>
      </c>
      <c r="H361" s="33">
        <v>0</v>
      </c>
      <c r="I361" s="33">
        <v>0</v>
      </c>
      <c r="J361" s="33">
        <v>0</v>
      </c>
      <c r="K361" s="129">
        <f t="shared" si="28"/>
        <v>11913.320000000002</v>
      </c>
      <c r="L361" s="129">
        <f t="shared" si="29"/>
        <v>432520.58</v>
      </c>
      <c r="M361" s="129">
        <f t="shared" si="30"/>
        <v>7623460.3700000048</v>
      </c>
      <c r="N361" s="235">
        <f t="shared" si="27"/>
        <v>0</v>
      </c>
      <c r="O361" s="35" t="s">
        <v>3327</v>
      </c>
      <c r="P361" s="35"/>
      <c r="Q361" s="39">
        <f>SUMIF('Antelope Bailey Split BA'!$B$7:$B$29,B361,'Antelope Bailey Split BA'!$C$7:$C$29)</f>
        <v>1</v>
      </c>
      <c r="R361" s="39" t="str">
        <f>IF(AND(Q361=1,'Plant Total by Account'!$J$1=2),"EKWRA","")</f>
        <v>EKWRA</v>
      </c>
    </row>
    <row r="362" spans="1:18" x14ac:dyDescent="0.2">
      <c r="A362" s="31" t="s">
        <v>2910</v>
      </c>
      <c r="B362" s="36" t="s">
        <v>465</v>
      </c>
      <c r="C362" s="504" t="s">
        <v>3352</v>
      </c>
      <c r="D362" s="42">
        <v>5859.13</v>
      </c>
      <c r="E362" s="42">
        <v>58699.039999999994</v>
      </c>
      <c r="F362" s="42">
        <v>677146.64000000013</v>
      </c>
      <c r="G362" s="581">
        <f t="shared" si="26"/>
        <v>741704.81000000017</v>
      </c>
      <c r="H362" s="33">
        <v>0</v>
      </c>
      <c r="I362" s="33">
        <v>0</v>
      </c>
      <c r="J362" s="33">
        <v>0</v>
      </c>
      <c r="K362" s="33">
        <f t="shared" si="28"/>
        <v>5859.13</v>
      </c>
      <c r="L362" s="33">
        <f t="shared" si="29"/>
        <v>58699.039999999994</v>
      </c>
      <c r="M362" s="33">
        <f t="shared" si="30"/>
        <v>677146.64000000013</v>
      </c>
      <c r="N362" s="235">
        <f t="shared" si="27"/>
        <v>0</v>
      </c>
      <c r="O362" s="35" t="s">
        <v>3327</v>
      </c>
      <c r="P362" s="35"/>
      <c r="Q362" s="39">
        <f>SUMIF('Antelope Bailey Split BA'!$B$7:$B$29,B362,'Antelope Bailey Split BA'!$C$7:$C$29)</f>
        <v>0</v>
      </c>
      <c r="R362" s="39" t="str">
        <f>IF(AND(Q362=1,'Plant Total by Account'!$J$1=2),"EKWRA","")</f>
        <v/>
      </c>
    </row>
    <row r="363" spans="1:18" x14ac:dyDescent="0.2">
      <c r="A363" s="31" t="s">
        <v>2911</v>
      </c>
      <c r="B363" s="36" t="s">
        <v>466</v>
      </c>
      <c r="C363" s="504" t="s">
        <v>3353</v>
      </c>
      <c r="D363" s="42">
        <v>389360.72</v>
      </c>
      <c r="E363" s="42">
        <v>866592.23</v>
      </c>
      <c r="F363" s="42">
        <v>4154937.5000000005</v>
      </c>
      <c r="G363" s="581">
        <f t="shared" si="26"/>
        <v>5410890.4500000002</v>
      </c>
      <c r="H363" s="33">
        <v>0</v>
      </c>
      <c r="I363" s="33">
        <v>0</v>
      </c>
      <c r="J363" s="33">
        <v>0</v>
      </c>
      <c r="K363" s="33">
        <f t="shared" si="28"/>
        <v>389360.72</v>
      </c>
      <c r="L363" s="33">
        <f t="shared" si="29"/>
        <v>866592.23</v>
      </c>
      <c r="M363" s="33">
        <f t="shared" si="30"/>
        <v>4154937.5000000005</v>
      </c>
      <c r="N363" s="235">
        <f t="shared" si="27"/>
        <v>0</v>
      </c>
      <c r="O363" s="35" t="s">
        <v>3327</v>
      </c>
      <c r="P363" s="35"/>
      <c r="Q363" s="39">
        <f>SUMIF('Antelope Bailey Split BA'!$B$7:$B$29,B363,'Antelope Bailey Split BA'!$C$7:$C$29)</f>
        <v>0</v>
      </c>
      <c r="R363" s="39" t="str">
        <f>IF(AND(Q363=1,'Plant Total by Account'!$J$1=2),"EKWRA","")</f>
        <v/>
      </c>
    </row>
    <row r="364" spans="1:18" x14ac:dyDescent="0.2">
      <c r="A364" s="31" t="s">
        <v>2912</v>
      </c>
      <c r="B364" s="36" t="s">
        <v>467</v>
      </c>
      <c r="C364" s="504" t="s">
        <v>3353</v>
      </c>
      <c r="D364" s="42">
        <v>18795.05</v>
      </c>
      <c r="E364" s="42">
        <v>92488.63</v>
      </c>
      <c r="F364" s="42">
        <v>1706532.7499999993</v>
      </c>
      <c r="G364" s="581">
        <f t="shared" si="26"/>
        <v>1817816.4299999992</v>
      </c>
      <c r="H364" s="33">
        <v>0</v>
      </c>
      <c r="I364" s="33">
        <v>0</v>
      </c>
      <c r="J364" s="33">
        <v>0</v>
      </c>
      <c r="K364" s="33">
        <f t="shared" si="28"/>
        <v>18795.05</v>
      </c>
      <c r="L364" s="33">
        <f t="shared" si="29"/>
        <v>92488.63</v>
      </c>
      <c r="M364" s="33">
        <f t="shared" si="30"/>
        <v>1706532.7499999993</v>
      </c>
      <c r="N364" s="235">
        <f t="shared" si="27"/>
        <v>0</v>
      </c>
      <c r="O364" s="35" t="s">
        <v>3327</v>
      </c>
      <c r="P364" s="35"/>
      <c r="Q364" s="39">
        <f>SUMIF('Antelope Bailey Split BA'!$B$7:$B$29,B364,'Antelope Bailey Split BA'!$C$7:$C$29)</f>
        <v>0</v>
      </c>
      <c r="R364" s="39" t="str">
        <f>IF(AND(Q364=1,'Plant Total by Account'!$J$1=2),"EKWRA","")</f>
        <v/>
      </c>
    </row>
    <row r="365" spans="1:18" ht="12.75" customHeight="1" x14ac:dyDescent="0.2">
      <c r="A365" s="31" t="s">
        <v>2913</v>
      </c>
      <c r="B365" s="36" t="s">
        <v>468</v>
      </c>
      <c r="C365" s="504" t="s">
        <v>3352</v>
      </c>
      <c r="D365" s="42">
        <v>7735.3</v>
      </c>
      <c r="E365" s="42">
        <v>66117.040000000008</v>
      </c>
      <c r="F365" s="42">
        <v>1421238.6600000006</v>
      </c>
      <c r="G365" s="581">
        <f t="shared" si="26"/>
        <v>1495091.0000000007</v>
      </c>
      <c r="H365" s="33">
        <v>0</v>
      </c>
      <c r="I365" s="33">
        <v>0</v>
      </c>
      <c r="J365" s="33">
        <v>0</v>
      </c>
      <c r="K365" s="33">
        <f t="shared" si="28"/>
        <v>7735.3</v>
      </c>
      <c r="L365" s="33">
        <f t="shared" si="29"/>
        <v>66117.040000000008</v>
      </c>
      <c r="M365" s="33">
        <f t="shared" si="30"/>
        <v>1421238.6600000006</v>
      </c>
      <c r="N365" s="235">
        <f t="shared" si="27"/>
        <v>0</v>
      </c>
      <c r="O365" s="35" t="s">
        <v>3327</v>
      </c>
      <c r="P365" s="35"/>
      <c r="Q365" s="39">
        <f>SUMIF('Antelope Bailey Split BA'!$B$7:$B$29,B365,'Antelope Bailey Split BA'!$C$7:$C$29)</f>
        <v>0</v>
      </c>
      <c r="R365" s="39" t="str">
        <f>IF(AND(Q365=1,'Plant Total by Account'!$J$1=2),"EKWRA","")</f>
        <v/>
      </c>
    </row>
    <row r="366" spans="1:18" x14ac:dyDescent="0.2">
      <c r="A366" s="31" t="s">
        <v>2914</v>
      </c>
      <c r="B366" s="36" t="s">
        <v>469</v>
      </c>
      <c r="C366" s="504" t="s">
        <v>3352</v>
      </c>
      <c r="D366" s="42">
        <v>1727.47</v>
      </c>
      <c r="E366" s="42">
        <v>28038.460000000003</v>
      </c>
      <c r="F366" s="42">
        <v>1149476.2800000003</v>
      </c>
      <c r="G366" s="581">
        <f t="shared" si="26"/>
        <v>1179242.2100000002</v>
      </c>
      <c r="H366" s="33">
        <v>0</v>
      </c>
      <c r="I366" s="33">
        <v>0</v>
      </c>
      <c r="J366" s="33">
        <v>0</v>
      </c>
      <c r="K366" s="33">
        <f t="shared" si="28"/>
        <v>1727.47</v>
      </c>
      <c r="L366" s="33">
        <f t="shared" si="29"/>
        <v>28038.460000000003</v>
      </c>
      <c r="M366" s="33">
        <f t="shared" si="30"/>
        <v>1149476.2800000003</v>
      </c>
      <c r="N366" s="235">
        <f t="shared" si="27"/>
        <v>0</v>
      </c>
      <c r="O366" s="35" t="s">
        <v>3327</v>
      </c>
      <c r="P366" s="35"/>
      <c r="Q366" s="39">
        <f>SUMIF('Antelope Bailey Split BA'!$B$7:$B$29,B366,'Antelope Bailey Split BA'!$C$7:$C$29)</f>
        <v>0</v>
      </c>
      <c r="R366" s="39" t="str">
        <f>IF(AND(Q366=1,'Plant Total by Account'!$J$1=2),"EKWRA","")</f>
        <v/>
      </c>
    </row>
    <row r="367" spans="1:18" x14ac:dyDescent="0.2">
      <c r="A367" s="31" t="s">
        <v>2915</v>
      </c>
      <c r="B367" s="36" t="s">
        <v>470</v>
      </c>
      <c r="C367" s="504" t="s">
        <v>3352</v>
      </c>
      <c r="D367" s="42">
        <v>0</v>
      </c>
      <c r="E367" s="42">
        <v>13026.140000000001</v>
      </c>
      <c r="F367" s="42">
        <v>0</v>
      </c>
      <c r="G367" s="581">
        <f t="shared" si="26"/>
        <v>13026.140000000001</v>
      </c>
      <c r="H367" s="33">
        <v>0</v>
      </c>
      <c r="I367" s="33">
        <v>0</v>
      </c>
      <c r="J367" s="33">
        <v>0</v>
      </c>
      <c r="K367" s="33">
        <f t="shared" si="28"/>
        <v>0</v>
      </c>
      <c r="L367" s="33">
        <f t="shared" si="29"/>
        <v>13026.140000000001</v>
      </c>
      <c r="M367" s="33">
        <f t="shared" si="30"/>
        <v>0</v>
      </c>
      <c r="N367" s="235">
        <f t="shared" si="27"/>
        <v>0</v>
      </c>
      <c r="O367" s="35" t="s">
        <v>3327</v>
      </c>
      <c r="P367" s="35"/>
      <c r="Q367" s="39">
        <f>SUMIF('Antelope Bailey Split BA'!$B$7:$B$29,B367,'Antelope Bailey Split BA'!$C$7:$C$29)</f>
        <v>0</v>
      </c>
      <c r="R367" s="39" t="str">
        <f>IF(AND(Q367=1,'Plant Total by Account'!$J$1=2),"EKWRA","")</f>
        <v/>
      </c>
    </row>
    <row r="368" spans="1:18" ht="12.75" customHeight="1" x14ac:dyDescent="0.2">
      <c r="A368" s="31" t="s">
        <v>2450</v>
      </c>
      <c r="B368" s="36" t="s">
        <v>471</v>
      </c>
      <c r="C368" s="504" t="s">
        <v>3353</v>
      </c>
      <c r="D368" s="42">
        <v>959.21</v>
      </c>
      <c r="E368" s="42">
        <v>18768.36</v>
      </c>
      <c r="F368" s="42">
        <v>751032.67000000016</v>
      </c>
      <c r="G368" s="581">
        <f t="shared" si="26"/>
        <v>770760.24000000011</v>
      </c>
      <c r="H368" s="33">
        <v>0</v>
      </c>
      <c r="I368" s="33">
        <v>0</v>
      </c>
      <c r="J368" s="33">
        <v>0</v>
      </c>
      <c r="K368" s="129">
        <f t="shared" si="28"/>
        <v>959.21</v>
      </c>
      <c r="L368" s="129">
        <f t="shared" si="29"/>
        <v>18768.36</v>
      </c>
      <c r="M368" s="129">
        <f t="shared" si="30"/>
        <v>751032.67000000016</v>
      </c>
      <c r="N368" s="235">
        <f t="shared" si="27"/>
        <v>0</v>
      </c>
      <c r="O368" s="35" t="s">
        <v>3327</v>
      </c>
      <c r="P368" s="35"/>
      <c r="Q368" s="39">
        <f>SUMIF('Antelope Bailey Split BA'!$B$7:$B$29,B368,'Antelope Bailey Split BA'!$C$7:$C$29)</f>
        <v>1</v>
      </c>
      <c r="R368" s="39" t="str">
        <f>IF(AND(Q368=1,'Plant Total by Account'!$J$1=2),"EKWRA","")</f>
        <v>EKWRA</v>
      </c>
    </row>
    <row r="369" spans="1:18" x14ac:dyDescent="0.2">
      <c r="A369" s="31" t="s">
        <v>2916</v>
      </c>
      <c r="B369" s="36" t="s">
        <v>472</v>
      </c>
      <c r="C369" s="504" t="s">
        <v>3353</v>
      </c>
      <c r="D369" s="42">
        <v>36966.57</v>
      </c>
      <c r="E369" s="42">
        <v>307367</v>
      </c>
      <c r="F369" s="42">
        <v>5135369.6699999953</v>
      </c>
      <c r="G369" s="581">
        <f t="shared" si="26"/>
        <v>5479703.2399999956</v>
      </c>
      <c r="H369" s="33">
        <v>0</v>
      </c>
      <c r="I369" s="33">
        <v>0</v>
      </c>
      <c r="J369" s="33">
        <v>0</v>
      </c>
      <c r="K369" s="33">
        <f t="shared" si="28"/>
        <v>36966.57</v>
      </c>
      <c r="L369" s="33">
        <f t="shared" si="29"/>
        <v>307367</v>
      </c>
      <c r="M369" s="33">
        <f t="shared" si="30"/>
        <v>5135369.6699999953</v>
      </c>
      <c r="N369" s="235">
        <f t="shared" si="27"/>
        <v>0</v>
      </c>
      <c r="O369" s="35" t="s">
        <v>3327</v>
      </c>
      <c r="P369" s="35"/>
      <c r="Q369" s="39">
        <f>SUMIF('Antelope Bailey Split BA'!$B$7:$B$29,B369,'Antelope Bailey Split BA'!$C$7:$C$29)</f>
        <v>0</v>
      </c>
      <c r="R369" s="39" t="str">
        <f>IF(AND(Q369=1,'Plant Total by Account'!$J$1=2),"EKWRA","")</f>
        <v/>
      </c>
    </row>
    <row r="370" spans="1:18" ht="12.75" customHeight="1" x14ac:dyDescent="0.2">
      <c r="A370" s="31" t="s">
        <v>2917</v>
      </c>
      <c r="B370" s="36" t="s">
        <v>473</v>
      </c>
      <c r="C370" s="504" t="s">
        <v>3353</v>
      </c>
      <c r="D370" s="42">
        <v>5325.34</v>
      </c>
      <c r="E370" s="42">
        <v>150192.97999999998</v>
      </c>
      <c r="F370" s="42">
        <v>7266166.799999997</v>
      </c>
      <c r="G370" s="581">
        <f t="shared" si="26"/>
        <v>7421685.1199999973</v>
      </c>
      <c r="H370" s="33">
        <v>0</v>
      </c>
      <c r="I370" s="33">
        <v>0</v>
      </c>
      <c r="J370" s="33">
        <v>0</v>
      </c>
      <c r="K370" s="33">
        <f t="shared" si="28"/>
        <v>5325.34</v>
      </c>
      <c r="L370" s="33">
        <f t="shared" si="29"/>
        <v>150192.97999999998</v>
      </c>
      <c r="M370" s="33">
        <f t="shared" si="30"/>
        <v>7266166.799999997</v>
      </c>
      <c r="N370" s="235">
        <f t="shared" si="27"/>
        <v>0</v>
      </c>
      <c r="O370" s="35" t="s">
        <v>3327</v>
      </c>
      <c r="P370" s="35"/>
      <c r="Q370" s="39">
        <f>SUMIF('Antelope Bailey Split BA'!$B$7:$B$29,B370,'Antelope Bailey Split BA'!$C$7:$C$29)</f>
        <v>0</v>
      </c>
      <c r="R370" s="39" t="str">
        <f>IF(AND(Q370=1,'Plant Total by Account'!$J$1=2),"EKWRA","")</f>
        <v/>
      </c>
    </row>
    <row r="371" spans="1:18" x14ac:dyDescent="0.2">
      <c r="A371" s="31" t="s">
        <v>2918</v>
      </c>
      <c r="B371" s="36" t="s">
        <v>474</v>
      </c>
      <c r="C371" s="504" t="s">
        <v>3353</v>
      </c>
      <c r="D371" s="42">
        <v>12556.380000000001</v>
      </c>
      <c r="E371" s="42">
        <v>661717.95000000007</v>
      </c>
      <c r="F371" s="42">
        <v>3021167.9800000009</v>
      </c>
      <c r="G371" s="581">
        <f t="shared" si="26"/>
        <v>3695442.310000001</v>
      </c>
      <c r="H371" s="33">
        <v>0</v>
      </c>
      <c r="I371" s="33">
        <v>0</v>
      </c>
      <c r="J371" s="33">
        <v>0</v>
      </c>
      <c r="K371" s="33">
        <f t="shared" si="28"/>
        <v>12556.380000000001</v>
      </c>
      <c r="L371" s="33">
        <f t="shared" si="29"/>
        <v>661717.95000000007</v>
      </c>
      <c r="M371" s="33">
        <f t="shared" si="30"/>
        <v>3021167.9800000009</v>
      </c>
      <c r="N371" s="235">
        <f t="shared" si="27"/>
        <v>0</v>
      </c>
      <c r="O371" s="35" t="s">
        <v>3327</v>
      </c>
      <c r="P371" s="35"/>
      <c r="Q371" s="39">
        <f>SUMIF('Antelope Bailey Split BA'!$B$7:$B$29,B371,'Antelope Bailey Split BA'!$C$7:$C$29)</f>
        <v>0</v>
      </c>
      <c r="R371" s="39" t="str">
        <f>IF(AND(Q371=1,'Plant Total by Account'!$J$1=2),"EKWRA","")</f>
        <v/>
      </c>
    </row>
    <row r="372" spans="1:18" x14ac:dyDescent="0.2">
      <c r="A372" s="31" t="s">
        <v>2919</v>
      </c>
      <c r="B372" s="36" t="s">
        <v>475</v>
      </c>
      <c r="C372" s="504" t="s">
        <v>3353</v>
      </c>
      <c r="D372" s="42">
        <v>10253.02</v>
      </c>
      <c r="E372" s="42">
        <v>25441.000000000004</v>
      </c>
      <c r="F372" s="42">
        <v>1656380.0100000005</v>
      </c>
      <c r="G372" s="581">
        <f t="shared" si="26"/>
        <v>1692074.0300000005</v>
      </c>
      <c r="H372" s="33">
        <v>0</v>
      </c>
      <c r="I372" s="33">
        <v>0</v>
      </c>
      <c r="J372" s="33">
        <v>0</v>
      </c>
      <c r="K372" s="33">
        <f t="shared" si="28"/>
        <v>10253.02</v>
      </c>
      <c r="L372" s="33">
        <f t="shared" si="29"/>
        <v>25441.000000000004</v>
      </c>
      <c r="M372" s="33">
        <f t="shared" si="30"/>
        <v>1656380.0100000005</v>
      </c>
      <c r="N372" s="235">
        <f t="shared" si="27"/>
        <v>0</v>
      </c>
      <c r="O372" s="35" t="s">
        <v>3327</v>
      </c>
      <c r="P372" s="35"/>
      <c r="Q372" s="39">
        <f>SUMIF('Antelope Bailey Split BA'!$B$7:$B$29,B372,'Antelope Bailey Split BA'!$C$7:$C$29)</f>
        <v>0</v>
      </c>
      <c r="R372" s="39" t="str">
        <f>IF(AND(Q372=1,'Plant Total by Account'!$J$1=2),"EKWRA","")</f>
        <v/>
      </c>
    </row>
    <row r="373" spans="1:18" x14ac:dyDescent="0.2">
      <c r="A373" s="31" t="s">
        <v>2920</v>
      </c>
      <c r="B373" s="36" t="s">
        <v>476</v>
      </c>
      <c r="C373" s="504" t="s">
        <v>3353</v>
      </c>
      <c r="D373" s="42">
        <v>2601.87</v>
      </c>
      <c r="E373" s="42">
        <v>28000.959999999999</v>
      </c>
      <c r="F373" s="42">
        <v>1356666.56</v>
      </c>
      <c r="G373" s="581">
        <f t="shared" si="26"/>
        <v>1387269.3900000001</v>
      </c>
      <c r="H373" s="33">
        <v>0</v>
      </c>
      <c r="I373" s="33">
        <v>0</v>
      </c>
      <c r="J373" s="33">
        <v>0</v>
      </c>
      <c r="K373" s="33">
        <f t="shared" si="28"/>
        <v>2601.87</v>
      </c>
      <c r="L373" s="33">
        <f t="shared" si="29"/>
        <v>28000.959999999999</v>
      </c>
      <c r="M373" s="33">
        <f t="shared" si="30"/>
        <v>1356666.56</v>
      </c>
      <c r="N373" s="235">
        <f t="shared" si="27"/>
        <v>0</v>
      </c>
      <c r="O373" s="35" t="s">
        <v>3327</v>
      </c>
      <c r="P373" s="35"/>
      <c r="Q373" s="39">
        <f>SUMIF('Antelope Bailey Split BA'!$B$7:$B$29,B373,'Antelope Bailey Split BA'!$C$7:$C$29)</f>
        <v>0</v>
      </c>
      <c r="R373" s="39" t="str">
        <f>IF(AND(Q373=1,'Plant Total by Account'!$J$1=2),"EKWRA","")</f>
        <v/>
      </c>
    </row>
    <row r="374" spans="1:18" x14ac:dyDescent="0.2">
      <c r="A374" s="31" t="s">
        <v>2921</v>
      </c>
      <c r="B374" s="36" t="s">
        <v>477</v>
      </c>
      <c r="C374" s="504" t="s">
        <v>3352</v>
      </c>
      <c r="D374" s="42">
        <v>3098.98</v>
      </c>
      <c r="E374" s="42">
        <v>83512.850000000006</v>
      </c>
      <c r="F374" s="42">
        <v>966112.23999999976</v>
      </c>
      <c r="G374" s="581">
        <f t="shared" si="26"/>
        <v>1052724.0699999998</v>
      </c>
      <c r="H374" s="33">
        <v>0</v>
      </c>
      <c r="I374" s="33">
        <v>0</v>
      </c>
      <c r="J374" s="33">
        <v>0</v>
      </c>
      <c r="K374" s="33">
        <f t="shared" si="28"/>
        <v>3098.98</v>
      </c>
      <c r="L374" s="33">
        <f t="shared" si="29"/>
        <v>83512.850000000006</v>
      </c>
      <c r="M374" s="33">
        <f t="shared" si="30"/>
        <v>966112.23999999976</v>
      </c>
      <c r="N374" s="235">
        <f t="shared" si="27"/>
        <v>0</v>
      </c>
      <c r="O374" s="35" t="s">
        <v>3327</v>
      </c>
      <c r="P374" s="35"/>
      <c r="Q374" s="39">
        <f>SUMIF('Antelope Bailey Split BA'!$B$7:$B$29,B374,'Antelope Bailey Split BA'!$C$7:$C$29)</f>
        <v>0</v>
      </c>
      <c r="R374" s="39" t="str">
        <f>IF(AND(Q374=1,'Plant Total by Account'!$J$1=2),"EKWRA","")</f>
        <v/>
      </c>
    </row>
    <row r="375" spans="1:18" ht="12.75" customHeight="1" x14ac:dyDescent="0.2">
      <c r="A375" s="31" t="s">
        <v>2451</v>
      </c>
      <c r="B375" s="36" t="s">
        <v>479</v>
      </c>
      <c r="C375" s="504" t="s">
        <v>3353</v>
      </c>
      <c r="D375" s="42">
        <v>1087.8700000000001</v>
      </c>
      <c r="E375" s="42">
        <v>77814.950000000012</v>
      </c>
      <c r="F375" s="42">
        <v>2300493.5500000017</v>
      </c>
      <c r="G375" s="581">
        <f t="shared" si="26"/>
        <v>2379396.3700000015</v>
      </c>
      <c r="H375" s="33">
        <v>0</v>
      </c>
      <c r="I375" s="33">
        <v>0</v>
      </c>
      <c r="J375" s="33">
        <v>0</v>
      </c>
      <c r="K375" s="129">
        <f t="shared" si="28"/>
        <v>1087.8700000000001</v>
      </c>
      <c r="L375" s="129">
        <f t="shared" si="29"/>
        <v>77814.950000000012</v>
      </c>
      <c r="M375" s="129">
        <f t="shared" si="30"/>
        <v>2300493.5500000017</v>
      </c>
      <c r="N375" s="235">
        <f t="shared" si="27"/>
        <v>0</v>
      </c>
      <c r="O375" s="35" t="s">
        <v>3327</v>
      </c>
      <c r="P375" s="35"/>
      <c r="Q375" s="39">
        <f>SUMIF('Antelope Bailey Split BA'!$B$7:$B$29,B375,'Antelope Bailey Split BA'!$C$7:$C$29)</f>
        <v>1</v>
      </c>
      <c r="R375" s="39" t="str">
        <f>IF(AND(Q375=1,'Plant Total by Account'!$J$1=2),"EKWRA","")</f>
        <v>EKWRA</v>
      </c>
    </row>
    <row r="376" spans="1:18" x14ac:dyDescent="0.2">
      <c r="A376" s="31" t="s">
        <v>2923</v>
      </c>
      <c r="B376" s="36" t="s">
        <v>480</v>
      </c>
      <c r="C376" s="504" t="s">
        <v>3353</v>
      </c>
      <c r="D376" s="42">
        <v>141650.35</v>
      </c>
      <c r="E376" s="42">
        <v>192518.17</v>
      </c>
      <c r="F376" s="42">
        <v>6058538.5900000054</v>
      </c>
      <c r="G376" s="581">
        <f t="shared" si="26"/>
        <v>6392707.110000005</v>
      </c>
      <c r="H376" s="33">
        <v>0</v>
      </c>
      <c r="I376" s="33">
        <v>0</v>
      </c>
      <c r="J376" s="33">
        <v>0</v>
      </c>
      <c r="K376" s="33">
        <f t="shared" si="28"/>
        <v>141650.35</v>
      </c>
      <c r="L376" s="33">
        <f t="shared" si="29"/>
        <v>192518.17</v>
      </c>
      <c r="M376" s="33">
        <f t="shared" si="30"/>
        <v>6058538.5900000054</v>
      </c>
      <c r="N376" s="235">
        <f t="shared" si="27"/>
        <v>0</v>
      </c>
      <c r="O376" s="35" t="s">
        <v>3327</v>
      </c>
      <c r="P376" s="35"/>
      <c r="Q376" s="39">
        <f>SUMIF('Antelope Bailey Split BA'!$B$7:$B$29,B376,'Antelope Bailey Split BA'!$C$7:$C$29)</f>
        <v>0</v>
      </c>
      <c r="R376" s="39" t="str">
        <f>IF(AND(Q376=1,'Plant Total by Account'!$J$1=2),"EKWRA","")</f>
        <v/>
      </c>
    </row>
    <row r="377" spans="1:18" x14ac:dyDescent="0.2">
      <c r="A377" s="31" t="s">
        <v>2924</v>
      </c>
      <c r="B377" s="36" t="s">
        <v>481</v>
      </c>
      <c r="C377" s="504" t="s">
        <v>3353</v>
      </c>
      <c r="D377" s="42">
        <v>0</v>
      </c>
      <c r="E377" s="42">
        <v>11659.79</v>
      </c>
      <c r="F377" s="42">
        <v>505486.74000000011</v>
      </c>
      <c r="G377" s="581">
        <f t="shared" si="26"/>
        <v>517146.53000000009</v>
      </c>
      <c r="H377" s="33">
        <v>0</v>
      </c>
      <c r="I377" s="33">
        <v>0</v>
      </c>
      <c r="J377" s="33">
        <v>0</v>
      </c>
      <c r="K377" s="33">
        <f t="shared" si="28"/>
        <v>0</v>
      </c>
      <c r="L377" s="33">
        <f t="shared" si="29"/>
        <v>11659.79</v>
      </c>
      <c r="M377" s="33">
        <f t="shared" si="30"/>
        <v>505486.74000000011</v>
      </c>
      <c r="N377" s="235">
        <f t="shared" si="27"/>
        <v>0</v>
      </c>
      <c r="O377" s="35" t="s">
        <v>3327</v>
      </c>
      <c r="P377" s="35"/>
      <c r="Q377" s="39">
        <f>SUMIF('Antelope Bailey Split BA'!$B$7:$B$29,B377,'Antelope Bailey Split BA'!$C$7:$C$29)</f>
        <v>0</v>
      </c>
      <c r="R377" s="39" t="str">
        <f>IF(AND(Q377=1,'Plant Total by Account'!$J$1=2),"EKWRA","")</f>
        <v/>
      </c>
    </row>
    <row r="378" spans="1:18" x14ac:dyDescent="0.2">
      <c r="A378" s="31" t="s">
        <v>2925</v>
      </c>
      <c r="B378" s="36" t="s">
        <v>482</v>
      </c>
      <c r="C378" s="504" t="s">
        <v>3352</v>
      </c>
      <c r="D378" s="42">
        <v>0</v>
      </c>
      <c r="E378" s="42">
        <v>17697.64</v>
      </c>
      <c r="F378" s="42">
        <v>52376.210000000006</v>
      </c>
      <c r="G378" s="581">
        <f t="shared" si="26"/>
        <v>70073.850000000006</v>
      </c>
      <c r="H378" s="33">
        <v>0</v>
      </c>
      <c r="I378" s="33">
        <v>0</v>
      </c>
      <c r="J378" s="33">
        <v>0</v>
      </c>
      <c r="K378" s="33">
        <f t="shared" si="28"/>
        <v>0</v>
      </c>
      <c r="L378" s="33">
        <f t="shared" si="29"/>
        <v>17697.64</v>
      </c>
      <c r="M378" s="33">
        <f t="shared" si="30"/>
        <v>52376.210000000006</v>
      </c>
      <c r="N378" s="235">
        <f t="shared" si="27"/>
        <v>0</v>
      </c>
      <c r="O378" s="35" t="s">
        <v>3327</v>
      </c>
      <c r="P378" s="35"/>
      <c r="Q378" s="39">
        <f>SUMIF('Antelope Bailey Split BA'!$B$7:$B$29,B378,'Antelope Bailey Split BA'!$C$7:$C$29)</f>
        <v>0</v>
      </c>
      <c r="R378" s="39" t="str">
        <f>IF(AND(Q378=1,'Plant Total by Account'!$J$1=2),"EKWRA","")</f>
        <v/>
      </c>
    </row>
    <row r="379" spans="1:18" ht="12.75" customHeight="1" x14ac:dyDescent="0.2">
      <c r="A379" s="31" t="s">
        <v>2452</v>
      </c>
      <c r="B379" s="36" t="s">
        <v>483</v>
      </c>
      <c r="C379" s="504" t="s">
        <v>3353</v>
      </c>
      <c r="D379" s="42">
        <v>3756.67</v>
      </c>
      <c r="E379" s="42">
        <v>55479.61</v>
      </c>
      <c r="F379" s="42">
        <v>619929.90000000014</v>
      </c>
      <c r="G379" s="581">
        <f t="shared" si="26"/>
        <v>679166.18000000017</v>
      </c>
      <c r="H379" s="33">
        <v>0</v>
      </c>
      <c r="I379" s="33">
        <v>0</v>
      </c>
      <c r="J379" s="33">
        <v>0</v>
      </c>
      <c r="K379" s="129">
        <f t="shared" si="28"/>
        <v>3756.67</v>
      </c>
      <c r="L379" s="129">
        <f t="shared" si="29"/>
        <v>55479.61</v>
      </c>
      <c r="M379" s="129">
        <f t="shared" si="30"/>
        <v>619929.90000000014</v>
      </c>
      <c r="N379" s="235">
        <f t="shared" si="27"/>
        <v>0</v>
      </c>
      <c r="O379" s="35" t="s">
        <v>3327</v>
      </c>
      <c r="P379" s="35"/>
      <c r="Q379" s="39">
        <f>SUMIF('Antelope Bailey Split BA'!$B$7:$B$29,B379,'Antelope Bailey Split BA'!$C$7:$C$29)</f>
        <v>1</v>
      </c>
      <c r="R379" s="39" t="str">
        <f>IF(AND(Q379=1,'Plant Total by Account'!$J$1=2),"EKWRA","")</f>
        <v>EKWRA</v>
      </c>
    </row>
    <row r="380" spans="1:18" ht="12.75" customHeight="1" x14ac:dyDescent="0.2">
      <c r="A380" s="31" t="s">
        <v>2453</v>
      </c>
      <c r="B380" s="36" t="s">
        <v>484</v>
      </c>
      <c r="C380" s="504" t="s">
        <v>3353</v>
      </c>
      <c r="D380" s="42">
        <v>86331.28</v>
      </c>
      <c r="E380" s="42">
        <v>190256.34000000005</v>
      </c>
      <c r="F380" s="42">
        <v>7226823.5699999947</v>
      </c>
      <c r="G380" s="581">
        <f t="shared" si="26"/>
        <v>7503411.1899999948</v>
      </c>
      <c r="H380" s="33">
        <v>0</v>
      </c>
      <c r="I380" s="33">
        <v>0</v>
      </c>
      <c r="J380" s="33">
        <v>0</v>
      </c>
      <c r="K380" s="33">
        <f t="shared" si="28"/>
        <v>86331.28</v>
      </c>
      <c r="L380" s="33">
        <f t="shared" si="29"/>
        <v>190256.34000000005</v>
      </c>
      <c r="M380" s="33">
        <f t="shared" si="30"/>
        <v>7226823.5699999947</v>
      </c>
      <c r="N380" s="235">
        <f t="shared" si="27"/>
        <v>0</v>
      </c>
      <c r="O380" s="35" t="s">
        <v>3327</v>
      </c>
      <c r="P380" s="35"/>
      <c r="Q380" s="39">
        <f>SUMIF('Antelope Bailey Split BA'!$B$7:$B$29,B380,'Antelope Bailey Split BA'!$C$7:$C$29)</f>
        <v>0</v>
      </c>
      <c r="R380" s="39" t="str">
        <f>IF(AND(Q380=1,'Plant Total by Account'!$J$1=2),"EKWRA","")</f>
        <v/>
      </c>
    </row>
    <row r="381" spans="1:18" ht="12.75" customHeight="1" x14ac:dyDescent="0.2">
      <c r="A381" s="31" t="s">
        <v>2454</v>
      </c>
      <c r="B381" s="36" t="s">
        <v>486</v>
      </c>
      <c r="C381" s="504" t="s">
        <v>3353</v>
      </c>
      <c r="D381" s="42">
        <v>5187.7700000000004</v>
      </c>
      <c r="E381" s="42">
        <v>1523549.6300000001</v>
      </c>
      <c r="F381" s="42">
        <v>9254860.1899999995</v>
      </c>
      <c r="G381" s="581">
        <f t="shared" si="26"/>
        <v>10783597.59</v>
      </c>
      <c r="H381" s="33">
        <v>0</v>
      </c>
      <c r="I381" s="33">
        <v>0</v>
      </c>
      <c r="J381" s="33">
        <v>0</v>
      </c>
      <c r="K381" s="129">
        <f t="shared" si="28"/>
        <v>5187.7700000000004</v>
      </c>
      <c r="L381" s="129">
        <f t="shared" si="29"/>
        <v>1523549.6300000001</v>
      </c>
      <c r="M381" s="129">
        <f t="shared" si="30"/>
        <v>9254860.1899999995</v>
      </c>
      <c r="N381" s="235">
        <f t="shared" si="27"/>
        <v>0</v>
      </c>
      <c r="O381" s="35" t="s">
        <v>3327</v>
      </c>
      <c r="P381" s="35"/>
      <c r="Q381" s="39">
        <f>SUMIF('Antelope Bailey Split BA'!$B$7:$B$29,B381,'Antelope Bailey Split BA'!$C$7:$C$29)</f>
        <v>1</v>
      </c>
      <c r="R381" s="39" t="str">
        <f>IF(AND(Q381=1,'Plant Total by Account'!$J$1=2),"EKWRA","")</f>
        <v>EKWRA</v>
      </c>
    </row>
    <row r="382" spans="1:18" ht="12.75" customHeight="1" x14ac:dyDescent="0.2">
      <c r="A382" s="31" t="s">
        <v>2927</v>
      </c>
      <c r="B382" s="36" t="s">
        <v>487</v>
      </c>
      <c r="C382" s="504" t="s">
        <v>3352</v>
      </c>
      <c r="D382" s="42">
        <v>881.31000000000006</v>
      </c>
      <c r="E382" s="42">
        <v>5063.8100000000004</v>
      </c>
      <c r="F382" s="42">
        <v>392000.19999999995</v>
      </c>
      <c r="G382" s="581">
        <f t="shared" si="26"/>
        <v>397945.31999999995</v>
      </c>
      <c r="H382" s="33">
        <v>0</v>
      </c>
      <c r="I382" s="33">
        <v>0</v>
      </c>
      <c r="J382" s="33">
        <v>0</v>
      </c>
      <c r="K382" s="33">
        <f t="shared" si="28"/>
        <v>881.31000000000006</v>
      </c>
      <c r="L382" s="33">
        <f t="shared" si="29"/>
        <v>5063.8100000000004</v>
      </c>
      <c r="M382" s="33">
        <f t="shared" si="30"/>
        <v>392000.19999999995</v>
      </c>
      <c r="N382" s="235">
        <f t="shared" si="27"/>
        <v>0</v>
      </c>
      <c r="O382" s="35" t="s">
        <v>3327</v>
      </c>
      <c r="P382" s="35"/>
      <c r="Q382" s="39">
        <f>SUMIF('Antelope Bailey Split BA'!$B$7:$B$29,B382,'Antelope Bailey Split BA'!$C$7:$C$29)</f>
        <v>0</v>
      </c>
      <c r="R382" s="39" t="str">
        <f>IF(AND(Q382=1,'Plant Total by Account'!$J$1=2),"EKWRA","")</f>
        <v/>
      </c>
    </row>
    <row r="383" spans="1:18" ht="12.75" customHeight="1" x14ac:dyDescent="0.2">
      <c r="A383" s="31" t="s">
        <v>2928</v>
      </c>
      <c r="B383" s="36" t="s">
        <v>488</v>
      </c>
      <c r="C383" s="504" t="s">
        <v>3353</v>
      </c>
      <c r="D383" s="42">
        <v>518.76</v>
      </c>
      <c r="E383" s="42">
        <v>120636.88</v>
      </c>
      <c r="F383" s="42">
        <v>3423659.4099999992</v>
      </c>
      <c r="G383" s="581">
        <f t="shared" si="26"/>
        <v>3544815.0499999993</v>
      </c>
      <c r="H383" s="33">
        <v>0</v>
      </c>
      <c r="I383" s="33">
        <v>0</v>
      </c>
      <c r="J383" s="33">
        <v>0</v>
      </c>
      <c r="K383" s="33">
        <f t="shared" si="28"/>
        <v>518.76</v>
      </c>
      <c r="L383" s="33">
        <f t="shared" si="29"/>
        <v>120636.88</v>
      </c>
      <c r="M383" s="33">
        <f t="shared" si="30"/>
        <v>3423659.4099999992</v>
      </c>
      <c r="N383" s="235">
        <f t="shared" si="27"/>
        <v>0</v>
      </c>
      <c r="O383" s="35" t="s">
        <v>3327</v>
      </c>
      <c r="P383" s="35"/>
      <c r="Q383" s="39">
        <f>SUMIF('Antelope Bailey Split BA'!$B$7:$B$29,B383,'Antelope Bailey Split BA'!$C$7:$C$29)</f>
        <v>0</v>
      </c>
      <c r="R383" s="39" t="str">
        <f>IF(AND(Q383=1,'Plant Total by Account'!$J$1=2),"EKWRA","")</f>
        <v/>
      </c>
    </row>
    <row r="384" spans="1:18" ht="12.75" customHeight="1" x14ac:dyDescent="0.2">
      <c r="A384" s="31" t="s">
        <v>2929</v>
      </c>
      <c r="B384" s="36" t="s">
        <v>489</v>
      </c>
      <c r="C384" s="504" t="s">
        <v>3353</v>
      </c>
      <c r="D384" s="42">
        <v>2903.05</v>
      </c>
      <c r="E384" s="42">
        <v>22946.660000000003</v>
      </c>
      <c r="F384" s="42">
        <v>1265840.2399999998</v>
      </c>
      <c r="G384" s="581">
        <f t="shared" si="26"/>
        <v>1291689.9499999997</v>
      </c>
      <c r="H384" s="33">
        <v>0</v>
      </c>
      <c r="I384" s="33">
        <v>0</v>
      </c>
      <c r="J384" s="33">
        <v>0</v>
      </c>
      <c r="K384" s="33">
        <f t="shared" si="28"/>
        <v>2903.05</v>
      </c>
      <c r="L384" s="33">
        <f t="shared" si="29"/>
        <v>22946.660000000003</v>
      </c>
      <c r="M384" s="33">
        <f t="shared" si="30"/>
        <v>1265840.2399999998</v>
      </c>
      <c r="N384" s="235">
        <f t="shared" si="27"/>
        <v>0</v>
      </c>
      <c r="O384" s="35" t="s">
        <v>3327</v>
      </c>
      <c r="P384" s="35"/>
      <c r="Q384" s="39">
        <f>SUMIF('Antelope Bailey Split BA'!$B$7:$B$29,B384,'Antelope Bailey Split BA'!$C$7:$C$29)</f>
        <v>0</v>
      </c>
      <c r="R384" s="39" t="str">
        <f>IF(AND(Q384=1,'Plant Total by Account'!$J$1=2),"EKWRA","")</f>
        <v/>
      </c>
    </row>
    <row r="385" spans="1:18" x14ac:dyDescent="0.2">
      <c r="A385" s="31" t="s">
        <v>2930</v>
      </c>
      <c r="B385" s="36" t="s">
        <v>490</v>
      </c>
      <c r="C385" s="504" t="s">
        <v>3353</v>
      </c>
      <c r="D385" s="42">
        <v>16548.080000000002</v>
      </c>
      <c r="E385" s="42">
        <v>165645.43</v>
      </c>
      <c r="F385" s="42">
        <v>2200008.5499999993</v>
      </c>
      <c r="G385" s="581">
        <f t="shared" si="26"/>
        <v>2382202.0599999996</v>
      </c>
      <c r="H385" s="33">
        <v>0</v>
      </c>
      <c r="I385" s="33">
        <v>0</v>
      </c>
      <c r="J385" s="33">
        <v>0</v>
      </c>
      <c r="K385" s="33">
        <f t="shared" si="28"/>
        <v>16548.080000000002</v>
      </c>
      <c r="L385" s="33">
        <f t="shared" si="29"/>
        <v>165645.43</v>
      </c>
      <c r="M385" s="33">
        <f t="shared" si="30"/>
        <v>2200008.5499999993</v>
      </c>
      <c r="N385" s="235">
        <f t="shared" si="27"/>
        <v>0</v>
      </c>
      <c r="O385" s="35" t="s">
        <v>3327</v>
      </c>
      <c r="P385" s="35"/>
      <c r="Q385" s="39">
        <f>SUMIF('Antelope Bailey Split BA'!$B$7:$B$29,B385,'Antelope Bailey Split BA'!$C$7:$C$29)</f>
        <v>0</v>
      </c>
      <c r="R385" s="39" t="str">
        <f>IF(AND(Q385=1,'Plant Total by Account'!$J$1=2),"EKWRA","")</f>
        <v/>
      </c>
    </row>
    <row r="386" spans="1:18" x14ac:dyDescent="0.2">
      <c r="A386" s="31" t="s">
        <v>2455</v>
      </c>
      <c r="B386" s="36" t="s">
        <v>491</v>
      </c>
      <c r="C386" s="504" t="s">
        <v>3353</v>
      </c>
      <c r="D386" s="42">
        <v>0</v>
      </c>
      <c r="E386" s="42">
        <v>50566.97</v>
      </c>
      <c r="F386" s="42">
        <v>1419065.96</v>
      </c>
      <c r="G386" s="581">
        <f t="shared" si="26"/>
        <v>1469632.93</v>
      </c>
      <c r="H386" s="33">
        <v>0</v>
      </c>
      <c r="I386" s="33">
        <v>0</v>
      </c>
      <c r="J386" s="33">
        <v>0</v>
      </c>
      <c r="K386" s="129">
        <f t="shared" si="28"/>
        <v>0</v>
      </c>
      <c r="L386" s="129">
        <f t="shared" si="29"/>
        <v>50566.97</v>
      </c>
      <c r="M386" s="129">
        <f t="shared" si="30"/>
        <v>1419065.96</v>
      </c>
      <c r="N386" s="235">
        <f t="shared" si="27"/>
        <v>0</v>
      </c>
      <c r="O386" s="35" t="s">
        <v>3327</v>
      </c>
      <c r="P386" s="35"/>
      <c r="Q386" s="39">
        <f>SUMIF('Antelope Bailey Split BA'!$B$7:$B$29,B386,'Antelope Bailey Split BA'!$C$7:$C$29)</f>
        <v>1</v>
      </c>
      <c r="R386" s="39" t="str">
        <f>IF(AND(Q386=1,'Plant Total by Account'!$J$1=2),"EKWRA","")</f>
        <v>EKWRA</v>
      </c>
    </row>
    <row r="387" spans="1:18" x14ac:dyDescent="0.2">
      <c r="A387" s="31" t="s">
        <v>2931</v>
      </c>
      <c r="B387" s="36" t="s">
        <v>492</v>
      </c>
      <c r="C387" s="504" t="s">
        <v>3353</v>
      </c>
      <c r="D387" s="42">
        <v>1155.2</v>
      </c>
      <c r="E387" s="42">
        <v>3686.94</v>
      </c>
      <c r="F387" s="42">
        <v>29468.01</v>
      </c>
      <c r="G387" s="581">
        <f t="shared" si="26"/>
        <v>34310.15</v>
      </c>
      <c r="H387" s="33">
        <v>0</v>
      </c>
      <c r="I387" s="33">
        <v>0</v>
      </c>
      <c r="J387" s="33">
        <v>0</v>
      </c>
      <c r="K387" s="33">
        <f t="shared" si="28"/>
        <v>1155.2</v>
      </c>
      <c r="L387" s="33">
        <f t="shared" si="29"/>
        <v>3686.94</v>
      </c>
      <c r="M387" s="33">
        <f t="shared" si="30"/>
        <v>29468.01</v>
      </c>
      <c r="N387" s="235">
        <f t="shared" si="27"/>
        <v>0</v>
      </c>
      <c r="O387" s="35" t="s">
        <v>3327</v>
      </c>
      <c r="P387" s="35"/>
      <c r="Q387" s="39">
        <f>SUMIF('Antelope Bailey Split BA'!$B$7:$B$29,B387,'Antelope Bailey Split BA'!$C$7:$C$29)</f>
        <v>0</v>
      </c>
      <c r="R387" s="39" t="str">
        <f>IF(AND(Q387=1,'Plant Total by Account'!$J$1=2),"EKWRA","")</f>
        <v/>
      </c>
    </row>
    <row r="388" spans="1:18" x14ac:dyDescent="0.2">
      <c r="A388" s="31" t="s">
        <v>2932</v>
      </c>
      <c r="B388" s="36" t="s">
        <v>493</v>
      </c>
      <c r="C388" s="504" t="s">
        <v>3353</v>
      </c>
      <c r="D388" s="42">
        <v>3166.33</v>
      </c>
      <c r="E388" s="42">
        <v>31942.27</v>
      </c>
      <c r="F388" s="42">
        <v>3074773.2500000005</v>
      </c>
      <c r="G388" s="581">
        <f t="shared" si="26"/>
        <v>3109881.8500000006</v>
      </c>
      <c r="H388" s="33">
        <v>0</v>
      </c>
      <c r="I388" s="33">
        <v>0</v>
      </c>
      <c r="J388" s="33">
        <v>0</v>
      </c>
      <c r="K388" s="33">
        <f t="shared" si="28"/>
        <v>3166.33</v>
      </c>
      <c r="L388" s="33">
        <f t="shared" si="29"/>
        <v>31942.27</v>
      </c>
      <c r="M388" s="33">
        <f t="shared" si="30"/>
        <v>3074773.2500000005</v>
      </c>
      <c r="N388" s="235">
        <f t="shared" si="27"/>
        <v>0</v>
      </c>
      <c r="O388" s="35" t="s">
        <v>3327</v>
      </c>
      <c r="P388" s="35"/>
      <c r="Q388" s="39">
        <f>SUMIF('Antelope Bailey Split BA'!$B$7:$B$29,B388,'Antelope Bailey Split BA'!$C$7:$C$29)</f>
        <v>0</v>
      </c>
      <c r="R388" s="39" t="str">
        <f>IF(AND(Q388=1,'Plant Total by Account'!$J$1=2),"EKWRA","")</f>
        <v/>
      </c>
    </row>
    <row r="389" spans="1:18" x14ac:dyDescent="0.2">
      <c r="A389" s="31" t="s">
        <v>2456</v>
      </c>
      <c r="B389" s="36" t="s">
        <v>494</v>
      </c>
      <c r="C389" s="504" t="s">
        <v>3353</v>
      </c>
      <c r="D389" s="42">
        <v>3208.53</v>
      </c>
      <c r="E389" s="42">
        <v>84586.5</v>
      </c>
      <c r="F389" s="42">
        <v>450462.3</v>
      </c>
      <c r="G389" s="582">
        <f t="shared" si="26"/>
        <v>538257.32999999996</v>
      </c>
      <c r="H389" s="33">
        <v>0</v>
      </c>
      <c r="I389" s="33">
        <v>0</v>
      </c>
      <c r="J389" s="33">
        <v>0</v>
      </c>
      <c r="K389" s="129">
        <f t="shared" si="28"/>
        <v>3208.53</v>
      </c>
      <c r="L389" s="129">
        <f t="shared" si="29"/>
        <v>84586.5</v>
      </c>
      <c r="M389" s="129">
        <f t="shared" si="30"/>
        <v>450462.3</v>
      </c>
      <c r="N389" s="235">
        <f t="shared" si="27"/>
        <v>0</v>
      </c>
      <c r="O389" s="35" t="s">
        <v>3327</v>
      </c>
      <c r="P389" s="35"/>
      <c r="Q389" s="39">
        <f>SUMIF('Antelope Bailey Split BA'!$B$7:$B$29,B389,'Antelope Bailey Split BA'!$C$7:$C$29)</f>
        <v>0</v>
      </c>
      <c r="R389" s="39" t="str">
        <f>IF(AND(Q389=1,'Plant Total by Account'!$J$1=2),"EKWRA","")</f>
        <v/>
      </c>
    </row>
    <row r="390" spans="1:18" x14ac:dyDescent="0.2">
      <c r="A390" s="31" t="s">
        <v>2457</v>
      </c>
      <c r="B390" s="97" t="s">
        <v>495</v>
      </c>
      <c r="C390" s="504" t="s">
        <v>3353</v>
      </c>
      <c r="D390" s="42">
        <v>55457.94</v>
      </c>
      <c r="E390" s="42">
        <v>159578.97999999998</v>
      </c>
      <c r="F390" s="42">
        <v>8620724.9300000016</v>
      </c>
      <c r="G390" s="581">
        <f t="shared" si="26"/>
        <v>8835761.8500000015</v>
      </c>
      <c r="H390" s="33">
        <v>0</v>
      </c>
      <c r="I390" s="33">
        <v>0</v>
      </c>
      <c r="J390" s="33">
        <v>0</v>
      </c>
      <c r="K390" s="33">
        <f t="shared" si="28"/>
        <v>55457.94</v>
      </c>
      <c r="L390" s="33">
        <f t="shared" si="29"/>
        <v>159578.97999999998</v>
      </c>
      <c r="M390" s="33">
        <f t="shared" si="30"/>
        <v>8620724.9300000016</v>
      </c>
      <c r="N390" s="235">
        <f t="shared" si="27"/>
        <v>0</v>
      </c>
      <c r="O390" s="35" t="s">
        <v>3327</v>
      </c>
      <c r="P390" s="35"/>
      <c r="Q390" s="39">
        <f>SUMIF('Antelope Bailey Split BA'!$B$7:$B$29,B390,'Antelope Bailey Split BA'!$C$7:$C$29)</f>
        <v>0</v>
      </c>
      <c r="R390" s="39" t="str">
        <f>IF(AND(Q390=1,'Plant Total by Account'!$J$1=2),"EKWRA","")</f>
        <v/>
      </c>
    </row>
    <row r="391" spans="1:18" ht="12.75" customHeight="1" x14ac:dyDescent="0.2">
      <c r="A391" s="31" t="s">
        <v>2933</v>
      </c>
      <c r="B391" s="36" t="s">
        <v>496</v>
      </c>
      <c r="C391" s="504" t="s">
        <v>3353</v>
      </c>
      <c r="D391" s="42">
        <v>17362.68</v>
      </c>
      <c r="E391" s="42">
        <v>247803.49</v>
      </c>
      <c r="F391" s="42">
        <v>3016484.9000000004</v>
      </c>
      <c r="G391" s="581">
        <f t="shared" si="26"/>
        <v>3281651.0700000003</v>
      </c>
      <c r="H391" s="33">
        <v>0</v>
      </c>
      <c r="I391" s="33">
        <v>0</v>
      </c>
      <c r="J391" s="33">
        <v>0</v>
      </c>
      <c r="K391" s="33">
        <f t="shared" si="28"/>
        <v>17362.68</v>
      </c>
      <c r="L391" s="33">
        <f t="shared" si="29"/>
        <v>247803.49</v>
      </c>
      <c r="M391" s="33">
        <f t="shared" si="30"/>
        <v>3016484.9000000004</v>
      </c>
      <c r="N391" s="235">
        <f t="shared" si="27"/>
        <v>0</v>
      </c>
      <c r="O391" s="35" t="s">
        <v>3327</v>
      </c>
      <c r="P391" s="35"/>
      <c r="Q391" s="39">
        <f>SUMIF('Antelope Bailey Split BA'!$B$7:$B$29,B391,'Antelope Bailey Split BA'!$C$7:$C$29)</f>
        <v>0</v>
      </c>
      <c r="R391" s="39" t="str">
        <f>IF(AND(Q391=1,'Plant Total by Account'!$J$1=2),"EKWRA","")</f>
        <v/>
      </c>
    </row>
    <row r="392" spans="1:18" ht="12.75" customHeight="1" x14ac:dyDescent="0.2">
      <c r="A392" s="31" t="s">
        <v>2934</v>
      </c>
      <c r="B392" s="36" t="s">
        <v>497</v>
      </c>
      <c r="C392" s="504" t="s">
        <v>3353</v>
      </c>
      <c r="D392" s="42">
        <v>0</v>
      </c>
      <c r="E392" s="42">
        <v>86872.06</v>
      </c>
      <c r="F392" s="42">
        <v>234592.76</v>
      </c>
      <c r="G392" s="581">
        <f t="shared" si="26"/>
        <v>321464.82</v>
      </c>
      <c r="H392" s="33">
        <v>0</v>
      </c>
      <c r="I392" s="33">
        <v>0</v>
      </c>
      <c r="J392" s="33">
        <v>0</v>
      </c>
      <c r="K392" s="33">
        <f t="shared" si="28"/>
        <v>0</v>
      </c>
      <c r="L392" s="33">
        <f t="shared" si="29"/>
        <v>86872.06</v>
      </c>
      <c r="M392" s="33">
        <f t="shared" si="30"/>
        <v>234592.76</v>
      </c>
      <c r="N392" s="235">
        <f t="shared" si="27"/>
        <v>0</v>
      </c>
      <c r="O392" s="35" t="s">
        <v>3327</v>
      </c>
      <c r="P392" s="35"/>
      <c r="Q392" s="39">
        <f>SUMIF('Antelope Bailey Split BA'!$B$7:$B$29,B392,'Antelope Bailey Split BA'!$C$7:$C$29)</f>
        <v>0</v>
      </c>
      <c r="R392" s="39" t="str">
        <f>IF(AND(Q392=1,'Plant Total by Account'!$J$1=2),"EKWRA","")</f>
        <v/>
      </c>
    </row>
    <row r="393" spans="1:18" x14ac:dyDescent="0.2">
      <c r="A393" s="31" t="s">
        <v>2935</v>
      </c>
      <c r="B393" s="36" t="s">
        <v>498</v>
      </c>
      <c r="C393" s="504" t="s">
        <v>3352</v>
      </c>
      <c r="D393" s="42">
        <v>24305.48</v>
      </c>
      <c r="E393" s="42">
        <v>21958.54</v>
      </c>
      <c r="F393" s="42">
        <v>347703.34000000008</v>
      </c>
      <c r="G393" s="581">
        <f t="shared" si="26"/>
        <v>393967.3600000001</v>
      </c>
      <c r="H393" s="33">
        <v>0</v>
      </c>
      <c r="I393" s="33">
        <v>0</v>
      </c>
      <c r="J393" s="33">
        <v>0</v>
      </c>
      <c r="K393" s="33">
        <f t="shared" si="28"/>
        <v>24305.48</v>
      </c>
      <c r="L393" s="33">
        <f t="shared" si="29"/>
        <v>21958.54</v>
      </c>
      <c r="M393" s="33">
        <f t="shared" si="30"/>
        <v>347703.34000000008</v>
      </c>
      <c r="N393" s="235">
        <f t="shared" si="27"/>
        <v>0</v>
      </c>
      <c r="O393" s="35" t="s">
        <v>3327</v>
      </c>
      <c r="P393" s="35"/>
      <c r="Q393" s="39">
        <f>SUMIF('Antelope Bailey Split BA'!$B$7:$B$29,B393,'Antelope Bailey Split BA'!$C$7:$C$29)</f>
        <v>0</v>
      </c>
      <c r="R393" s="39" t="str">
        <f>IF(AND(Q393=1,'Plant Total by Account'!$J$1=2),"EKWRA","")</f>
        <v/>
      </c>
    </row>
    <row r="394" spans="1:18" x14ac:dyDescent="0.2">
      <c r="A394" s="31" t="s">
        <v>2936</v>
      </c>
      <c r="B394" s="36" t="s">
        <v>499</v>
      </c>
      <c r="C394" s="504" t="s">
        <v>3353</v>
      </c>
      <c r="D394" s="42">
        <v>19480.25</v>
      </c>
      <c r="E394" s="42">
        <v>103941.35</v>
      </c>
      <c r="F394" s="42">
        <v>2998323.3699999982</v>
      </c>
      <c r="G394" s="581">
        <f t="shared" si="26"/>
        <v>3121744.9699999983</v>
      </c>
      <c r="H394" s="33">
        <v>0</v>
      </c>
      <c r="I394" s="33">
        <v>0</v>
      </c>
      <c r="J394" s="33">
        <v>0</v>
      </c>
      <c r="K394" s="33">
        <f t="shared" si="28"/>
        <v>19480.25</v>
      </c>
      <c r="L394" s="33">
        <f t="shared" si="29"/>
        <v>103941.35</v>
      </c>
      <c r="M394" s="33">
        <f t="shared" si="30"/>
        <v>2998323.3699999982</v>
      </c>
      <c r="N394" s="235">
        <f t="shared" si="27"/>
        <v>0</v>
      </c>
      <c r="O394" s="35" t="s">
        <v>3327</v>
      </c>
      <c r="P394" s="35"/>
      <c r="Q394" s="39">
        <f>SUMIF('Antelope Bailey Split BA'!$B$7:$B$29,B394,'Antelope Bailey Split BA'!$C$7:$C$29)</f>
        <v>0</v>
      </c>
      <c r="R394" s="39" t="str">
        <f>IF(AND(Q394=1,'Plant Total by Account'!$J$1=2),"EKWRA","")</f>
        <v/>
      </c>
    </row>
    <row r="395" spans="1:18" x14ac:dyDescent="0.2">
      <c r="A395" s="31" t="s">
        <v>2458</v>
      </c>
      <c r="B395" s="36" t="s">
        <v>500</v>
      </c>
      <c r="C395" s="504" t="s">
        <v>3353</v>
      </c>
      <c r="D395" s="42">
        <v>62303.26</v>
      </c>
      <c r="E395" s="42">
        <v>433884.24000000011</v>
      </c>
      <c r="F395" s="42">
        <v>7508731.7900000019</v>
      </c>
      <c r="G395" s="581">
        <f t="shared" ref="G395:G458" si="31">SUM(D395:F395)</f>
        <v>8004919.2900000019</v>
      </c>
      <c r="H395" s="33">
        <v>0</v>
      </c>
      <c r="I395" s="33">
        <v>0</v>
      </c>
      <c r="J395" s="33">
        <v>0</v>
      </c>
      <c r="K395" s="129">
        <f t="shared" si="28"/>
        <v>62303.26</v>
      </c>
      <c r="L395" s="129">
        <f t="shared" si="29"/>
        <v>433884.24000000011</v>
      </c>
      <c r="M395" s="129">
        <f t="shared" si="30"/>
        <v>7508731.7900000019</v>
      </c>
      <c r="N395" s="235">
        <f t="shared" ref="N395:N458" si="32">G395-SUM(H395:M395)</f>
        <v>0</v>
      </c>
      <c r="O395" s="35" t="s">
        <v>3327</v>
      </c>
      <c r="P395" s="35"/>
      <c r="Q395" s="39">
        <f>SUMIF('Antelope Bailey Split BA'!$B$7:$B$29,B395,'Antelope Bailey Split BA'!$C$7:$C$29)</f>
        <v>1</v>
      </c>
      <c r="R395" s="39" t="str">
        <f>IF(AND(Q395=1,'Plant Total by Account'!$J$1=2),"EKWRA","")</f>
        <v>EKWRA</v>
      </c>
    </row>
    <row r="396" spans="1:18" ht="12.75" customHeight="1" x14ac:dyDescent="0.2">
      <c r="A396" s="31" t="s">
        <v>2937</v>
      </c>
      <c r="B396" s="36" t="s">
        <v>501</v>
      </c>
      <c r="C396" s="504" t="s">
        <v>3352</v>
      </c>
      <c r="D396" s="42">
        <v>24432.82</v>
      </c>
      <c r="E396" s="42">
        <v>76644.459999999992</v>
      </c>
      <c r="F396" s="42">
        <v>614750.99999999988</v>
      </c>
      <c r="G396" s="581">
        <f t="shared" si="31"/>
        <v>715828.27999999991</v>
      </c>
      <c r="H396" s="33">
        <v>0</v>
      </c>
      <c r="I396" s="33">
        <v>0</v>
      </c>
      <c r="J396" s="33">
        <v>0</v>
      </c>
      <c r="K396" s="33">
        <f t="shared" si="28"/>
        <v>24432.82</v>
      </c>
      <c r="L396" s="33">
        <f t="shared" si="29"/>
        <v>76644.459999999992</v>
      </c>
      <c r="M396" s="33">
        <f t="shared" si="30"/>
        <v>614750.99999999988</v>
      </c>
      <c r="N396" s="235">
        <f t="shared" si="32"/>
        <v>0</v>
      </c>
      <c r="O396" s="35" t="s">
        <v>3327</v>
      </c>
      <c r="P396" s="35"/>
      <c r="Q396" s="39">
        <f>SUMIF('Antelope Bailey Split BA'!$B$7:$B$29,B396,'Antelope Bailey Split BA'!$C$7:$C$29)</f>
        <v>0</v>
      </c>
      <c r="R396" s="39" t="str">
        <f>IF(AND(Q396=1,'Plant Total by Account'!$J$1=2),"EKWRA","")</f>
        <v/>
      </c>
    </row>
    <row r="397" spans="1:18" x14ac:dyDescent="0.2">
      <c r="A397" s="31" t="s">
        <v>2938</v>
      </c>
      <c r="B397" s="36" t="s">
        <v>503</v>
      </c>
      <c r="C397" s="504" t="s">
        <v>3353</v>
      </c>
      <c r="D397" s="42">
        <v>4375.93</v>
      </c>
      <c r="E397" s="42">
        <v>6749.1</v>
      </c>
      <c r="F397" s="42">
        <v>253580.23999999996</v>
      </c>
      <c r="G397" s="581">
        <f t="shared" si="31"/>
        <v>264705.26999999996</v>
      </c>
      <c r="H397" s="33">
        <v>0</v>
      </c>
      <c r="I397" s="33">
        <v>0</v>
      </c>
      <c r="J397" s="33">
        <v>0</v>
      </c>
      <c r="K397" s="33">
        <f t="shared" si="28"/>
        <v>4375.93</v>
      </c>
      <c r="L397" s="33">
        <f t="shared" si="29"/>
        <v>6749.1</v>
      </c>
      <c r="M397" s="33">
        <f t="shared" si="30"/>
        <v>253580.23999999996</v>
      </c>
      <c r="N397" s="235">
        <f t="shared" si="32"/>
        <v>0</v>
      </c>
      <c r="O397" s="35" t="s">
        <v>3327</v>
      </c>
      <c r="P397" s="35"/>
      <c r="Q397" s="39">
        <f>SUMIF('Antelope Bailey Split BA'!$B$7:$B$29,B397,'Antelope Bailey Split BA'!$C$7:$C$29)</f>
        <v>0</v>
      </c>
      <c r="R397" s="39" t="str">
        <f>IF(AND(Q397=1,'Plant Total by Account'!$J$1=2),"EKWRA","")</f>
        <v/>
      </c>
    </row>
    <row r="398" spans="1:18" ht="12.75" customHeight="1" x14ac:dyDescent="0.2">
      <c r="A398" s="31" t="s">
        <v>2939</v>
      </c>
      <c r="B398" s="36" t="s">
        <v>504</v>
      </c>
      <c r="C398" s="504" t="s">
        <v>3353</v>
      </c>
      <c r="D398" s="42">
        <v>2213.41</v>
      </c>
      <c r="E398" s="42">
        <v>10803.39</v>
      </c>
      <c r="F398" s="42">
        <v>3132476.6800000016</v>
      </c>
      <c r="G398" s="581">
        <f t="shared" si="31"/>
        <v>3145493.4800000014</v>
      </c>
      <c r="H398" s="33">
        <v>0</v>
      </c>
      <c r="I398" s="33">
        <v>0</v>
      </c>
      <c r="J398" s="33">
        <v>0</v>
      </c>
      <c r="K398" s="33">
        <f t="shared" si="28"/>
        <v>2213.41</v>
      </c>
      <c r="L398" s="33">
        <f t="shared" si="29"/>
        <v>10803.39</v>
      </c>
      <c r="M398" s="33">
        <f t="shared" si="30"/>
        <v>3132476.6800000016</v>
      </c>
      <c r="N398" s="235">
        <f t="shared" si="32"/>
        <v>0</v>
      </c>
      <c r="O398" s="35" t="s">
        <v>3327</v>
      </c>
      <c r="P398" s="35"/>
      <c r="Q398" s="39">
        <f>SUMIF('Antelope Bailey Split BA'!$B$7:$B$29,B398,'Antelope Bailey Split BA'!$C$7:$C$29)</f>
        <v>0</v>
      </c>
      <c r="R398" s="39" t="str">
        <f>IF(AND(Q398=1,'Plant Total by Account'!$J$1=2),"EKWRA","")</f>
        <v/>
      </c>
    </row>
    <row r="399" spans="1:18" ht="12.75" customHeight="1" x14ac:dyDescent="0.2">
      <c r="A399" s="31" t="s">
        <v>2940</v>
      </c>
      <c r="B399" s="36" t="s">
        <v>505</v>
      </c>
      <c r="C399" s="504" t="s">
        <v>3353</v>
      </c>
      <c r="D399" s="42">
        <v>50502.68</v>
      </c>
      <c r="E399" s="42">
        <v>157378.82</v>
      </c>
      <c r="F399" s="42">
        <v>8541769.6600000039</v>
      </c>
      <c r="G399" s="581">
        <f t="shared" si="31"/>
        <v>8749651.1600000039</v>
      </c>
      <c r="H399" s="33">
        <v>0</v>
      </c>
      <c r="I399" s="33">
        <v>0</v>
      </c>
      <c r="J399" s="33">
        <v>0</v>
      </c>
      <c r="K399" s="33">
        <f t="shared" ref="K399:K462" si="33">D399</f>
        <v>50502.68</v>
      </c>
      <c r="L399" s="33">
        <f t="shared" ref="L399:L462" si="34">E399</f>
        <v>157378.82</v>
      </c>
      <c r="M399" s="33">
        <f t="shared" ref="M399:M462" si="35">F399</f>
        <v>8541769.6600000039</v>
      </c>
      <c r="N399" s="235">
        <f t="shared" si="32"/>
        <v>0</v>
      </c>
      <c r="O399" s="35" t="s">
        <v>3327</v>
      </c>
      <c r="P399" s="35"/>
      <c r="Q399" s="39">
        <f>SUMIF('Antelope Bailey Split BA'!$B$7:$B$29,B399,'Antelope Bailey Split BA'!$C$7:$C$29)</f>
        <v>0</v>
      </c>
      <c r="R399" s="39" t="str">
        <f>IF(AND(Q399=1,'Plant Total by Account'!$J$1=2),"EKWRA","")</f>
        <v/>
      </c>
    </row>
    <row r="400" spans="1:18" x14ac:dyDescent="0.2">
      <c r="A400" s="31" t="s">
        <v>2941</v>
      </c>
      <c r="B400" s="36" t="s">
        <v>506</v>
      </c>
      <c r="C400" s="504" t="s">
        <v>3353</v>
      </c>
      <c r="D400" s="42">
        <v>44272.65</v>
      </c>
      <c r="E400" s="42">
        <v>119219.93</v>
      </c>
      <c r="F400" s="42">
        <v>2644326.9400000009</v>
      </c>
      <c r="G400" s="581">
        <f t="shared" si="31"/>
        <v>2807819.5200000009</v>
      </c>
      <c r="H400" s="33">
        <v>0</v>
      </c>
      <c r="I400" s="33">
        <v>0</v>
      </c>
      <c r="J400" s="33">
        <v>0</v>
      </c>
      <c r="K400" s="33">
        <f t="shared" si="33"/>
        <v>44272.65</v>
      </c>
      <c r="L400" s="33">
        <f t="shared" si="34"/>
        <v>119219.93</v>
      </c>
      <c r="M400" s="33">
        <f t="shared" si="35"/>
        <v>2644326.9400000009</v>
      </c>
      <c r="N400" s="235">
        <f t="shared" si="32"/>
        <v>0</v>
      </c>
      <c r="O400" s="35" t="s">
        <v>3327</v>
      </c>
      <c r="P400" s="35"/>
      <c r="Q400" s="39">
        <f>SUMIF('Antelope Bailey Split BA'!$B$7:$B$29,B400,'Antelope Bailey Split BA'!$C$7:$C$29)</f>
        <v>0</v>
      </c>
      <c r="R400" s="39" t="str">
        <f>IF(AND(Q400=1,'Plant Total by Account'!$J$1=2),"EKWRA","")</f>
        <v/>
      </c>
    </row>
    <row r="401" spans="1:18" x14ac:dyDescent="0.2">
      <c r="A401" s="31" t="s">
        <v>2942</v>
      </c>
      <c r="B401" s="36" t="s">
        <v>507</v>
      </c>
      <c r="C401" s="504" t="s">
        <v>3353</v>
      </c>
      <c r="D401" s="42">
        <v>9947.26</v>
      </c>
      <c r="E401" s="42">
        <v>77021.289999999994</v>
      </c>
      <c r="F401" s="42">
        <v>1439688.4100000006</v>
      </c>
      <c r="G401" s="581">
        <f t="shared" si="31"/>
        <v>1526656.9600000007</v>
      </c>
      <c r="H401" s="33">
        <v>0</v>
      </c>
      <c r="I401" s="33">
        <v>0</v>
      </c>
      <c r="J401" s="33">
        <v>0</v>
      </c>
      <c r="K401" s="33">
        <f t="shared" si="33"/>
        <v>9947.26</v>
      </c>
      <c r="L401" s="33">
        <f t="shared" si="34"/>
        <v>77021.289999999994</v>
      </c>
      <c r="M401" s="33">
        <f t="shared" si="35"/>
        <v>1439688.4100000006</v>
      </c>
      <c r="N401" s="235">
        <f t="shared" si="32"/>
        <v>0</v>
      </c>
      <c r="O401" s="35" t="s">
        <v>3327</v>
      </c>
      <c r="P401" s="35"/>
      <c r="Q401" s="39">
        <f>SUMIF('Antelope Bailey Split BA'!$B$7:$B$29,B401,'Antelope Bailey Split BA'!$C$7:$C$29)</f>
        <v>0</v>
      </c>
      <c r="R401" s="39" t="str">
        <f>IF(AND(Q401=1,'Plant Total by Account'!$J$1=2),"EKWRA","")</f>
        <v/>
      </c>
    </row>
    <row r="402" spans="1:18" x14ac:dyDescent="0.2">
      <c r="A402" s="31" t="s">
        <v>2943</v>
      </c>
      <c r="B402" s="36" t="s">
        <v>528</v>
      </c>
      <c r="C402" s="504" t="s">
        <v>3353</v>
      </c>
      <c r="D402" s="42">
        <v>0</v>
      </c>
      <c r="E402" s="42">
        <v>7455.31</v>
      </c>
      <c r="F402" s="42">
        <v>0</v>
      </c>
      <c r="G402" s="581">
        <f t="shared" si="31"/>
        <v>7455.31</v>
      </c>
      <c r="H402" s="33">
        <v>0</v>
      </c>
      <c r="I402" s="33">
        <v>0</v>
      </c>
      <c r="J402" s="33">
        <v>0</v>
      </c>
      <c r="K402" s="33">
        <f t="shared" si="33"/>
        <v>0</v>
      </c>
      <c r="L402" s="33">
        <f t="shared" si="34"/>
        <v>7455.31</v>
      </c>
      <c r="M402" s="33">
        <f t="shared" si="35"/>
        <v>0</v>
      </c>
      <c r="N402" s="235">
        <f t="shared" si="32"/>
        <v>0</v>
      </c>
      <c r="O402" s="35" t="s">
        <v>3327</v>
      </c>
      <c r="P402" s="35"/>
      <c r="Q402" s="39">
        <f>SUMIF('Antelope Bailey Split BA'!$B$7:$B$29,B402,'Antelope Bailey Split BA'!$C$7:$C$29)</f>
        <v>0</v>
      </c>
      <c r="R402" s="39" t="str">
        <f>IF(AND(Q402=1,'Plant Total by Account'!$J$1=2),"EKWRA","")</f>
        <v/>
      </c>
    </row>
    <row r="403" spans="1:18" x14ac:dyDescent="0.2">
      <c r="A403" s="31" t="s">
        <v>2944</v>
      </c>
      <c r="B403" s="36" t="s">
        <v>529</v>
      </c>
      <c r="C403" s="504" t="s">
        <v>3353</v>
      </c>
      <c r="D403" s="42">
        <v>0</v>
      </c>
      <c r="E403" s="42">
        <v>0</v>
      </c>
      <c r="F403" s="42">
        <v>293254.44</v>
      </c>
      <c r="G403" s="581">
        <f t="shared" si="31"/>
        <v>293254.44</v>
      </c>
      <c r="H403" s="33">
        <v>0</v>
      </c>
      <c r="I403" s="33">
        <v>0</v>
      </c>
      <c r="J403" s="33">
        <v>0</v>
      </c>
      <c r="K403" s="33">
        <f t="shared" si="33"/>
        <v>0</v>
      </c>
      <c r="L403" s="33">
        <f t="shared" si="34"/>
        <v>0</v>
      </c>
      <c r="M403" s="33">
        <f t="shared" si="35"/>
        <v>293254.44</v>
      </c>
      <c r="N403" s="235">
        <f t="shared" si="32"/>
        <v>0</v>
      </c>
      <c r="O403" s="35" t="s">
        <v>3327</v>
      </c>
      <c r="P403" s="35"/>
      <c r="Q403" s="39">
        <f>SUMIF('Antelope Bailey Split BA'!$B$7:$B$29,B403,'Antelope Bailey Split BA'!$C$7:$C$29)</f>
        <v>0</v>
      </c>
      <c r="R403" s="39" t="str">
        <f>IF(AND(Q403=1,'Plant Total by Account'!$J$1=2),"EKWRA","")</f>
        <v/>
      </c>
    </row>
    <row r="404" spans="1:18" ht="12.75" customHeight="1" x14ac:dyDescent="0.2">
      <c r="A404" s="31" t="s">
        <v>2945</v>
      </c>
      <c r="B404" s="36" t="s">
        <v>530</v>
      </c>
      <c r="C404" s="504" t="s">
        <v>3353</v>
      </c>
      <c r="D404" s="42">
        <v>290530.98</v>
      </c>
      <c r="E404" s="42">
        <v>303058.09000000003</v>
      </c>
      <c r="F404" s="42">
        <v>778785.90000000014</v>
      </c>
      <c r="G404" s="581">
        <f t="shared" si="31"/>
        <v>1372374.9700000002</v>
      </c>
      <c r="H404" s="33">
        <v>0</v>
      </c>
      <c r="I404" s="33">
        <v>0</v>
      </c>
      <c r="J404" s="33">
        <v>0</v>
      </c>
      <c r="K404" s="33">
        <f t="shared" si="33"/>
        <v>290530.98</v>
      </c>
      <c r="L404" s="33">
        <f t="shared" si="34"/>
        <v>303058.09000000003</v>
      </c>
      <c r="M404" s="33">
        <f t="shared" si="35"/>
        <v>778785.90000000014</v>
      </c>
      <c r="N404" s="235">
        <f t="shared" si="32"/>
        <v>0</v>
      </c>
      <c r="O404" s="35" t="s">
        <v>3327</v>
      </c>
      <c r="P404" s="35"/>
      <c r="Q404" s="39">
        <f>SUMIF('Antelope Bailey Split BA'!$B$7:$B$29,B404,'Antelope Bailey Split BA'!$C$7:$C$29)</f>
        <v>0</v>
      </c>
      <c r="R404" s="39" t="str">
        <f>IF(AND(Q404=1,'Plant Total by Account'!$J$1=2),"EKWRA","")</f>
        <v/>
      </c>
    </row>
    <row r="405" spans="1:18" x14ac:dyDescent="0.2">
      <c r="A405" s="31" t="s">
        <v>2946</v>
      </c>
      <c r="B405" s="36" t="s">
        <v>531</v>
      </c>
      <c r="C405" s="504" t="s">
        <v>3353</v>
      </c>
      <c r="D405" s="42">
        <v>37678.18</v>
      </c>
      <c r="E405" s="42">
        <v>287807.20999999996</v>
      </c>
      <c r="F405" s="42">
        <v>5130754.0899999971</v>
      </c>
      <c r="G405" s="581">
        <f t="shared" si="31"/>
        <v>5456239.4799999967</v>
      </c>
      <c r="H405" s="33">
        <v>0</v>
      </c>
      <c r="I405" s="33">
        <v>0</v>
      </c>
      <c r="J405" s="33">
        <v>0</v>
      </c>
      <c r="K405" s="33">
        <f t="shared" si="33"/>
        <v>37678.18</v>
      </c>
      <c r="L405" s="33">
        <f t="shared" si="34"/>
        <v>287807.20999999996</v>
      </c>
      <c r="M405" s="33">
        <f t="shared" si="35"/>
        <v>5130754.0899999971</v>
      </c>
      <c r="N405" s="235">
        <f t="shared" si="32"/>
        <v>0</v>
      </c>
      <c r="O405" s="35" t="s">
        <v>3327</v>
      </c>
      <c r="P405" s="35"/>
      <c r="Q405" s="39">
        <f>SUMIF('Antelope Bailey Split BA'!$B$7:$B$29,B405,'Antelope Bailey Split BA'!$C$7:$C$29)</f>
        <v>0</v>
      </c>
      <c r="R405" s="39" t="str">
        <f>IF(AND(Q405=1,'Plant Total by Account'!$J$1=2),"EKWRA","")</f>
        <v/>
      </c>
    </row>
    <row r="406" spans="1:18" x14ac:dyDescent="0.2">
      <c r="A406" s="31" t="s">
        <v>2947</v>
      </c>
      <c r="B406" s="36" t="s">
        <v>532</v>
      </c>
      <c r="C406" s="504" t="s">
        <v>3353</v>
      </c>
      <c r="D406" s="42">
        <v>50004.3</v>
      </c>
      <c r="E406" s="42">
        <v>88467.94</v>
      </c>
      <c r="F406" s="42">
        <v>2419879.16</v>
      </c>
      <c r="G406" s="581">
        <f t="shared" si="31"/>
        <v>2558351.4000000004</v>
      </c>
      <c r="H406" s="33">
        <v>0</v>
      </c>
      <c r="I406" s="33">
        <v>0</v>
      </c>
      <c r="J406" s="33">
        <v>0</v>
      </c>
      <c r="K406" s="33">
        <f t="shared" si="33"/>
        <v>50004.3</v>
      </c>
      <c r="L406" s="33">
        <f t="shared" si="34"/>
        <v>88467.94</v>
      </c>
      <c r="M406" s="33">
        <f t="shared" si="35"/>
        <v>2419879.16</v>
      </c>
      <c r="N406" s="235">
        <f t="shared" si="32"/>
        <v>0</v>
      </c>
      <c r="O406" s="35" t="s">
        <v>3327</v>
      </c>
      <c r="P406" s="35"/>
      <c r="Q406" s="39">
        <f>SUMIF('Antelope Bailey Split BA'!$B$7:$B$29,B406,'Antelope Bailey Split BA'!$C$7:$C$29)</f>
        <v>0</v>
      </c>
      <c r="R406" s="39" t="str">
        <f>IF(AND(Q406=1,'Plant Total by Account'!$J$1=2),"EKWRA","")</f>
        <v/>
      </c>
    </row>
    <row r="407" spans="1:18" ht="12.75" customHeight="1" x14ac:dyDescent="0.2">
      <c r="A407" s="31" t="s">
        <v>2948</v>
      </c>
      <c r="B407" s="36" t="s">
        <v>533</v>
      </c>
      <c r="C407" s="504" t="s">
        <v>3353</v>
      </c>
      <c r="D407" s="42">
        <v>462.96000000000004</v>
      </c>
      <c r="E407" s="42">
        <v>4953.2900000000009</v>
      </c>
      <c r="F407" s="42">
        <v>198591.17000000004</v>
      </c>
      <c r="G407" s="581">
        <f t="shared" si="31"/>
        <v>204007.42000000004</v>
      </c>
      <c r="H407" s="33">
        <v>0</v>
      </c>
      <c r="I407" s="33">
        <v>0</v>
      </c>
      <c r="J407" s="33">
        <v>0</v>
      </c>
      <c r="K407" s="33">
        <f t="shared" si="33"/>
        <v>462.96000000000004</v>
      </c>
      <c r="L407" s="33">
        <f t="shared" si="34"/>
        <v>4953.2900000000009</v>
      </c>
      <c r="M407" s="33">
        <f t="shared" si="35"/>
        <v>198591.17000000004</v>
      </c>
      <c r="N407" s="235">
        <f t="shared" si="32"/>
        <v>0</v>
      </c>
      <c r="O407" s="35" t="s">
        <v>3327</v>
      </c>
      <c r="P407" s="35"/>
      <c r="Q407" s="39">
        <f>SUMIF('Antelope Bailey Split BA'!$B$7:$B$29,B407,'Antelope Bailey Split BA'!$C$7:$C$29)</f>
        <v>0</v>
      </c>
      <c r="R407" s="39" t="str">
        <f>IF(AND(Q407=1,'Plant Total by Account'!$J$1=2),"EKWRA","")</f>
        <v/>
      </c>
    </row>
    <row r="408" spans="1:18" x14ac:dyDescent="0.2">
      <c r="A408" s="31" t="s">
        <v>2949</v>
      </c>
      <c r="B408" s="36" t="s">
        <v>534</v>
      </c>
      <c r="C408" s="504" t="s">
        <v>3353</v>
      </c>
      <c r="D408" s="42">
        <v>33430.65</v>
      </c>
      <c r="E408" s="42">
        <v>110789.26</v>
      </c>
      <c r="F408" s="42">
        <v>4759154.9300000006</v>
      </c>
      <c r="G408" s="581">
        <f t="shared" si="31"/>
        <v>4903374.8400000008</v>
      </c>
      <c r="H408" s="33">
        <v>0</v>
      </c>
      <c r="I408" s="33">
        <v>0</v>
      </c>
      <c r="J408" s="33">
        <v>0</v>
      </c>
      <c r="K408" s="33">
        <f t="shared" si="33"/>
        <v>33430.65</v>
      </c>
      <c r="L408" s="33">
        <f t="shared" si="34"/>
        <v>110789.26</v>
      </c>
      <c r="M408" s="33">
        <f t="shared" si="35"/>
        <v>4759154.9300000006</v>
      </c>
      <c r="N408" s="235">
        <f t="shared" si="32"/>
        <v>0</v>
      </c>
      <c r="O408" s="35" t="s">
        <v>3327</v>
      </c>
      <c r="P408" s="35"/>
      <c r="Q408" s="39">
        <f>SUMIF('Antelope Bailey Split BA'!$B$7:$B$29,B408,'Antelope Bailey Split BA'!$C$7:$C$29)</f>
        <v>0</v>
      </c>
      <c r="R408" s="39" t="str">
        <f>IF(AND(Q408=1,'Plant Total by Account'!$J$1=2),"EKWRA","")</f>
        <v/>
      </c>
    </row>
    <row r="409" spans="1:18" x14ac:dyDescent="0.2">
      <c r="A409" s="31" t="s">
        <v>2950</v>
      </c>
      <c r="B409" s="36" t="s">
        <v>535</v>
      </c>
      <c r="C409" s="504" t="s">
        <v>3353</v>
      </c>
      <c r="D409" s="42">
        <v>37664.410000000003</v>
      </c>
      <c r="E409" s="42">
        <v>135581.64000000001</v>
      </c>
      <c r="F409" s="42">
        <v>5891609.1400000025</v>
      </c>
      <c r="G409" s="581">
        <f t="shared" si="31"/>
        <v>6064855.1900000023</v>
      </c>
      <c r="H409" s="33">
        <v>0</v>
      </c>
      <c r="I409" s="33">
        <v>0</v>
      </c>
      <c r="J409" s="33">
        <v>0</v>
      </c>
      <c r="K409" s="33">
        <f t="shared" si="33"/>
        <v>37664.410000000003</v>
      </c>
      <c r="L409" s="33">
        <f t="shared" si="34"/>
        <v>135581.64000000001</v>
      </c>
      <c r="M409" s="33">
        <f t="shared" si="35"/>
        <v>5891609.1400000025</v>
      </c>
      <c r="N409" s="235">
        <f t="shared" si="32"/>
        <v>0</v>
      </c>
      <c r="O409" s="35" t="s">
        <v>3327</v>
      </c>
      <c r="P409" s="35"/>
      <c r="Q409" s="39">
        <f>SUMIF('Antelope Bailey Split BA'!$B$7:$B$29,B409,'Antelope Bailey Split BA'!$C$7:$C$29)</f>
        <v>0</v>
      </c>
      <c r="R409" s="39" t="str">
        <f>IF(AND(Q409=1,'Plant Total by Account'!$J$1=2),"EKWRA","")</f>
        <v/>
      </c>
    </row>
    <row r="410" spans="1:18" x14ac:dyDescent="0.2">
      <c r="A410" s="31" t="s">
        <v>2951</v>
      </c>
      <c r="B410" s="36" t="s">
        <v>536</v>
      </c>
      <c r="C410" s="504" t="s">
        <v>3353</v>
      </c>
      <c r="D410" s="42">
        <v>4191.6400000000003</v>
      </c>
      <c r="E410" s="42">
        <v>116903.17</v>
      </c>
      <c r="F410" s="42">
        <v>2134147.38</v>
      </c>
      <c r="G410" s="581">
        <f t="shared" si="31"/>
        <v>2255242.19</v>
      </c>
      <c r="H410" s="33">
        <v>0</v>
      </c>
      <c r="I410" s="33">
        <v>0</v>
      </c>
      <c r="J410" s="33">
        <v>0</v>
      </c>
      <c r="K410" s="33">
        <f t="shared" si="33"/>
        <v>4191.6400000000003</v>
      </c>
      <c r="L410" s="33">
        <f t="shared" si="34"/>
        <v>116903.17</v>
      </c>
      <c r="M410" s="33">
        <f t="shared" si="35"/>
        <v>2134147.38</v>
      </c>
      <c r="N410" s="235">
        <f t="shared" si="32"/>
        <v>0</v>
      </c>
      <c r="O410" s="35" t="s">
        <v>3327</v>
      </c>
      <c r="P410" s="35"/>
      <c r="Q410" s="39">
        <f>SUMIF('Antelope Bailey Split BA'!$B$7:$B$29,B410,'Antelope Bailey Split BA'!$C$7:$C$29)</f>
        <v>0</v>
      </c>
      <c r="R410" s="39" t="str">
        <f>IF(AND(Q410=1,'Plant Total by Account'!$J$1=2),"EKWRA","")</f>
        <v/>
      </c>
    </row>
    <row r="411" spans="1:18" x14ac:dyDescent="0.2">
      <c r="A411" s="31" t="s">
        <v>2952</v>
      </c>
      <c r="B411" s="36" t="s">
        <v>537</v>
      </c>
      <c r="C411" s="504" t="s">
        <v>3353</v>
      </c>
      <c r="D411" s="42">
        <v>0</v>
      </c>
      <c r="E411" s="42">
        <v>3719.42</v>
      </c>
      <c r="F411" s="42">
        <v>1271174.7</v>
      </c>
      <c r="G411" s="581">
        <f t="shared" si="31"/>
        <v>1274894.1199999999</v>
      </c>
      <c r="H411" s="33">
        <v>0</v>
      </c>
      <c r="I411" s="33">
        <v>0</v>
      </c>
      <c r="J411" s="33">
        <v>0</v>
      </c>
      <c r="K411" s="33">
        <f t="shared" si="33"/>
        <v>0</v>
      </c>
      <c r="L411" s="33">
        <f t="shared" si="34"/>
        <v>3719.42</v>
      </c>
      <c r="M411" s="33">
        <f t="shared" si="35"/>
        <v>1271174.7</v>
      </c>
      <c r="N411" s="235">
        <f t="shared" si="32"/>
        <v>0</v>
      </c>
      <c r="O411" s="35" t="s">
        <v>3327</v>
      </c>
      <c r="P411" s="35"/>
      <c r="Q411" s="39">
        <f>SUMIF('Antelope Bailey Split BA'!$B$7:$B$29,B411,'Antelope Bailey Split BA'!$C$7:$C$29)</f>
        <v>0</v>
      </c>
      <c r="R411" s="39" t="str">
        <f>IF(AND(Q411=1,'Plant Total by Account'!$J$1=2),"EKWRA","")</f>
        <v/>
      </c>
    </row>
    <row r="412" spans="1:18" x14ac:dyDescent="0.2">
      <c r="A412" s="31" t="s">
        <v>2953</v>
      </c>
      <c r="B412" s="36" t="s">
        <v>538</v>
      </c>
      <c r="C412" s="504" t="s">
        <v>3353</v>
      </c>
      <c r="D412" s="42">
        <v>12339.75</v>
      </c>
      <c r="E412" s="42">
        <v>9320.4900000000016</v>
      </c>
      <c r="F412" s="42">
        <v>642025.11</v>
      </c>
      <c r="G412" s="581">
        <f t="shared" si="31"/>
        <v>663685.35</v>
      </c>
      <c r="H412" s="33">
        <v>0</v>
      </c>
      <c r="I412" s="33">
        <v>0</v>
      </c>
      <c r="J412" s="33">
        <v>0</v>
      </c>
      <c r="K412" s="33">
        <f t="shared" si="33"/>
        <v>12339.75</v>
      </c>
      <c r="L412" s="33">
        <f t="shared" si="34"/>
        <v>9320.4900000000016</v>
      </c>
      <c r="M412" s="33">
        <f t="shared" si="35"/>
        <v>642025.11</v>
      </c>
      <c r="N412" s="235">
        <f t="shared" si="32"/>
        <v>0</v>
      </c>
      <c r="O412" s="35" t="s">
        <v>3327</v>
      </c>
      <c r="P412" s="35"/>
      <c r="Q412" s="39">
        <f>SUMIF('Antelope Bailey Split BA'!$B$7:$B$29,B412,'Antelope Bailey Split BA'!$C$7:$C$29)</f>
        <v>0</v>
      </c>
      <c r="R412" s="39" t="str">
        <f>IF(AND(Q412=1,'Plant Total by Account'!$J$1=2),"EKWRA","")</f>
        <v/>
      </c>
    </row>
    <row r="413" spans="1:18" ht="12.75" customHeight="1" x14ac:dyDescent="0.2">
      <c r="A413" s="31" t="s">
        <v>2954</v>
      </c>
      <c r="B413" s="36" t="s">
        <v>539</v>
      </c>
      <c r="C413" s="504" t="s">
        <v>3353</v>
      </c>
      <c r="D413" s="42">
        <v>28884.100000000002</v>
      </c>
      <c r="E413" s="42">
        <v>66779.27</v>
      </c>
      <c r="F413" s="42">
        <v>1345011.1899999997</v>
      </c>
      <c r="G413" s="581">
        <f t="shared" si="31"/>
        <v>1440674.5599999998</v>
      </c>
      <c r="H413" s="33">
        <v>0</v>
      </c>
      <c r="I413" s="33">
        <v>0</v>
      </c>
      <c r="J413" s="33">
        <v>0</v>
      </c>
      <c r="K413" s="33">
        <f t="shared" si="33"/>
        <v>28884.100000000002</v>
      </c>
      <c r="L413" s="33">
        <f t="shared" si="34"/>
        <v>66779.27</v>
      </c>
      <c r="M413" s="33">
        <f t="shared" si="35"/>
        <v>1345011.1899999997</v>
      </c>
      <c r="N413" s="235">
        <f t="shared" si="32"/>
        <v>0</v>
      </c>
      <c r="O413" s="35" t="s">
        <v>3327</v>
      </c>
      <c r="P413" s="35"/>
      <c r="Q413" s="39">
        <f>SUMIF('Antelope Bailey Split BA'!$B$7:$B$29,B413,'Antelope Bailey Split BA'!$C$7:$C$29)</f>
        <v>0</v>
      </c>
      <c r="R413" s="39" t="str">
        <f>IF(AND(Q413=1,'Plant Total by Account'!$J$1=2),"EKWRA","")</f>
        <v/>
      </c>
    </row>
    <row r="414" spans="1:18" x14ac:dyDescent="0.2">
      <c r="A414" s="31" t="s">
        <v>2955</v>
      </c>
      <c r="B414" s="36" t="s">
        <v>540</v>
      </c>
      <c r="C414" s="504" t="s">
        <v>3353</v>
      </c>
      <c r="D414" s="42">
        <v>144447.12000000002</v>
      </c>
      <c r="E414" s="42">
        <v>136435.37000000002</v>
      </c>
      <c r="F414" s="42">
        <v>5897523.4499999937</v>
      </c>
      <c r="G414" s="581">
        <f t="shared" si="31"/>
        <v>6178405.9399999939</v>
      </c>
      <c r="H414" s="33">
        <v>0</v>
      </c>
      <c r="I414" s="33">
        <v>0</v>
      </c>
      <c r="J414" s="33">
        <v>0</v>
      </c>
      <c r="K414" s="33">
        <f t="shared" si="33"/>
        <v>144447.12000000002</v>
      </c>
      <c r="L414" s="33">
        <f t="shared" si="34"/>
        <v>136435.37000000002</v>
      </c>
      <c r="M414" s="33">
        <f t="shared" si="35"/>
        <v>5897523.4499999937</v>
      </c>
      <c r="N414" s="235">
        <f t="shared" si="32"/>
        <v>0</v>
      </c>
      <c r="O414" s="35" t="s">
        <v>3327</v>
      </c>
      <c r="P414" s="35"/>
      <c r="Q414" s="39">
        <f>SUMIF('Antelope Bailey Split BA'!$B$7:$B$29,B414,'Antelope Bailey Split BA'!$C$7:$C$29)</f>
        <v>0</v>
      </c>
      <c r="R414" s="39" t="str">
        <f>IF(AND(Q414=1,'Plant Total by Account'!$J$1=2),"EKWRA","")</f>
        <v/>
      </c>
    </row>
    <row r="415" spans="1:18" x14ac:dyDescent="0.2">
      <c r="A415" s="31" t="s">
        <v>2956</v>
      </c>
      <c r="B415" s="36" t="s">
        <v>541</v>
      </c>
      <c r="C415" s="504" t="s">
        <v>3353</v>
      </c>
      <c r="D415" s="42">
        <v>0</v>
      </c>
      <c r="E415" s="42">
        <v>5404.85</v>
      </c>
      <c r="F415" s="42">
        <v>60093.440000000002</v>
      </c>
      <c r="G415" s="581">
        <f t="shared" si="31"/>
        <v>65498.29</v>
      </c>
      <c r="H415" s="33">
        <v>0</v>
      </c>
      <c r="I415" s="33">
        <v>0</v>
      </c>
      <c r="J415" s="33">
        <v>0</v>
      </c>
      <c r="K415" s="33">
        <f t="shared" si="33"/>
        <v>0</v>
      </c>
      <c r="L415" s="33">
        <f t="shared" si="34"/>
        <v>5404.85</v>
      </c>
      <c r="M415" s="33">
        <f t="shared" si="35"/>
        <v>60093.440000000002</v>
      </c>
      <c r="N415" s="235">
        <f t="shared" si="32"/>
        <v>0</v>
      </c>
      <c r="O415" s="35" t="s">
        <v>3327</v>
      </c>
      <c r="P415" s="35"/>
      <c r="Q415" s="39">
        <f>SUMIF('Antelope Bailey Split BA'!$B$7:$B$29,B415,'Antelope Bailey Split BA'!$C$7:$C$29)</f>
        <v>0</v>
      </c>
      <c r="R415" s="39" t="str">
        <f>IF(AND(Q415=1,'Plant Total by Account'!$J$1=2),"EKWRA","")</f>
        <v/>
      </c>
    </row>
    <row r="416" spans="1:18" x14ac:dyDescent="0.2">
      <c r="A416" s="31" t="s">
        <v>2957</v>
      </c>
      <c r="B416" s="36" t="s">
        <v>542</v>
      </c>
      <c r="C416" s="504" t="s">
        <v>3353</v>
      </c>
      <c r="D416" s="42">
        <v>0</v>
      </c>
      <c r="E416" s="42">
        <v>28672.31</v>
      </c>
      <c r="F416" s="42">
        <v>929457.95</v>
      </c>
      <c r="G416" s="581">
        <f t="shared" si="31"/>
        <v>958130.26</v>
      </c>
      <c r="H416" s="33">
        <v>0</v>
      </c>
      <c r="I416" s="33">
        <v>0</v>
      </c>
      <c r="J416" s="33">
        <v>0</v>
      </c>
      <c r="K416" s="33">
        <f t="shared" si="33"/>
        <v>0</v>
      </c>
      <c r="L416" s="33">
        <f t="shared" si="34"/>
        <v>28672.31</v>
      </c>
      <c r="M416" s="33">
        <f t="shared" si="35"/>
        <v>929457.95</v>
      </c>
      <c r="N416" s="235">
        <f t="shared" si="32"/>
        <v>0</v>
      </c>
      <c r="O416" s="35" t="s">
        <v>3327</v>
      </c>
      <c r="P416" s="35"/>
      <c r="Q416" s="39">
        <f>SUMIF('Antelope Bailey Split BA'!$B$7:$B$29,B416,'Antelope Bailey Split BA'!$C$7:$C$29)</f>
        <v>0</v>
      </c>
      <c r="R416" s="39" t="str">
        <f>IF(AND(Q416=1,'Plant Total by Account'!$J$1=2),"EKWRA","")</f>
        <v/>
      </c>
    </row>
    <row r="417" spans="1:18" x14ac:dyDescent="0.2">
      <c r="A417" s="31" t="s">
        <v>2958</v>
      </c>
      <c r="B417" s="36" t="s">
        <v>543</v>
      </c>
      <c r="C417" s="504" t="s">
        <v>3353</v>
      </c>
      <c r="D417" s="42">
        <v>28939.940000000002</v>
      </c>
      <c r="E417" s="42">
        <v>289992.58</v>
      </c>
      <c r="F417" s="42">
        <v>6205850.3299999945</v>
      </c>
      <c r="G417" s="581">
        <f t="shared" si="31"/>
        <v>6524782.849999994</v>
      </c>
      <c r="H417" s="33">
        <v>0</v>
      </c>
      <c r="I417" s="33">
        <v>0</v>
      </c>
      <c r="J417" s="33">
        <v>0</v>
      </c>
      <c r="K417" s="33">
        <f t="shared" si="33"/>
        <v>28939.940000000002</v>
      </c>
      <c r="L417" s="33">
        <f t="shared" si="34"/>
        <v>289992.58</v>
      </c>
      <c r="M417" s="33">
        <f t="shared" si="35"/>
        <v>6205850.3299999945</v>
      </c>
      <c r="N417" s="235">
        <f t="shared" si="32"/>
        <v>0</v>
      </c>
      <c r="O417" s="35" t="s">
        <v>3327</v>
      </c>
      <c r="P417" s="35"/>
      <c r="Q417" s="39">
        <f>SUMIF('Antelope Bailey Split BA'!$B$7:$B$29,B417,'Antelope Bailey Split BA'!$C$7:$C$29)</f>
        <v>0</v>
      </c>
      <c r="R417" s="39" t="str">
        <f>IF(AND(Q417=1,'Plant Total by Account'!$J$1=2),"EKWRA","")</f>
        <v/>
      </c>
    </row>
    <row r="418" spans="1:18" x14ac:dyDescent="0.2">
      <c r="A418" s="31" t="s">
        <v>2959</v>
      </c>
      <c r="B418" s="36" t="s">
        <v>544</v>
      </c>
      <c r="C418" s="504" t="s">
        <v>3353</v>
      </c>
      <c r="D418" s="42">
        <v>0</v>
      </c>
      <c r="E418" s="42">
        <v>1270</v>
      </c>
      <c r="F418" s="42">
        <v>138890.21</v>
      </c>
      <c r="G418" s="581">
        <f t="shared" si="31"/>
        <v>140160.21</v>
      </c>
      <c r="H418" s="33">
        <v>0</v>
      </c>
      <c r="I418" s="33">
        <v>0</v>
      </c>
      <c r="J418" s="33">
        <v>0</v>
      </c>
      <c r="K418" s="33">
        <f t="shared" si="33"/>
        <v>0</v>
      </c>
      <c r="L418" s="33">
        <f t="shared" si="34"/>
        <v>1270</v>
      </c>
      <c r="M418" s="33">
        <f t="shared" si="35"/>
        <v>138890.21</v>
      </c>
      <c r="N418" s="235">
        <f t="shared" si="32"/>
        <v>0</v>
      </c>
      <c r="O418" s="35" t="s">
        <v>3327</v>
      </c>
      <c r="P418" s="35"/>
      <c r="Q418" s="39">
        <f>SUMIF('Antelope Bailey Split BA'!$B$7:$B$29,B418,'Antelope Bailey Split BA'!$C$7:$C$29)</f>
        <v>0</v>
      </c>
      <c r="R418" s="39" t="str">
        <f>IF(AND(Q418=1,'Plant Total by Account'!$J$1=2),"EKWRA","")</f>
        <v/>
      </c>
    </row>
    <row r="419" spans="1:18" x14ac:dyDescent="0.2">
      <c r="A419" s="31" t="s">
        <v>2960</v>
      </c>
      <c r="B419" s="36" t="s">
        <v>545</v>
      </c>
      <c r="C419" s="504" t="s">
        <v>3353</v>
      </c>
      <c r="D419" s="42">
        <v>119259.57</v>
      </c>
      <c r="E419" s="42">
        <v>214808.92999999996</v>
      </c>
      <c r="F419" s="42">
        <v>2216142.02</v>
      </c>
      <c r="G419" s="581">
        <f t="shared" si="31"/>
        <v>2550210.52</v>
      </c>
      <c r="H419" s="33">
        <v>0</v>
      </c>
      <c r="I419" s="33">
        <v>0</v>
      </c>
      <c r="J419" s="33">
        <v>0</v>
      </c>
      <c r="K419" s="33">
        <f t="shared" si="33"/>
        <v>119259.57</v>
      </c>
      <c r="L419" s="33">
        <f t="shared" si="34"/>
        <v>214808.92999999996</v>
      </c>
      <c r="M419" s="33">
        <f t="shared" si="35"/>
        <v>2216142.02</v>
      </c>
      <c r="N419" s="235">
        <f t="shared" si="32"/>
        <v>0</v>
      </c>
      <c r="O419" s="35" t="s">
        <v>3327</v>
      </c>
      <c r="P419" s="35"/>
      <c r="Q419" s="39">
        <f>SUMIF('Antelope Bailey Split BA'!$B$7:$B$29,B419,'Antelope Bailey Split BA'!$C$7:$C$29)</f>
        <v>0</v>
      </c>
      <c r="R419" s="39" t="str">
        <f>IF(AND(Q419=1,'Plant Total by Account'!$J$1=2),"EKWRA","")</f>
        <v/>
      </c>
    </row>
    <row r="420" spans="1:18" x14ac:dyDescent="0.2">
      <c r="A420" s="31" t="s">
        <v>2961</v>
      </c>
      <c r="B420" s="36" t="s">
        <v>546</v>
      </c>
      <c r="C420" s="504" t="s">
        <v>3353</v>
      </c>
      <c r="D420" s="42">
        <v>73581.53</v>
      </c>
      <c r="E420" s="42">
        <v>221550.58999999997</v>
      </c>
      <c r="F420" s="42">
        <v>4677824.120000001</v>
      </c>
      <c r="G420" s="581">
        <f t="shared" si="31"/>
        <v>4972956.2400000012</v>
      </c>
      <c r="H420" s="33">
        <v>0</v>
      </c>
      <c r="I420" s="33">
        <v>0</v>
      </c>
      <c r="J420" s="33">
        <v>0</v>
      </c>
      <c r="K420" s="33">
        <f t="shared" si="33"/>
        <v>73581.53</v>
      </c>
      <c r="L420" s="33">
        <f t="shared" si="34"/>
        <v>221550.58999999997</v>
      </c>
      <c r="M420" s="33">
        <f t="shared" si="35"/>
        <v>4677824.120000001</v>
      </c>
      <c r="N420" s="235">
        <f t="shared" si="32"/>
        <v>0</v>
      </c>
      <c r="O420" s="35" t="s">
        <v>3327</v>
      </c>
      <c r="P420" s="35"/>
      <c r="Q420" s="39">
        <f>SUMIF('Antelope Bailey Split BA'!$B$7:$B$29,B420,'Antelope Bailey Split BA'!$C$7:$C$29)</f>
        <v>0</v>
      </c>
      <c r="R420" s="39" t="str">
        <f>IF(AND(Q420=1,'Plant Total by Account'!$J$1=2),"EKWRA","")</f>
        <v/>
      </c>
    </row>
    <row r="421" spans="1:18" x14ac:dyDescent="0.2">
      <c r="A421" s="31" t="s">
        <v>2460</v>
      </c>
      <c r="B421" s="36" t="s">
        <v>547</v>
      </c>
      <c r="C421" s="504" t="s">
        <v>3353</v>
      </c>
      <c r="D421" s="42">
        <v>0</v>
      </c>
      <c r="E421" s="42">
        <v>235231.04</v>
      </c>
      <c r="F421" s="42">
        <v>2232856.44</v>
      </c>
      <c r="G421" s="581">
        <f t="shared" si="31"/>
        <v>2468087.48</v>
      </c>
      <c r="H421" s="33">
        <v>0</v>
      </c>
      <c r="I421" s="33">
        <v>0</v>
      </c>
      <c r="J421" s="33">
        <v>0</v>
      </c>
      <c r="K421" s="129">
        <f t="shared" si="33"/>
        <v>0</v>
      </c>
      <c r="L421" s="129">
        <f t="shared" si="34"/>
        <v>235231.04</v>
      </c>
      <c r="M421" s="129">
        <f t="shared" si="35"/>
        <v>2232856.44</v>
      </c>
      <c r="N421" s="235">
        <f t="shared" si="32"/>
        <v>0</v>
      </c>
      <c r="O421" s="35" t="s">
        <v>3327</v>
      </c>
      <c r="P421" s="35"/>
      <c r="Q421" s="39">
        <f>SUMIF('Antelope Bailey Split BA'!$B$7:$B$29,B421,'Antelope Bailey Split BA'!$C$7:$C$29)</f>
        <v>1</v>
      </c>
      <c r="R421" s="39" t="str">
        <f>IF(AND(Q421=1,'Plant Total by Account'!$J$1=2),"EKWRA","")</f>
        <v>EKWRA</v>
      </c>
    </row>
    <row r="422" spans="1:18" x14ac:dyDescent="0.2">
      <c r="A422" s="31" t="s">
        <v>2962</v>
      </c>
      <c r="B422" s="36" t="s">
        <v>548</v>
      </c>
      <c r="C422" s="504" t="s">
        <v>2629</v>
      </c>
      <c r="D422" s="42">
        <v>0</v>
      </c>
      <c r="E422" s="42">
        <v>0</v>
      </c>
      <c r="F422" s="42">
        <v>616419.11</v>
      </c>
      <c r="G422" s="581">
        <f t="shared" si="31"/>
        <v>616419.11</v>
      </c>
      <c r="H422" s="33">
        <v>0</v>
      </c>
      <c r="I422" s="33">
        <v>0</v>
      </c>
      <c r="J422" s="33">
        <v>0</v>
      </c>
      <c r="K422" s="33">
        <f t="shared" si="33"/>
        <v>0</v>
      </c>
      <c r="L422" s="33">
        <f t="shared" si="34"/>
        <v>0</v>
      </c>
      <c r="M422" s="33">
        <f t="shared" si="35"/>
        <v>616419.11</v>
      </c>
      <c r="N422" s="235">
        <f t="shared" si="32"/>
        <v>0</v>
      </c>
      <c r="O422" s="35" t="s">
        <v>3327</v>
      </c>
      <c r="P422" s="35"/>
      <c r="Q422" s="39">
        <f>SUMIF('Antelope Bailey Split BA'!$B$7:$B$29,B422,'Antelope Bailey Split BA'!$C$7:$C$29)</f>
        <v>0</v>
      </c>
      <c r="R422" s="39" t="str">
        <f>IF(AND(Q422=1,'Plant Total by Account'!$J$1=2),"EKWRA","")</f>
        <v/>
      </c>
    </row>
    <row r="423" spans="1:18" x14ac:dyDescent="0.2">
      <c r="A423" s="31" t="s">
        <v>2461</v>
      </c>
      <c r="B423" s="36" t="s">
        <v>549</v>
      </c>
      <c r="C423" s="504" t="s">
        <v>3353</v>
      </c>
      <c r="D423" s="42">
        <v>17910.490000000002</v>
      </c>
      <c r="E423" s="42">
        <v>798803.94000000018</v>
      </c>
      <c r="F423" s="42">
        <v>8691916.3900000043</v>
      </c>
      <c r="G423" s="581">
        <f t="shared" si="31"/>
        <v>9508630.820000004</v>
      </c>
      <c r="H423" s="33">
        <v>0</v>
      </c>
      <c r="I423" s="33">
        <v>0</v>
      </c>
      <c r="J423" s="33">
        <v>0</v>
      </c>
      <c r="K423" s="33">
        <f t="shared" si="33"/>
        <v>17910.490000000002</v>
      </c>
      <c r="L423" s="33">
        <f t="shared" si="34"/>
        <v>798803.94000000018</v>
      </c>
      <c r="M423" s="33">
        <f t="shared" si="35"/>
        <v>8691916.3900000043</v>
      </c>
      <c r="N423" s="235">
        <f t="shared" si="32"/>
        <v>0</v>
      </c>
      <c r="O423" s="35" t="s">
        <v>3327</v>
      </c>
      <c r="P423" s="35"/>
      <c r="Q423" s="39">
        <f>SUMIF('Antelope Bailey Split BA'!$B$7:$B$29,B423,'Antelope Bailey Split BA'!$C$7:$C$29)</f>
        <v>0</v>
      </c>
      <c r="R423" s="39" t="str">
        <f>IF(AND(Q423=1,'Plant Total by Account'!$J$1=2),"EKWRA","")</f>
        <v/>
      </c>
    </row>
    <row r="424" spans="1:18" x14ac:dyDescent="0.2">
      <c r="A424" s="31" t="s">
        <v>2963</v>
      </c>
      <c r="B424" s="36" t="s">
        <v>550</v>
      </c>
      <c r="C424" s="504" t="s">
        <v>3352</v>
      </c>
      <c r="D424" s="42">
        <v>2513.8000000000002</v>
      </c>
      <c r="E424" s="42">
        <v>33872.980000000003</v>
      </c>
      <c r="F424" s="42">
        <v>1063861.4800000004</v>
      </c>
      <c r="G424" s="581">
        <f t="shared" si="31"/>
        <v>1100248.2600000005</v>
      </c>
      <c r="H424" s="33">
        <v>0</v>
      </c>
      <c r="I424" s="33">
        <v>0</v>
      </c>
      <c r="J424" s="33">
        <v>0</v>
      </c>
      <c r="K424" s="33">
        <f t="shared" si="33"/>
        <v>2513.8000000000002</v>
      </c>
      <c r="L424" s="33">
        <f t="shared" si="34"/>
        <v>33872.980000000003</v>
      </c>
      <c r="M424" s="33">
        <f t="shared" si="35"/>
        <v>1063861.4800000004</v>
      </c>
      <c r="N424" s="235">
        <f t="shared" si="32"/>
        <v>0</v>
      </c>
      <c r="O424" s="35" t="s">
        <v>3327</v>
      </c>
      <c r="P424" s="35"/>
      <c r="Q424" s="39">
        <f>SUMIF('Antelope Bailey Split BA'!$B$7:$B$29,B424,'Antelope Bailey Split BA'!$C$7:$C$29)</f>
        <v>0</v>
      </c>
      <c r="R424" s="39" t="str">
        <f>IF(AND(Q424=1,'Plant Total by Account'!$J$1=2),"EKWRA","")</f>
        <v/>
      </c>
    </row>
    <row r="425" spans="1:18" x14ac:dyDescent="0.2">
      <c r="A425" s="31" t="s">
        <v>2964</v>
      </c>
      <c r="B425" s="36" t="s">
        <v>551</v>
      </c>
      <c r="C425" s="504" t="s">
        <v>3353</v>
      </c>
      <c r="D425" s="42">
        <v>60670.700000000004</v>
      </c>
      <c r="E425" s="42">
        <v>393436.85</v>
      </c>
      <c r="F425" s="42">
        <v>7299276.6499999929</v>
      </c>
      <c r="G425" s="581">
        <f t="shared" si="31"/>
        <v>7753384.1999999927</v>
      </c>
      <c r="H425" s="33">
        <v>0</v>
      </c>
      <c r="I425" s="33">
        <v>0</v>
      </c>
      <c r="J425" s="33">
        <v>0</v>
      </c>
      <c r="K425" s="33">
        <f t="shared" si="33"/>
        <v>60670.700000000004</v>
      </c>
      <c r="L425" s="33">
        <f t="shared" si="34"/>
        <v>393436.85</v>
      </c>
      <c r="M425" s="33">
        <f t="shared" si="35"/>
        <v>7299276.6499999929</v>
      </c>
      <c r="N425" s="235">
        <f t="shared" si="32"/>
        <v>0</v>
      </c>
      <c r="O425" s="35" t="s">
        <v>3327</v>
      </c>
      <c r="P425" s="35"/>
      <c r="Q425" s="39">
        <f>SUMIF('Antelope Bailey Split BA'!$B$7:$B$29,B425,'Antelope Bailey Split BA'!$C$7:$C$29)</f>
        <v>0</v>
      </c>
      <c r="R425" s="39" t="str">
        <f>IF(AND(Q425=1,'Plant Total by Account'!$J$1=2),"EKWRA","")</f>
        <v/>
      </c>
    </row>
    <row r="426" spans="1:18" x14ac:dyDescent="0.2">
      <c r="A426" s="31" t="s">
        <v>2965</v>
      </c>
      <c r="B426" s="36" t="s">
        <v>552</v>
      </c>
      <c r="C426" s="504" t="s">
        <v>3353</v>
      </c>
      <c r="D426" s="42">
        <v>8332.86</v>
      </c>
      <c r="E426" s="42">
        <v>443591.93</v>
      </c>
      <c r="F426" s="42">
        <v>3796086.67</v>
      </c>
      <c r="G426" s="581">
        <f t="shared" si="31"/>
        <v>4248011.46</v>
      </c>
      <c r="H426" s="33">
        <v>0</v>
      </c>
      <c r="I426" s="33">
        <v>0</v>
      </c>
      <c r="J426" s="33">
        <v>0</v>
      </c>
      <c r="K426" s="33">
        <f t="shared" si="33"/>
        <v>8332.86</v>
      </c>
      <c r="L426" s="33">
        <f t="shared" si="34"/>
        <v>443591.93</v>
      </c>
      <c r="M426" s="33">
        <f t="shared" si="35"/>
        <v>3796086.67</v>
      </c>
      <c r="N426" s="235">
        <f t="shared" si="32"/>
        <v>0</v>
      </c>
      <c r="O426" s="35" t="s">
        <v>3327</v>
      </c>
      <c r="P426" s="35"/>
      <c r="Q426" s="39">
        <f>SUMIF('Antelope Bailey Split BA'!$B$7:$B$29,B426,'Antelope Bailey Split BA'!$C$7:$C$29)</f>
        <v>0</v>
      </c>
      <c r="R426" s="39" t="str">
        <f>IF(AND(Q426=1,'Plant Total by Account'!$J$1=2),"EKWRA","")</f>
        <v/>
      </c>
    </row>
    <row r="427" spans="1:18" x14ac:dyDescent="0.2">
      <c r="A427" s="31" t="s">
        <v>2966</v>
      </c>
      <c r="B427" s="36" t="s">
        <v>553</v>
      </c>
      <c r="C427" s="504" t="s">
        <v>3352</v>
      </c>
      <c r="D427" s="42">
        <v>264.99</v>
      </c>
      <c r="E427" s="42">
        <v>41259.47</v>
      </c>
      <c r="F427" s="42">
        <v>333530.96000000002</v>
      </c>
      <c r="G427" s="581">
        <f t="shared" si="31"/>
        <v>375055.42000000004</v>
      </c>
      <c r="H427" s="33">
        <v>0</v>
      </c>
      <c r="I427" s="33">
        <v>0</v>
      </c>
      <c r="J427" s="33">
        <v>0</v>
      </c>
      <c r="K427" s="33">
        <f t="shared" si="33"/>
        <v>264.99</v>
      </c>
      <c r="L427" s="33">
        <f t="shared" si="34"/>
        <v>41259.47</v>
      </c>
      <c r="M427" s="33">
        <f t="shared" si="35"/>
        <v>333530.96000000002</v>
      </c>
      <c r="N427" s="235">
        <f t="shared" si="32"/>
        <v>0</v>
      </c>
      <c r="O427" s="35" t="s">
        <v>3327</v>
      </c>
      <c r="P427" s="35"/>
      <c r="Q427" s="39">
        <f>SUMIF('Antelope Bailey Split BA'!$B$7:$B$29,B427,'Antelope Bailey Split BA'!$C$7:$C$29)</f>
        <v>0</v>
      </c>
      <c r="R427" s="39" t="str">
        <f>IF(AND(Q427=1,'Plant Total by Account'!$J$1=2),"EKWRA","")</f>
        <v/>
      </c>
    </row>
    <row r="428" spans="1:18" x14ac:dyDescent="0.2">
      <c r="A428" s="31" t="s">
        <v>2462</v>
      </c>
      <c r="B428" s="36" t="s">
        <v>554</v>
      </c>
      <c r="C428" s="504" t="s">
        <v>3353</v>
      </c>
      <c r="D428" s="42">
        <v>2627.31</v>
      </c>
      <c r="E428" s="42">
        <v>3800.28</v>
      </c>
      <c r="F428" s="42">
        <v>293906.56999999995</v>
      </c>
      <c r="G428" s="581">
        <f t="shared" si="31"/>
        <v>300334.15999999997</v>
      </c>
      <c r="H428" s="33">
        <v>0</v>
      </c>
      <c r="I428" s="33">
        <v>0</v>
      </c>
      <c r="J428" s="33">
        <v>0</v>
      </c>
      <c r="K428" s="33">
        <f t="shared" si="33"/>
        <v>2627.31</v>
      </c>
      <c r="L428" s="33">
        <f t="shared" si="34"/>
        <v>3800.28</v>
      </c>
      <c r="M428" s="33">
        <f t="shared" si="35"/>
        <v>293906.56999999995</v>
      </c>
      <c r="N428" s="235">
        <f t="shared" si="32"/>
        <v>0</v>
      </c>
      <c r="O428" s="35" t="s">
        <v>3327</v>
      </c>
      <c r="P428" s="35"/>
      <c r="Q428" s="39">
        <f>SUMIF('Antelope Bailey Split BA'!$B$7:$B$29,B428,'Antelope Bailey Split BA'!$C$7:$C$29)</f>
        <v>0</v>
      </c>
      <c r="R428" s="39" t="str">
        <f>IF(AND(Q428=1,'Plant Total by Account'!$J$1=2),"EKWRA","")</f>
        <v/>
      </c>
    </row>
    <row r="429" spans="1:18" x14ac:dyDescent="0.2">
      <c r="A429" s="31" t="s">
        <v>2967</v>
      </c>
      <c r="B429" s="36" t="s">
        <v>555</v>
      </c>
      <c r="C429" s="504" t="s">
        <v>3353</v>
      </c>
      <c r="D429" s="42">
        <v>680.4</v>
      </c>
      <c r="E429" s="42">
        <v>5934.23</v>
      </c>
      <c r="F429" s="42">
        <v>39512.68</v>
      </c>
      <c r="G429" s="581">
        <f t="shared" si="31"/>
        <v>46127.31</v>
      </c>
      <c r="H429" s="33">
        <v>0</v>
      </c>
      <c r="I429" s="33">
        <v>0</v>
      </c>
      <c r="J429" s="33">
        <v>0</v>
      </c>
      <c r="K429" s="33">
        <f t="shared" si="33"/>
        <v>680.4</v>
      </c>
      <c r="L429" s="33">
        <f t="shared" si="34"/>
        <v>5934.23</v>
      </c>
      <c r="M429" s="33">
        <f t="shared" si="35"/>
        <v>39512.68</v>
      </c>
      <c r="N429" s="235">
        <f t="shared" si="32"/>
        <v>0</v>
      </c>
      <c r="O429" s="35" t="s">
        <v>3327</v>
      </c>
      <c r="P429" s="35"/>
      <c r="Q429" s="39">
        <f>SUMIF('Antelope Bailey Split BA'!$B$7:$B$29,B429,'Antelope Bailey Split BA'!$C$7:$C$29)</f>
        <v>0</v>
      </c>
      <c r="R429" s="39" t="str">
        <f>IF(AND(Q429=1,'Plant Total by Account'!$J$1=2),"EKWRA","")</f>
        <v/>
      </c>
    </row>
    <row r="430" spans="1:18" x14ac:dyDescent="0.2">
      <c r="A430" s="31" t="s">
        <v>2968</v>
      </c>
      <c r="B430" s="36" t="s">
        <v>556</v>
      </c>
      <c r="C430" s="504" t="s">
        <v>3353</v>
      </c>
      <c r="D430" s="42">
        <v>10890.99</v>
      </c>
      <c r="E430" s="42">
        <v>242363.88</v>
      </c>
      <c r="F430" s="42">
        <v>10190009.069999995</v>
      </c>
      <c r="G430" s="581">
        <f t="shared" si="31"/>
        <v>10443263.939999994</v>
      </c>
      <c r="H430" s="33">
        <v>0</v>
      </c>
      <c r="I430" s="33">
        <v>0</v>
      </c>
      <c r="J430" s="33">
        <v>0</v>
      </c>
      <c r="K430" s="33">
        <f t="shared" si="33"/>
        <v>10890.99</v>
      </c>
      <c r="L430" s="33">
        <f t="shared" si="34"/>
        <v>242363.88</v>
      </c>
      <c r="M430" s="33">
        <f t="shared" si="35"/>
        <v>10190009.069999995</v>
      </c>
      <c r="N430" s="235">
        <f t="shared" si="32"/>
        <v>0</v>
      </c>
      <c r="O430" s="35" t="s">
        <v>3327</v>
      </c>
      <c r="P430" s="35"/>
      <c r="Q430" s="39">
        <f>SUMIF('Antelope Bailey Split BA'!$B$7:$B$29,B430,'Antelope Bailey Split BA'!$C$7:$C$29)</f>
        <v>0</v>
      </c>
      <c r="R430" s="39" t="str">
        <f>IF(AND(Q430=1,'Plant Total by Account'!$J$1=2),"EKWRA","")</f>
        <v/>
      </c>
    </row>
    <row r="431" spans="1:18" x14ac:dyDescent="0.2">
      <c r="A431" s="31" t="s">
        <v>2969</v>
      </c>
      <c r="B431" s="36" t="s">
        <v>557</v>
      </c>
      <c r="C431" s="504" t="s">
        <v>3353</v>
      </c>
      <c r="D431" s="42">
        <v>0</v>
      </c>
      <c r="E431" s="42">
        <v>10453.119999999999</v>
      </c>
      <c r="F431" s="42">
        <v>326992.86000000004</v>
      </c>
      <c r="G431" s="581">
        <f t="shared" si="31"/>
        <v>337445.98000000004</v>
      </c>
      <c r="H431" s="33">
        <v>0</v>
      </c>
      <c r="I431" s="33">
        <v>0</v>
      </c>
      <c r="J431" s="33">
        <v>0</v>
      </c>
      <c r="K431" s="33">
        <f t="shared" si="33"/>
        <v>0</v>
      </c>
      <c r="L431" s="33">
        <f t="shared" si="34"/>
        <v>10453.119999999999</v>
      </c>
      <c r="M431" s="33">
        <f t="shared" si="35"/>
        <v>326992.86000000004</v>
      </c>
      <c r="N431" s="235">
        <f t="shared" si="32"/>
        <v>0</v>
      </c>
      <c r="O431" s="35" t="s">
        <v>3327</v>
      </c>
      <c r="P431" s="35"/>
      <c r="Q431" s="39">
        <f>SUMIF('Antelope Bailey Split BA'!$B$7:$B$29,B431,'Antelope Bailey Split BA'!$C$7:$C$29)</f>
        <v>0</v>
      </c>
      <c r="R431" s="39" t="str">
        <f>IF(AND(Q431=1,'Plant Total by Account'!$J$1=2),"EKWRA","")</f>
        <v/>
      </c>
    </row>
    <row r="432" spans="1:18" x14ac:dyDescent="0.2">
      <c r="A432" s="31" t="s">
        <v>2970</v>
      </c>
      <c r="B432" s="36" t="s">
        <v>558</v>
      </c>
      <c r="C432" s="504" t="s">
        <v>3353</v>
      </c>
      <c r="D432" s="42">
        <v>5846.19</v>
      </c>
      <c r="E432" s="42">
        <v>156721</v>
      </c>
      <c r="F432" s="42">
        <v>3071558.830000001</v>
      </c>
      <c r="G432" s="581">
        <f t="shared" si="31"/>
        <v>3234126.0200000009</v>
      </c>
      <c r="H432" s="33">
        <v>0</v>
      </c>
      <c r="I432" s="33">
        <v>0</v>
      </c>
      <c r="J432" s="33">
        <v>0</v>
      </c>
      <c r="K432" s="33">
        <f t="shared" si="33"/>
        <v>5846.19</v>
      </c>
      <c r="L432" s="33">
        <f t="shared" si="34"/>
        <v>156721</v>
      </c>
      <c r="M432" s="33">
        <f t="shared" si="35"/>
        <v>3071558.830000001</v>
      </c>
      <c r="N432" s="235">
        <f t="shared" si="32"/>
        <v>0</v>
      </c>
      <c r="O432" s="35" t="s">
        <v>3327</v>
      </c>
      <c r="P432" s="35"/>
      <c r="Q432" s="39">
        <f>SUMIF('Antelope Bailey Split BA'!$B$7:$B$29,B432,'Antelope Bailey Split BA'!$C$7:$C$29)</f>
        <v>0</v>
      </c>
      <c r="R432" s="39" t="str">
        <f>IF(AND(Q432=1,'Plant Total by Account'!$J$1=2),"EKWRA","")</f>
        <v/>
      </c>
    </row>
    <row r="433" spans="1:18" x14ac:dyDescent="0.2">
      <c r="A433" s="31" t="s">
        <v>2971</v>
      </c>
      <c r="B433" s="36" t="s">
        <v>559</v>
      </c>
      <c r="C433" s="504" t="s">
        <v>3353</v>
      </c>
      <c r="D433" s="42">
        <v>17348.080000000002</v>
      </c>
      <c r="E433" s="42">
        <v>158159.18000000002</v>
      </c>
      <c r="F433" s="42">
        <v>5839160.4200000027</v>
      </c>
      <c r="G433" s="581">
        <f t="shared" si="31"/>
        <v>6014667.6800000025</v>
      </c>
      <c r="H433" s="33">
        <v>0</v>
      </c>
      <c r="I433" s="33">
        <v>0</v>
      </c>
      <c r="J433" s="33">
        <v>0</v>
      </c>
      <c r="K433" s="33">
        <f t="shared" si="33"/>
        <v>17348.080000000002</v>
      </c>
      <c r="L433" s="33">
        <f t="shared" si="34"/>
        <v>158159.18000000002</v>
      </c>
      <c r="M433" s="33">
        <f t="shared" si="35"/>
        <v>5839160.4200000027</v>
      </c>
      <c r="N433" s="235">
        <f t="shared" si="32"/>
        <v>0</v>
      </c>
      <c r="O433" s="35" t="s">
        <v>3327</v>
      </c>
      <c r="P433" s="35"/>
      <c r="Q433" s="39">
        <f>SUMIF('Antelope Bailey Split BA'!$B$7:$B$29,B433,'Antelope Bailey Split BA'!$C$7:$C$29)</f>
        <v>0</v>
      </c>
      <c r="R433" s="39" t="str">
        <f>IF(AND(Q433=1,'Plant Total by Account'!$J$1=2),"EKWRA","")</f>
        <v/>
      </c>
    </row>
    <row r="434" spans="1:18" x14ac:dyDescent="0.2">
      <c r="A434" s="31" t="s">
        <v>2463</v>
      </c>
      <c r="B434" s="36" t="s">
        <v>560</v>
      </c>
      <c r="C434" s="504" t="s">
        <v>3353</v>
      </c>
      <c r="D434" s="42">
        <v>0</v>
      </c>
      <c r="E434" s="42">
        <v>3994.25</v>
      </c>
      <c r="F434" s="42">
        <v>83170.600000000006</v>
      </c>
      <c r="G434" s="581">
        <f t="shared" si="31"/>
        <v>87164.85</v>
      </c>
      <c r="H434" s="33">
        <v>0</v>
      </c>
      <c r="I434" s="33">
        <v>0</v>
      </c>
      <c r="J434" s="33">
        <v>0</v>
      </c>
      <c r="K434" s="33">
        <f t="shared" si="33"/>
        <v>0</v>
      </c>
      <c r="L434" s="33">
        <f t="shared" si="34"/>
        <v>3994.25</v>
      </c>
      <c r="M434" s="33">
        <f t="shared" si="35"/>
        <v>83170.600000000006</v>
      </c>
      <c r="N434" s="235">
        <f t="shared" si="32"/>
        <v>0</v>
      </c>
      <c r="O434" s="35" t="s">
        <v>3327</v>
      </c>
      <c r="P434" s="35"/>
      <c r="Q434" s="39">
        <f>SUMIF('Antelope Bailey Split BA'!$B$7:$B$29,B434,'Antelope Bailey Split BA'!$C$7:$C$29)</f>
        <v>0</v>
      </c>
      <c r="R434" s="39" t="str">
        <f>IF(AND(Q434=1,'Plant Total by Account'!$J$1=2),"EKWRA","")</f>
        <v/>
      </c>
    </row>
    <row r="435" spans="1:18" x14ac:dyDescent="0.2">
      <c r="A435" s="31" t="s">
        <v>2972</v>
      </c>
      <c r="B435" s="36" t="s">
        <v>132</v>
      </c>
      <c r="C435" s="504" t="s">
        <v>3353</v>
      </c>
      <c r="D435" s="42">
        <v>0</v>
      </c>
      <c r="E435" s="42">
        <v>0</v>
      </c>
      <c r="F435" s="42">
        <v>22148.11</v>
      </c>
      <c r="G435" s="581">
        <f t="shared" si="31"/>
        <v>22148.11</v>
      </c>
      <c r="H435" s="33">
        <v>0</v>
      </c>
      <c r="I435" s="33">
        <v>0</v>
      </c>
      <c r="J435" s="33">
        <v>0</v>
      </c>
      <c r="K435" s="33">
        <f t="shared" si="33"/>
        <v>0</v>
      </c>
      <c r="L435" s="33">
        <f t="shared" si="34"/>
        <v>0</v>
      </c>
      <c r="M435" s="33">
        <f t="shared" si="35"/>
        <v>22148.11</v>
      </c>
      <c r="N435" s="235">
        <f t="shared" si="32"/>
        <v>0</v>
      </c>
      <c r="O435" s="35" t="s">
        <v>3327</v>
      </c>
      <c r="P435" s="35"/>
      <c r="Q435" s="39">
        <f>SUMIF('Antelope Bailey Split BA'!$B$7:$B$29,B435,'Antelope Bailey Split BA'!$C$7:$C$29)</f>
        <v>0</v>
      </c>
      <c r="R435" s="39" t="str">
        <f>IF(AND(Q435=1,'Plant Total by Account'!$J$1=2),"EKWRA","")</f>
        <v/>
      </c>
    </row>
    <row r="436" spans="1:18" x14ac:dyDescent="0.2">
      <c r="A436" s="31" t="s">
        <v>2973</v>
      </c>
      <c r="B436" s="36" t="s">
        <v>561</v>
      </c>
      <c r="C436" s="504" t="s">
        <v>3353</v>
      </c>
      <c r="D436" s="42">
        <v>24965.45</v>
      </c>
      <c r="E436" s="42">
        <v>252609.56</v>
      </c>
      <c r="F436" s="42">
        <v>6330940.4000000041</v>
      </c>
      <c r="G436" s="581">
        <f t="shared" si="31"/>
        <v>6608515.4100000039</v>
      </c>
      <c r="H436" s="33">
        <v>0</v>
      </c>
      <c r="I436" s="33">
        <v>0</v>
      </c>
      <c r="J436" s="33">
        <v>0</v>
      </c>
      <c r="K436" s="33">
        <f t="shared" si="33"/>
        <v>24965.45</v>
      </c>
      <c r="L436" s="33">
        <f t="shared" si="34"/>
        <v>252609.56</v>
      </c>
      <c r="M436" s="33">
        <f t="shared" si="35"/>
        <v>6330940.4000000041</v>
      </c>
      <c r="N436" s="235">
        <f t="shared" si="32"/>
        <v>0</v>
      </c>
      <c r="O436" s="35" t="s">
        <v>3327</v>
      </c>
      <c r="P436" s="35"/>
      <c r="Q436" s="39">
        <f>SUMIF('Antelope Bailey Split BA'!$B$7:$B$29,B436,'Antelope Bailey Split BA'!$C$7:$C$29)</f>
        <v>0</v>
      </c>
      <c r="R436" s="39" t="str">
        <f>IF(AND(Q436=1,'Plant Total by Account'!$J$1=2),"EKWRA","")</f>
        <v/>
      </c>
    </row>
    <row r="437" spans="1:18" x14ac:dyDescent="0.2">
      <c r="A437" s="31" t="s">
        <v>2974</v>
      </c>
      <c r="B437" s="32" t="s">
        <v>562</v>
      </c>
      <c r="C437" s="504" t="s">
        <v>3353</v>
      </c>
      <c r="D437" s="42">
        <v>3638.26</v>
      </c>
      <c r="E437" s="42">
        <v>104601.30000000002</v>
      </c>
      <c r="F437" s="42">
        <v>8579277.2300000004</v>
      </c>
      <c r="G437" s="581">
        <f t="shared" si="31"/>
        <v>8687516.790000001</v>
      </c>
      <c r="H437" s="33">
        <v>0</v>
      </c>
      <c r="I437" s="33">
        <v>0</v>
      </c>
      <c r="J437" s="33">
        <v>0</v>
      </c>
      <c r="K437" s="33">
        <f t="shared" si="33"/>
        <v>3638.26</v>
      </c>
      <c r="L437" s="33">
        <f t="shared" si="34"/>
        <v>104601.30000000002</v>
      </c>
      <c r="M437" s="33">
        <f t="shared" si="35"/>
        <v>8579277.2300000004</v>
      </c>
      <c r="N437" s="235">
        <f t="shared" si="32"/>
        <v>0</v>
      </c>
      <c r="O437" s="35" t="s">
        <v>3327</v>
      </c>
      <c r="P437" s="35"/>
      <c r="Q437" s="39">
        <f>SUMIF('Antelope Bailey Split BA'!$B$7:$B$29,B437,'Antelope Bailey Split BA'!$C$7:$C$29)</f>
        <v>0</v>
      </c>
      <c r="R437" s="39" t="str">
        <f>IF(AND(Q437=1,'Plant Total by Account'!$J$1=2),"EKWRA","")</f>
        <v/>
      </c>
    </row>
    <row r="438" spans="1:18" x14ac:dyDescent="0.2">
      <c r="A438" s="31" t="s">
        <v>2975</v>
      </c>
      <c r="B438" s="36" t="s">
        <v>563</v>
      </c>
      <c r="C438" s="504" t="s">
        <v>3352</v>
      </c>
      <c r="D438" s="42">
        <v>4819.6400000000003</v>
      </c>
      <c r="E438" s="42">
        <v>32829.879999999997</v>
      </c>
      <c r="F438" s="42">
        <v>382294.12000000017</v>
      </c>
      <c r="G438" s="581">
        <f t="shared" si="31"/>
        <v>419943.64000000019</v>
      </c>
      <c r="H438" s="33">
        <v>0</v>
      </c>
      <c r="I438" s="33">
        <v>0</v>
      </c>
      <c r="J438" s="33">
        <v>0</v>
      </c>
      <c r="K438" s="33">
        <f t="shared" si="33"/>
        <v>4819.6400000000003</v>
      </c>
      <c r="L438" s="33">
        <f t="shared" si="34"/>
        <v>32829.879999999997</v>
      </c>
      <c r="M438" s="33">
        <f t="shared" si="35"/>
        <v>382294.12000000017</v>
      </c>
      <c r="N438" s="235">
        <f t="shared" si="32"/>
        <v>0</v>
      </c>
      <c r="O438" s="35" t="s">
        <v>3327</v>
      </c>
      <c r="P438" s="35"/>
      <c r="Q438" s="39">
        <f>SUMIF('Antelope Bailey Split BA'!$B$7:$B$29,B438,'Antelope Bailey Split BA'!$C$7:$C$29)</f>
        <v>0</v>
      </c>
      <c r="R438" s="39" t="str">
        <f>IF(AND(Q438=1,'Plant Total by Account'!$J$1=2),"EKWRA","")</f>
        <v/>
      </c>
    </row>
    <row r="439" spans="1:18" x14ac:dyDescent="0.2">
      <c r="A439" s="31" t="s">
        <v>2464</v>
      </c>
      <c r="B439" s="36" t="s">
        <v>564</v>
      </c>
      <c r="C439" s="504" t="s">
        <v>3353</v>
      </c>
      <c r="D439" s="42">
        <v>4738.03</v>
      </c>
      <c r="E439" s="42">
        <v>126603.43000000002</v>
      </c>
      <c r="F439" s="42">
        <v>4610451.04</v>
      </c>
      <c r="G439" s="581">
        <f t="shared" si="31"/>
        <v>4741792.5</v>
      </c>
      <c r="H439" s="33">
        <v>0</v>
      </c>
      <c r="I439" s="33">
        <v>0</v>
      </c>
      <c r="J439" s="33">
        <v>0</v>
      </c>
      <c r="K439" s="33">
        <f t="shared" si="33"/>
        <v>4738.03</v>
      </c>
      <c r="L439" s="33">
        <f t="shared" si="34"/>
        <v>126603.43000000002</v>
      </c>
      <c r="M439" s="33">
        <f t="shared" si="35"/>
        <v>4610451.04</v>
      </c>
      <c r="N439" s="235">
        <f t="shared" si="32"/>
        <v>0</v>
      </c>
      <c r="O439" s="35" t="s">
        <v>3327</v>
      </c>
      <c r="P439" s="35"/>
      <c r="Q439" s="39">
        <f>SUMIF('Antelope Bailey Split BA'!$B$7:$B$29,B439,'Antelope Bailey Split BA'!$C$7:$C$29)</f>
        <v>0</v>
      </c>
      <c r="R439" s="39" t="str">
        <f>IF(AND(Q439=1,'Plant Total by Account'!$J$1=2),"EKWRA","")</f>
        <v/>
      </c>
    </row>
    <row r="440" spans="1:18" ht="12.75" customHeight="1" x14ac:dyDescent="0.2">
      <c r="A440" s="31" t="s">
        <v>2976</v>
      </c>
      <c r="B440" s="36" t="s">
        <v>565</v>
      </c>
      <c r="C440" s="504" t="s">
        <v>3353</v>
      </c>
      <c r="D440" s="42">
        <v>39026.129999999997</v>
      </c>
      <c r="E440" s="42">
        <v>510329.89</v>
      </c>
      <c r="F440" s="42">
        <v>8018466.7799999993</v>
      </c>
      <c r="G440" s="581">
        <f t="shared" si="31"/>
        <v>8567822.7999999989</v>
      </c>
      <c r="H440" s="33">
        <v>0</v>
      </c>
      <c r="I440" s="33">
        <v>0</v>
      </c>
      <c r="J440" s="33">
        <v>0</v>
      </c>
      <c r="K440" s="33">
        <f t="shared" si="33"/>
        <v>39026.129999999997</v>
      </c>
      <c r="L440" s="33">
        <f t="shared" si="34"/>
        <v>510329.89</v>
      </c>
      <c r="M440" s="33">
        <f t="shared" si="35"/>
        <v>8018466.7799999993</v>
      </c>
      <c r="N440" s="235">
        <f t="shared" si="32"/>
        <v>0</v>
      </c>
      <c r="O440" s="35" t="s">
        <v>3327</v>
      </c>
      <c r="P440" s="35"/>
      <c r="Q440" s="39">
        <f>SUMIF('Antelope Bailey Split BA'!$B$7:$B$29,B440,'Antelope Bailey Split BA'!$C$7:$C$29)</f>
        <v>0</v>
      </c>
      <c r="R440" s="39" t="str">
        <f>IF(AND(Q440=1,'Plant Total by Account'!$J$1=2),"EKWRA","")</f>
        <v/>
      </c>
    </row>
    <row r="441" spans="1:18" x14ac:dyDescent="0.2">
      <c r="A441" s="31" t="s">
        <v>2977</v>
      </c>
      <c r="B441" s="36" t="s">
        <v>566</v>
      </c>
      <c r="C441" s="504" t="s">
        <v>3353</v>
      </c>
      <c r="D441" s="42">
        <v>1915.38</v>
      </c>
      <c r="E441" s="42">
        <v>491705.53</v>
      </c>
      <c r="F441" s="42">
        <v>6708629.9899999984</v>
      </c>
      <c r="G441" s="581">
        <f t="shared" si="31"/>
        <v>7202250.8999999985</v>
      </c>
      <c r="H441" s="33">
        <v>0</v>
      </c>
      <c r="I441" s="33">
        <v>0</v>
      </c>
      <c r="J441" s="33">
        <v>0</v>
      </c>
      <c r="K441" s="33">
        <f t="shared" si="33"/>
        <v>1915.38</v>
      </c>
      <c r="L441" s="33">
        <f t="shared" si="34"/>
        <v>491705.53</v>
      </c>
      <c r="M441" s="33">
        <f t="shared" si="35"/>
        <v>6708629.9899999984</v>
      </c>
      <c r="N441" s="235">
        <f t="shared" si="32"/>
        <v>0</v>
      </c>
      <c r="O441" s="35" t="s">
        <v>3327</v>
      </c>
      <c r="P441" s="35"/>
      <c r="Q441" s="39">
        <f>SUMIF('Antelope Bailey Split BA'!$B$7:$B$29,B441,'Antelope Bailey Split BA'!$C$7:$C$29)</f>
        <v>0</v>
      </c>
      <c r="R441" s="39" t="str">
        <f>IF(AND(Q441=1,'Plant Total by Account'!$J$1=2),"EKWRA","")</f>
        <v/>
      </c>
    </row>
    <row r="442" spans="1:18" x14ac:dyDescent="0.2">
      <c r="A442" s="31" t="s">
        <v>2978</v>
      </c>
      <c r="B442" s="36" t="s">
        <v>567</v>
      </c>
      <c r="C442" s="504" t="s">
        <v>3353</v>
      </c>
      <c r="D442" s="42">
        <v>14411.65</v>
      </c>
      <c r="E442" s="42">
        <v>243862.88000000003</v>
      </c>
      <c r="F442" s="42">
        <v>7933937.4499999965</v>
      </c>
      <c r="G442" s="581">
        <f t="shared" si="31"/>
        <v>8192211.9799999967</v>
      </c>
      <c r="H442" s="33">
        <v>0</v>
      </c>
      <c r="I442" s="33">
        <v>0</v>
      </c>
      <c r="J442" s="33">
        <v>0</v>
      </c>
      <c r="K442" s="33">
        <f t="shared" si="33"/>
        <v>14411.65</v>
      </c>
      <c r="L442" s="33">
        <f t="shared" si="34"/>
        <v>243862.88000000003</v>
      </c>
      <c r="M442" s="33">
        <f t="shared" si="35"/>
        <v>7933937.4499999965</v>
      </c>
      <c r="N442" s="235">
        <f t="shared" si="32"/>
        <v>0</v>
      </c>
      <c r="O442" s="35" t="s">
        <v>3327</v>
      </c>
      <c r="P442" s="35"/>
      <c r="Q442" s="39">
        <f>SUMIF('Antelope Bailey Split BA'!$B$7:$B$29,B442,'Antelope Bailey Split BA'!$C$7:$C$29)</f>
        <v>0</v>
      </c>
      <c r="R442" s="39" t="str">
        <f>IF(AND(Q442=1,'Plant Total by Account'!$J$1=2),"EKWRA","")</f>
        <v/>
      </c>
    </row>
    <row r="443" spans="1:18" x14ac:dyDescent="0.2">
      <c r="A443" s="31" t="s">
        <v>2979</v>
      </c>
      <c r="B443" s="36" t="s">
        <v>568</v>
      </c>
      <c r="C443" s="504" t="s">
        <v>3352</v>
      </c>
      <c r="D443" s="42">
        <v>9257.16</v>
      </c>
      <c r="E443" s="42">
        <v>28410.320000000003</v>
      </c>
      <c r="F443" s="42">
        <v>2742931.1999999988</v>
      </c>
      <c r="G443" s="581">
        <f t="shared" si="31"/>
        <v>2780598.6799999988</v>
      </c>
      <c r="H443" s="33">
        <v>0</v>
      </c>
      <c r="I443" s="33">
        <v>0</v>
      </c>
      <c r="J443" s="33">
        <v>0</v>
      </c>
      <c r="K443" s="33">
        <f t="shared" si="33"/>
        <v>9257.16</v>
      </c>
      <c r="L443" s="33">
        <f t="shared" si="34"/>
        <v>28410.320000000003</v>
      </c>
      <c r="M443" s="33">
        <f t="shared" si="35"/>
        <v>2742931.1999999988</v>
      </c>
      <c r="N443" s="235">
        <f t="shared" si="32"/>
        <v>0</v>
      </c>
      <c r="O443" s="35" t="s">
        <v>3327</v>
      </c>
      <c r="P443" s="35"/>
      <c r="Q443" s="39">
        <f>SUMIF('Antelope Bailey Split BA'!$B$7:$B$29,B443,'Antelope Bailey Split BA'!$C$7:$C$29)</f>
        <v>0</v>
      </c>
      <c r="R443" s="39" t="str">
        <f>IF(AND(Q443=1,'Plant Total by Account'!$J$1=2),"EKWRA","")</f>
        <v/>
      </c>
    </row>
    <row r="444" spans="1:18" x14ac:dyDescent="0.2">
      <c r="A444" s="31" t="s">
        <v>2980</v>
      </c>
      <c r="B444" s="36" t="s">
        <v>569</v>
      </c>
      <c r="C444" s="504" t="s">
        <v>3352</v>
      </c>
      <c r="D444" s="42">
        <v>0</v>
      </c>
      <c r="E444" s="42">
        <v>129667.93000000001</v>
      </c>
      <c r="F444" s="42">
        <v>496750.05000000016</v>
      </c>
      <c r="G444" s="581">
        <f t="shared" si="31"/>
        <v>626417.98000000021</v>
      </c>
      <c r="H444" s="33">
        <v>0</v>
      </c>
      <c r="I444" s="33">
        <v>0</v>
      </c>
      <c r="J444" s="33">
        <v>0</v>
      </c>
      <c r="K444" s="33">
        <f t="shared" si="33"/>
        <v>0</v>
      </c>
      <c r="L444" s="33">
        <f t="shared" si="34"/>
        <v>129667.93000000001</v>
      </c>
      <c r="M444" s="33">
        <f t="shared" si="35"/>
        <v>496750.05000000016</v>
      </c>
      <c r="N444" s="235">
        <f t="shared" si="32"/>
        <v>0</v>
      </c>
      <c r="O444" s="35" t="s">
        <v>3327</v>
      </c>
      <c r="P444" s="35"/>
      <c r="Q444" s="39">
        <f>SUMIF('Antelope Bailey Split BA'!$B$7:$B$29,B444,'Antelope Bailey Split BA'!$C$7:$C$29)</f>
        <v>0</v>
      </c>
      <c r="R444" s="39" t="str">
        <f>IF(AND(Q444=1,'Plant Total by Account'!$J$1=2),"EKWRA","")</f>
        <v/>
      </c>
    </row>
    <row r="445" spans="1:18" x14ac:dyDescent="0.2">
      <c r="A445" s="31" t="s">
        <v>1725</v>
      </c>
      <c r="B445" s="36" t="s">
        <v>2981</v>
      </c>
      <c r="C445" s="504" t="s">
        <v>3353</v>
      </c>
      <c r="D445" s="42">
        <v>0</v>
      </c>
      <c r="E445" s="42">
        <v>0</v>
      </c>
      <c r="F445" s="42">
        <v>6992.81</v>
      </c>
      <c r="G445" s="581">
        <f t="shared" si="31"/>
        <v>6992.81</v>
      </c>
      <c r="H445" s="33">
        <v>0</v>
      </c>
      <c r="I445" s="33">
        <v>0</v>
      </c>
      <c r="J445" s="33">
        <v>0</v>
      </c>
      <c r="K445" s="33">
        <f t="shared" si="33"/>
        <v>0</v>
      </c>
      <c r="L445" s="33">
        <f t="shared" si="34"/>
        <v>0</v>
      </c>
      <c r="M445" s="33">
        <f t="shared" si="35"/>
        <v>6992.81</v>
      </c>
      <c r="N445" s="235">
        <f t="shared" si="32"/>
        <v>0</v>
      </c>
      <c r="O445" s="35" t="s">
        <v>3327</v>
      </c>
      <c r="P445" s="35"/>
      <c r="Q445" s="39">
        <f>SUMIF('Antelope Bailey Split BA'!$B$7:$B$29,B445,'Antelope Bailey Split BA'!$C$7:$C$29)</f>
        <v>0</v>
      </c>
      <c r="R445" s="39" t="str">
        <f>IF(AND(Q445=1,'Plant Total by Account'!$J$1=2),"EKWRA","")</f>
        <v/>
      </c>
    </row>
    <row r="446" spans="1:18" x14ac:dyDescent="0.2">
      <c r="A446" s="31" t="s">
        <v>2982</v>
      </c>
      <c r="B446" s="36" t="s">
        <v>570</v>
      </c>
      <c r="C446" s="504" t="s">
        <v>3352</v>
      </c>
      <c r="D446" s="42">
        <v>1612.23</v>
      </c>
      <c r="E446" s="42">
        <v>3318.82</v>
      </c>
      <c r="F446" s="42">
        <v>232846.37</v>
      </c>
      <c r="G446" s="581">
        <f t="shared" si="31"/>
        <v>237777.41999999998</v>
      </c>
      <c r="H446" s="33">
        <v>0</v>
      </c>
      <c r="I446" s="33">
        <v>0</v>
      </c>
      <c r="J446" s="33">
        <v>0</v>
      </c>
      <c r="K446" s="33">
        <f t="shared" si="33"/>
        <v>1612.23</v>
      </c>
      <c r="L446" s="33">
        <f t="shared" si="34"/>
        <v>3318.82</v>
      </c>
      <c r="M446" s="33">
        <f t="shared" si="35"/>
        <v>232846.37</v>
      </c>
      <c r="N446" s="235">
        <f t="shared" si="32"/>
        <v>0</v>
      </c>
      <c r="O446" s="35" t="s">
        <v>3327</v>
      </c>
      <c r="P446" s="35"/>
      <c r="Q446" s="39">
        <f>SUMIF('Antelope Bailey Split BA'!$B$7:$B$29,B446,'Antelope Bailey Split BA'!$C$7:$C$29)</f>
        <v>0</v>
      </c>
      <c r="R446" s="39" t="str">
        <f>IF(AND(Q446=1,'Plant Total by Account'!$J$1=2),"EKWRA","")</f>
        <v/>
      </c>
    </row>
    <row r="447" spans="1:18" x14ac:dyDescent="0.2">
      <c r="A447" s="31" t="s">
        <v>2983</v>
      </c>
      <c r="B447" s="36" t="s">
        <v>571</v>
      </c>
      <c r="C447" s="504" t="s">
        <v>3352</v>
      </c>
      <c r="D447" s="42">
        <v>4294.57</v>
      </c>
      <c r="E447" s="42">
        <v>57703.66</v>
      </c>
      <c r="F447" s="42">
        <v>1657852.0299999996</v>
      </c>
      <c r="G447" s="581">
        <f t="shared" si="31"/>
        <v>1719850.2599999995</v>
      </c>
      <c r="H447" s="33">
        <v>0</v>
      </c>
      <c r="I447" s="33">
        <v>0</v>
      </c>
      <c r="J447" s="33">
        <v>0</v>
      </c>
      <c r="K447" s="33">
        <f t="shared" si="33"/>
        <v>4294.57</v>
      </c>
      <c r="L447" s="33">
        <f t="shared" si="34"/>
        <v>57703.66</v>
      </c>
      <c r="M447" s="33">
        <f t="shared" si="35"/>
        <v>1657852.0299999996</v>
      </c>
      <c r="N447" s="235">
        <f t="shared" si="32"/>
        <v>0</v>
      </c>
      <c r="O447" s="35" t="s">
        <v>3327</v>
      </c>
      <c r="P447" s="35"/>
      <c r="Q447" s="39">
        <f>SUMIF('Antelope Bailey Split BA'!$B$7:$B$29,B447,'Antelope Bailey Split BA'!$C$7:$C$29)</f>
        <v>0</v>
      </c>
      <c r="R447" s="39" t="str">
        <f>IF(AND(Q447=1,'Plant Total by Account'!$J$1=2),"EKWRA","")</f>
        <v/>
      </c>
    </row>
    <row r="448" spans="1:18" x14ac:dyDescent="0.2">
      <c r="A448" s="31" t="s">
        <v>2984</v>
      </c>
      <c r="B448" s="36" t="s">
        <v>572</v>
      </c>
      <c r="C448" s="504" t="s">
        <v>3353</v>
      </c>
      <c r="D448" s="42">
        <v>879.71</v>
      </c>
      <c r="E448" s="42">
        <v>59716.44</v>
      </c>
      <c r="F448" s="42">
        <v>4859944.6400000025</v>
      </c>
      <c r="G448" s="581">
        <f t="shared" si="31"/>
        <v>4920540.7900000028</v>
      </c>
      <c r="H448" s="33">
        <v>0</v>
      </c>
      <c r="I448" s="33">
        <v>0</v>
      </c>
      <c r="J448" s="33">
        <v>0</v>
      </c>
      <c r="K448" s="33">
        <f t="shared" si="33"/>
        <v>879.71</v>
      </c>
      <c r="L448" s="33">
        <f t="shared" si="34"/>
        <v>59716.44</v>
      </c>
      <c r="M448" s="33">
        <f t="shared" si="35"/>
        <v>4859944.6400000025</v>
      </c>
      <c r="N448" s="235">
        <f t="shared" si="32"/>
        <v>0</v>
      </c>
      <c r="O448" s="35" t="s">
        <v>3327</v>
      </c>
      <c r="P448" s="35"/>
      <c r="Q448" s="39">
        <f>SUMIF('Antelope Bailey Split BA'!$B$7:$B$29,B448,'Antelope Bailey Split BA'!$C$7:$C$29)</f>
        <v>0</v>
      </c>
      <c r="R448" s="39" t="str">
        <f>IF(AND(Q448=1,'Plant Total by Account'!$J$1=2),"EKWRA","")</f>
        <v/>
      </c>
    </row>
    <row r="449" spans="1:18" x14ac:dyDescent="0.2">
      <c r="A449" s="31" t="s">
        <v>2985</v>
      </c>
      <c r="B449" s="36" t="s">
        <v>573</v>
      </c>
      <c r="C449" s="504" t="s">
        <v>3352</v>
      </c>
      <c r="D449" s="42">
        <v>7625.28</v>
      </c>
      <c r="E449" s="42">
        <v>58418.93</v>
      </c>
      <c r="F449" s="42">
        <v>946256.13999999966</v>
      </c>
      <c r="G449" s="581">
        <f t="shared" si="31"/>
        <v>1012300.3499999996</v>
      </c>
      <c r="H449" s="33">
        <v>0</v>
      </c>
      <c r="I449" s="33">
        <v>0</v>
      </c>
      <c r="J449" s="33">
        <v>0</v>
      </c>
      <c r="K449" s="33">
        <f t="shared" si="33"/>
        <v>7625.28</v>
      </c>
      <c r="L449" s="33">
        <f t="shared" si="34"/>
        <v>58418.93</v>
      </c>
      <c r="M449" s="33">
        <f t="shared" si="35"/>
        <v>946256.13999999966</v>
      </c>
      <c r="N449" s="235">
        <f t="shared" si="32"/>
        <v>0</v>
      </c>
      <c r="O449" s="35" t="s">
        <v>3327</v>
      </c>
      <c r="P449" s="35"/>
      <c r="Q449" s="39">
        <f>SUMIF('Antelope Bailey Split BA'!$B$7:$B$29,B449,'Antelope Bailey Split BA'!$C$7:$C$29)</f>
        <v>0</v>
      </c>
      <c r="R449" s="39" t="str">
        <f>IF(AND(Q449=1,'Plant Total by Account'!$J$1=2),"EKWRA","")</f>
        <v/>
      </c>
    </row>
    <row r="450" spans="1:18" x14ac:dyDescent="0.2">
      <c r="A450" s="31" t="s">
        <v>2986</v>
      </c>
      <c r="B450" s="36" t="s">
        <v>574</v>
      </c>
      <c r="C450" s="504" t="s">
        <v>3353</v>
      </c>
      <c r="D450" s="42">
        <v>18481.64</v>
      </c>
      <c r="E450" s="42">
        <v>231278.01</v>
      </c>
      <c r="F450" s="42">
        <v>4420451.49</v>
      </c>
      <c r="G450" s="581">
        <f t="shared" si="31"/>
        <v>4670211.1400000006</v>
      </c>
      <c r="H450" s="33">
        <v>0</v>
      </c>
      <c r="I450" s="33">
        <v>0</v>
      </c>
      <c r="J450" s="33">
        <v>0</v>
      </c>
      <c r="K450" s="33">
        <f t="shared" si="33"/>
        <v>18481.64</v>
      </c>
      <c r="L450" s="33">
        <f t="shared" si="34"/>
        <v>231278.01</v>
      </c>
      <c r="M450" s="33">
        <f t="shared" si="35"/>
        <v>4420451.49</v>
      </c>
      <c r="N450" s="235">
        <f t="shared" si="32"/>
        <v>0</v>
      </c>
      <c r="O450" s="35" t="s">
        <v>3327</v>
      </c>
      <c r="P450" s="35"/>
      <c r="Q450" s="39">
        <f>SUMIF('Antelope Bailey Split BA'!$B$7:$B$29,B450,'Antelope Bailey Split BA'!$C$7:$C$29)</f>
        <v>0</v>
      </c>
      <c r="R450" s="39" t="str">
        <f>IF(AND(Q450=1,'Plant Total by Account'!$J$1=2),"EKWRA","")</f>
        <v/>
      </c>
    </row>
    <row r="451" spans="1:18" x14ac:dyDescent="0.2">
      <c r="A451" s="31" t="s">
        <v>2987</v>
      </c>
      <c r="B451" s="36" t="s">
        <v>575</v>
      </c>
      <c r="C451" s="504" t="s">
        <v>3353</v>
      </c>
      <c r="D451" s="42">
        <v>20169.260000000002</v>
      </c>
      <c r="E451" s="42">
        <v>114052.18999999999</v>
      </c>
      <c r="F451" s="42">
        <v>6659393.9200000055</v>
      </c>
      <c r="G451" s="581">
        <f t="shared" si="31"/>
        <v>6793615.3700000057</v>
      </c>
      <c r="H451" s="33">
        <v>0</v>
      </c>
      <c r="I451" s="33">
        <v>0</v>
      </c>
      <c r="J451" s="33">
        <v>0</v>
      </c>
      <c r="K451" s="33">
        <f t="shared" si="33"/>
        <v>20169.260000000002</v>
      </c>
      <c r="L451" s="33">
        <f t="shared" si="34"/>
        <v>114052.18999999999</v>
      </c>
      <c r="M451" s="33">
        <f t="shared" si="35"/>
        <v>6659393.9200000055</v>
      </c>
      <c r="N451" s="235">
        <f t="shared" si="32"/>
        <v>0</v>
      </c>
      <c r="O451" s="35" t="s">
        <v>3327</v>
      </c>
      <c r="P451" s="35"/>
      <c r="Q451" s="39">
        <f>SUMIF('Antelope Bailey Split BA'!$B$7:$B$29,B451,'Antelope Bailey Split BA'!$C$7:$C$29)</f>
        <v>0</v>
      </c>
      <c r="R451" s="39" t="str">
        <f>IF(AND(Q451=1,'Plant Total by Account'!$J$1=2),"EKWRA","")</f>
        <v/>
      </c>
    </row>
    <row r="452" spans="1:18" x14ac:dyDescent="0.2">
      <c r="A452" s="31" t="s">
        <v>2988</v>
      </c>
      <c r="B452" s="36" t="s">
        <v>576</v>
      </c>
      <c r="C452" s="504" t="s">
        <v>3353</v>
      </c>
      <c r="D452" s="42">
        <v>0</v>
      </c>
      <c r="E452" s="42">
        <v>359351.14</v>
      </c>
      <c r="F452" s="42">
        <v>1124162.8099999998</v>
      </c>
      <c r="G452" s="581">
        <f t="shared" si="31"/>
        <v>1483513.9499999997</v>
      </c>
      <c r="H452" s="33">
        <v>0</v>
      </c>
      <c r="I452" s="33">
        <v>0</v>
      </c>
      <c r="J452" s="33">
        <v>0</v>
      </c>
      <c r="K452" s="33">
        <f t="shared" si="33"/>
        <v>0</v>
      </c>
      <c r="L452" s="33">
        <f t="shared" si="34"/>
        <v>359351.14</v>
      </c>
      <c r="M452" s="33">
        <f t="shared" si="35"/>
        <v>1124162.8099999998</v>
      </c>
      <c r="N452" s="235">
        <f t="shared" si="32"/>
        <v>0</v>
      </c>
      <c r="O452" s="35" t="s">
        <v>3327</v>
      </c>
      <c r="P452" s="35"/>
      <c r="Q452" s="39">
        <f>SUMIF('Antelope Bailey Split BA'!$B$7:$B$29,B452,'Antelope Bailey Split BA'!$C$7:$C$29)</f>
        <v>0</v>
      </c>
      <c r="R452" s="39" t="str">
        <f>IF(AND(Q452=1,'Plant Total by Account'!$J$1=2),"EKWRA","")</f>
        <v/>
      </c>
    </row>
    <row r="453" spans="1:18" x14ac:dyDescent="0.2">
      <c r="A453" s="31" t="s">
        <v>2465</v>
      </c>
      <c r="B453" s="36" t="s">
        <v>141</v>
      </c>
      <c r="C453" s="504" t="s">
        <v>3353</v>
      </c>
      <c r="D453" s="42">
        <v>5741.3099999999995</v>
      </c>
      <c r="E453" s="42">
        <v>140892.93</v>
      </c>
      <c r="F453" s="42">
        <v>4786105.1500000013</v>
      </c>
      <c r="G453" s="581">
        <f t="shared" si="31"/>
        <v>4932739.3900000015</v>
      </c>
      <c r="H453" s="33">
        <v>0</v>
      </c>
      <c r="I453" s="33">
        <v>0</v>
      </c>
      <c r="J453" s="33">
        <v>0</v>
      </c>
      <c r="K453" s="33">
        <f t="shared" si="33"/>
        <v>5741.3099999999995</v>
      </c>
      <c r="L453" s="33">
        <f t="shared" si="34"/>
        <v>140892.93</v>
      </c>
      <c r="M453" s="33">
        <f t="shared" si="35"/>
        <v>4786105.1500000013</v>
      </c>
      <c r="N453" s="235">
        <f t="shared" si="32"/>
        <v>0</v>
      </c>
      <c r="O453" s="35" t="s">
        <v>3327</v>
      </c>
      <c r="P453" s="35"/>
      <c r="Q453" s="39">
        <f>SUMIF('Antelope Bailey Split BA'!$B$7:$B$29,B453,'Antelope Bailey Split BA'!$C$7:$C$29)</f>
        <v>0</v>
      </c>
      <c r="R453" s="39" t="str">
        <f>IF(AND(Q453=1,'Plant Total by Account'!$J$1=2),"EKWRA","")</f>
        <v/>
      </c>
    </row>
    <row r="454" spans="1:18" x14ac:dyDescent="0.2">
      <c r="A454" s="31" t="s">
        <v>2989</v>
      </c>
      <c r="B454" s="36" t="s">
        <v>577</v>
      </c>
      <c r="C454" s="504" t="s">
        <v>3352</v>
      </c>
      <c r="D454" s="42">
        <v>5801.63</v>
      </c>
      <c r="E454" s="42">
        <v>160319.31</v>
      </c>
      <c r="F454" s="42">
        <v>1739299.18</v>
      </c>
      <c r="G454" s="581">
        <f t="shared" si="31"/>
        <v>1905420.1199999999</v>
      </c>
      <c r="H454" s="33">
        <v>0</v>
      </c>
      <c r="I454" s="33">
        <v>0</v>
      </c>
      <c r="J454" s="33">
        <v>0</v>
      </c>
      <c r="K454" s="33">
        <f t="shared" si="33"/>
        <v>5801.63</v>
      </c>
      <c r="L454" s="33">
        <f t="shared" si="34"/>
        <v>160319.31</v>
      </c>
      <c r="M454" s="33">
        <f t="shared" si="35"/>
        <v>1739299.18</v>
      </c>
      <c r="N454" s="235">
        <f t="shared" si="32"/>
        <v>0</v>
      </c>
      <c r="O454" s="35" t="s">
        <v>3327</v>
      </c>
      <c r="P454" s="35"/>
      <c r="Q454" s="39">
        <f>SUMIF('Antelope Bailey Split BA'!$B$7:$B$29,B454,'Antelope Bailey Split BA'!$C$7:$C$29)</f>
        <v>0</v>
      </c>
      <c r="R454" s="39" t="str">
        <f>IF(AND(Q454=1,'Plant Total by Account'!$J$1=2),"EKWRA","")</f>
        <v/>
      </c>
    </row>
    <row r="455" spans="1:18" x14ac:dyDescent="0.2">
      <c r="A455" s="31" t="s">
        <v>2990</v>
      </c>
      <c r="B455" s="36" t="s">
        <v>578</v>
      </c>
      <c r="C455" s="504" t="s">
        <v>3353</v>
      </c>
      <c r="D455" s="42">
        <v>6634.59</v>
      </c>
      <c r="E455" s="42">
        <v>125627.61</v>
      </c>
      <c r="F455" s="42">
        <v>2933139.81</v>
      </c>
      <c r="G455" s="581">
        <f t="shared" si="31"/>
        <v>3065402.0100000002</v>
      </c>
      <c r="H455" s="33">
        <v>0</v>
      </c>
      <c r="I455" s="33">
        <v>0</v>
      </c>
      <c r="J455" s="33">
        <v>0</v>
      </c>
      <c r="K455" s="33">
        <f t="shared" si="33"/>
        <v>6634.59</v>
      </c>
      <c r="L455" s="33">
        <f t="shared" si="34"/>
        <v>125627.61</v>
      </c>
      <c r="M455" s="33">
        <f t="shared" si="35"/>
        <v>2933139.81</v>
      </c>
      <c r="N455" s="235">
        <f t="shared" si="32"/>
        <v>0</v>
      </c>
      <c r="O455" s="35" t="s">
        <v>3327</v>
      </c>
      <c r="P455" s="35"/>
      <c r="Q455" s="39">
        <f>SUMIF('Antelope Bailey Split BA'!$B$7:$B$29,B455,'Antelope Bailey Split BA'!$C$7:$C$29)</f>
        <v>0</v>
      </c>
      <c r="R455" s="39" t="str">
        <f>IF(AND(Q455=1,'Plant Total by Account'!$J$1=2),"EKWRA","")</f>
        <v/>
      </c>
    </row>
    <row r="456" spans="1:18" x14ac:dyDescent="0.2">
      <c r="A456" s="31" t="s">
        <v>2991</v>
      </c>
      <c r="B456" s="36" t="s">
        <v>579</v>
      </c>
      <c r="C456" s="504" t="s">
        <v>3353</v>
      </c>
      <c r="D456" s="42">
        <v>0</v>
      </c>
      <c r="E456" s="42">
        <v>0</v>
      </c>
      <c r="F456" s="42">
        <v>415140.47</v>
      </c>
      <c r="G456" s="581">
        <f t="shared" si="31"/>
        <v>415140.47</v>
      </c>
      <c r="H456" s="33">
        <v>0</v>
      </c>
      <c r="I456" s="33">
        <v>0</v>
      </c>
      <c r="J456" s="33">
        <v>0</v>
      </c>
      <c r="K456" s="33">
        <f t="shared" si="33"/>
        <v>0</v>
      </c>
      <c r="L456" s="33">
        <f t="shared" si="34"/>
        <v>0</v>
      </c>
      <c r="M456" s="33">
        <f t="shared" si="35"/>
        <v>415140.47</v>
      </c>
      <c r="N456" s="235">
        <f t="shared" si="32"/>
        <v>0</v>
      </c>
      <c r="O456" s="35" t="s">
        <v>3327</v>
      </c>
      <c r="P456" s="35"/>
      <c r="Q456" s="39">
        <f>SUMIF('Antelope Bailey Split BA'!$B$7:$B$29,B456,'Antelope Bailey Split BA'!$C$7:$C$29)</f>
        <v>0</v>
      </c>
      <c r="R456" s="39" t="str">
        <f>IF(AND(Q456=1,'Plant Total by Account'!$J$1=2),"EKWRA","")</f>
        <v/>
      </c>
    </row>
    <row r="457" spans="1:18" x14ac:dyDescent="0.2">
      <c r="A457" s="31" t="s">
        <v>2992</v>
      </c>
      <c r="B457" s="36" t="s">
        <v>580</v>
      </c>
      <c r="C457" s="504" t="s">
        <v>3353</v>
      </c>
      <c r="D457" s="42">
        <v>4771.8</v>
      </c>
      <c r="E457" s="42">
        <v>197180.69999999998</v>
      </c>
      <c r="F457" s="42">
        <v>5259652.2399999993</v>
      </c>
      <c r="G457" s="581">
        <f t="shared" si="31"/>
        <v>5461604.7399999993</v>
      </c>
      <c r="H457" s="33">
        <v>0</v>
      </c>
      <c r="I457" s="33">
        <v>0</v>
      </c>
      <c r="J457" s="33">
        <v>0</v>
      </c>
      <c r="K457" s="33">
        <f t="shared" si="33"/>
        <v>4771.8</v>
      </c>
      <c r="L457" s="33">
        <f t="shared" si="34"/>
        <v>197180.69999999998</v>
      </c>
      <c r="M457" s="33">
        <f t="shared" si="35"/>
        <v>5259652.2399999993</v>
      </c>
      <c r="N457" s="235">
        <f t="shared" si="32"/>
        <v>0</v>
      </c>
      <c r="O457" s="35" t="s">
        <v>3327</v>
      </c>
      <c r="P457" s="35"/>
      <c r="Q457" s="39">
        <f>SUMIF('Antelope Bailey Split BA'!$B$7:$B$29,B457,'Antelope Bailey Split BA'!$C$7:$C$29)</f>
        <v>0</v>
      </c>
      <c r="R457" s="39" t="str">
        <f>IF(AND(Q457=1,'Plant Total by Account'!$J$1=2),"EKWRA","")</f>
        <v/>
      </c>
    </row>
    <row r="458" spans="1:18" x14ac:dyDescent="0.2">
      <c r="A458" s="31" t="s">
        <v>2993</v>
      </c>
      <c r="B458" s="36" t="s">
        <v>581</v>
      </c>
      <c r="C458" s="504" t="s">
        <v>3353</v>
      </c>
      <c r="D458" s="42">
        <v>6287.37</v>
      </c>
      <c r="E458" s="42">
        <v>135305.82</v>
      </c>
      <c r="F458" s="42">
        <v>7385720.0200000042</v>
      </c>
      <c r="G458" s="581">
        <f t="shared" si="31"/>
        <v>7527313.2100000046</v>
      </c>
      <c r="H458" s="33">
        <v>0</v>
      </c>
      <c r="I458" s="33">
        <v>0</v>
      </c>
      <c r="J458" s="33">
        <v>0</v>
      </c>
      <c r="K458" s="33">
        <f t="shared" si="33"/>
        <v>6287.37</v>
      </c>
      <c r="L458" s="33">
        <f t="shared" si="34"/>
        <v>135305.82</v>
      </c>
      <c r="M458" s="33">
        <f t="shared" si="35"/>
        <v>7385720.0200000042</v>
      </c>
      <c r="N458" s="235">
        <f t="shared" si="32"/>
        <v>0</v>
      </c>
      <c r="O458" s="35" t="s">
        <v>3327</v>
      </c>
      <c r="P458" s="35"/>
      <c r="Q458" s="39">
        <f>SUMIF('Antelope Bailey Split BA'!$B$7:$B$29,B458,'Antelope Bailey Split BA'!$C$7:$C$29)</f>
        <v>0</v>
      </c>
      <c r="R458" s="39" t="str">
        <f>IF(AND(Q458=1,'Plant Total by Account'!$J$1=2),"EKWRA","")</f>
        <v/>
      </c>
    </row>
    <row r="459" spans="1:18" x14ac:dyDescent="0.2">
      <c r="A459" s="31" t="s">
        <v>2466</v>
      </c>
      <c r="B459" s="36" t="s">
        <v>582</v>
      </c>
      <c r="C459" s="504" t="s">
        <v>3352</v>
      </c>
      <c r="D459" s="42">
        <v>6560.1500000000005</v>
      </c>
      <c r="E459" s="42">
        <v>20113.72</v>
      </c>
      <c r="F459" s="42">
        <v>785429.80999999994</v>
      </c>
      <c r="G459" s="581">
        <f t="shared" ref="G459:G522" si="36">SUM(D459:F459)</f>
        <v>812103.67999999993</v>
      </c>
      <c r="H459" s="33">
        <v>0</v>
      </c>
      <c r="I459" s="33">
        <v>0</v>
      </c>
      <c r="J459" s="33">
        <v>0</v>
      </c>
      <c r="K459" s="33">
        <f t="shared" si="33"/>
        <v>6560.1500000000005</v>
      </c>
      <c r="L459" s="33">
        <f t="shared" si="34"/>
        <v>20113.72</v>
      </c>
      <c r="M459" s="33">
        <f t="shared" si="35"/>
        <v>785429.80999999994</v>
      </c>
      <c r="N459" s="235">
        <f t="shared" ref="N459:N522" si="37">G459-SUM(H459:M459)</f>
        <v>0</v>
      </c>
      <c r="O459" s="35" t="s">
        <v>3327</v>
      </c>
      <c r="P459" s="35"/>
      <c r="Q459" s="39">
        <f>SUMIF('Antelope Bailey Split BA'!$B$7:$B$29,B459,'Antelope Bailey Split BA'!$C$7:$C$29)</f>
        <v>0</v>
      </c>
      <c r="R459" s="39" t="str">
        <f>IF(AND(Q459=1,'Plant Total by Account'!$J$1=2),"EKWRA","")</f>
        <v/>
      </c>
    </row>
    <row r="460" spans="1:18" x14ac:dyDescent="0.2">
      <c r="A460" s="31" t="s">
        <v>2994</v>
      </c>
      <c r="B460" s="36" t="s">
        <v>583</v>
      </c>
      <c r="C460" s="504" t="s">
        <v>3353</v>
      </c>
      <c r="D460" s="42">
        <v>0</v>
      </c>
      <c r="E460" s="42">
        <v>1489.48</v>
      </c>
      <c r="F460" s="42">
        <v>551260.8600000001</v>
      </c>
      <c r="G460" s="581">
        <f t="shared" si="36"/>
        <v>552750.34000000008</v>
      </c>
      <c r="H460" s="33">
        <v>0</v>
      </c>
      <c r="I460" s="33">
        <v>0</v>
      </c>
      <c r="J460" s="33">
        <v>0</v>
      </c>
      <c r="K460" s="33">
        <f t="shared" si="33"/>
        <v>0</v>
      </c>
      <c r="L460" s="33">
        <f t="shared" si="34"/>
        <v>1489.48</v>
      </c>
      <c r="M460" s="33">
        <f t="shared" si="35"/>
        <v>551260.8600000001</v>
      </c>
      <c r="N460" s="235">
        <f t="shared" si="37"/>
        <v>0</v>
      </c>
      <c r="O460" s="35" t="s">
        <v>3327</v>
      </c>
      <c r="P460" s="35"/>
      <c r="Q460" s="39">
        <f>SUMIF('Antelope Bailey Split BA'!$B$7:$B$29,B460,'Antelope Bailey Split BA'!$C$7:$C$29)</f>
        <v>0</v>
      </c>
      <c r="R460" s="39" t="str">
        <f>IF(AND(Q460=1,'Plant Total by Account'!$J$1=2),"EKWRA","")</f>
        <v/>
      </c>
    </row>
    <row r="461" spans="1:18" x14ac:dyDescent="0.2">
      <c r="A461" s="31" t="s">
        <v>2995</v>
      </c>
      <c r="B461" s="36" t="s">
        <v>584</v>
      </c>
      <c r="C461" s="504" t="s">
        <v>3353</v>
      </c>
      <c r="D461" s="42">
        <v>21323.73</v>
      </c>
      <c r="E461" s="42">
        <v>55217.09</v>
      </c>
      <c r="F461" s="42">
        <v>3595456.8100000015</v>
      </c>
      <c r="G461" s="581">
        <f t="shared" si="36"/>
        <v>3671997.6300000013</v>
      </c>
      <c r="H461" s="33">
        <v>0</v>
      </c>
      <c r="I461" s="33">
        <v>0</v>
      </c>
      <c r="J461" s="33">
        <v>0</v>
      </c>
      <c r="K461" s="33">
        <f t="shared" si="33"/>
        <v>21323.73</v>
      </c>
      <c r="L461" s="33">
        <f t="shared" si="34"/>
        <v>55217.09</v>
      </c>
      <c r="M461" s="33">
        <f t="shared" si="35"/>
        <v>3595456.8100000015</v>
      </c>
      <c r="N461" s="235">
        <f t="shared" si="37"/>
        <v>0</v>
      </c>
      <c r="O461" s="35" t="s">
        <v>3327</v>
      </c>
      <c r="P461" s="35"/>
      <c r="Q461" s="39">
        <f>SUMIF('Antelope Bailey Split BA'!$B$7:$B$29,B461,'Antelope Bailey Split BA'!$C$7:$C$29)</f>
        <v>0</v>
      </c>
      <c r="R461" s="39" t="str">
        <f>IF(AND(Q461=1,'Plant Total by Account'!$J$1=2),"EKWRA","")</f>
        <v/>
      </c>
    </row>
    <row r="462" spans="1:18" x14ac:dyDescent="0.2">
      <c r="A462" s="31" t="s">
        <v>2996</v>
      </c>
      <c r="B462" s="36" t="s">
        <v>585</v>
      </c>
      <c r="C462" s="504" t="s">
        <v>3352</v>
      </c>
      <c r="D462" s="42">
        <v>19321.93</v>
      </c>
      <c r="E462" s="42">
        <v>34036.04</v>
      </c>
      <c r="F462" s="42">
        <v>2106142.0300000003</v>
      </c>
      <c r="G462" s="581">
        <f t="shared" si="36"/>
        <v>2159500.0000000005</v>
      </c>
      <c r="H462" s="33">
        <v>0</v>
      </c>
      <c r="I462" s="33">
        <v>0</v>
      </c>
      <c r="J462" s="33">
        <v>0</v>
      </c>
      <c r="K462" s="33">
        <f t="shared" si="33"/>
        <v>19321.93</v>
      </c>
      <c r="L462" s="33">
        <f t="shared" si="34"/>
        <v>34036.04</v>
      </c>
      <c r="M462" s="33">
        <f t="shared" si="35"/>
        <v>2106142.0300000003</v>
      </c>
      <c r="N462" s="235">
        <f t="shared" si="37"/>
        <v>0</v>
      </c>
      <c r="O462" s="35" t="s">
        <v>3327</v>
      </c>
      <c r="P462" s="35"/>
      <c r="Q462" s="39">
        <f>SUMIF('Antelope Bailey Split BA'!$B$7:$B$29,B462,'Antelope Bailey Split BA'!$C$7:$C$29)</f>
        <v>0</v>
      </c>
      <c r="R462" s="39" t="str">
        <f>IF(AND(Q462=1,'Plant Total by Account'!$J$1=2),"EKWRA","")</f>
        <v/>
      </c>
    </row>
    <row r="463" spans="1:18" x14ac:dyDescent="0.2">
      <c r="A463" s="31" t="s">
        <v>2997</v>
      </c>
      <c r="B463" s="36" t="s">
        <v>586</v>
      </c>
      <c r="C463" s="504" t="s">
        <v>3352</v>
      </c>
      <c r="D463" s="42">
        <v>5953.03</v>
      </c>
      <c r="E463" s="42">
        <v>23765.760000000002</v>
      </c>
      <c r="F463" s="42">
        <v>1949318.2600000002</v>
      </c>
      <c r="G463" s="581">
        <f t="shared" si="36"/>
        <v>1979037.0500000003</v>
      </c>
      <c r="H463" s="33">
        <v>0</v>
      </c>
      <c r="I463" s="33">
        <v>0</v>
      </c>
      <c r="J463" s="33">
        <v>0</v>
      </c>
      <c r="K463" s="33">
        <f t="shared" ref="K463:K526" si="38">D463</f>
        <v>5953.03</v>
      </c>
      <c r="L463" s="33">
        <f t="shared" ref="L463:L526" si="39">E463</f>
        <v>23765.760000000002</v>
      </c>
      <c r="M463" s="33">
        <f t="shared" ref="M463:M526" si="40">F463</f>
        <v>1949318.2600000002</v>
      </c>
      <c r="N463" s="235">
        <f t="shared" si="37"/>
        <v>0</v>
      </c>
      <c r="O463" s="35" t="s">
        <v>3327</v>
      </c>
      <c r="P463" s="35"/>
      <c r="Q463" s="39">
        <f>SUMIF('Antelope Bailey Split BA'!$B$7:$B$29,B463,'Antelope Bailey Split BA'!$C$7:$C$29)</f>
        <v>0</v>
      </c>
      <c r="R463" s="39" t="str">
        <f>IF(AND(Q463=1,'Plant Total by Account'!$J$1=2),"EKWRA","")</f>
        <v/>
      </c>
    </row>
    <row r="464" spans="1:18" x14ac:dyDescent="0.2">
      <c r="A464" s="31" t="s">
        <v>2998</v>
      </c>
      <c r="B464" s="36" t="s">
        <v>587</v>
      </c>
      <c r="C464" s="504" t="s">
        <v>3352</v>
      </c>
      <c r="D464" s="42">
        <v>2156.09</v>
      </c>
      <c r="E464" s="42">
        <v>10236.81</v>
      </c>
      <c r="F464" s="42">
        <v>400317.31000000006</v>
      </c>
      <c r="G464" s="581">
        <f t="shared" si="36"/>
        <v>412710.21000000008</v>
      </c>
      <c r="H464" s="33">
        <v>0</v>
      </c>
      <c r="I464" s="33">
        <v>0</v>
      </c>
      <c r="J464" s="33">
        <v>0</v>
      </c>
      <c r="K464" s="33">
        <f t="shared" si="38"/>
        <v>2156.09</v>
      </c>
      <c r="L464" s="33">
        <f t="shared" si="39"/>
        <v>10236.81</v>
      </c>
      <c r="M464" s="33">
        <f t="shared" si="40"/>
        <v>400317.31000000006</v>
      </c>
      <c r="N464" s="235">
        <f t="shared" si="37"/>
        <v>0</v>
      </c>
      <c r="O464" s="35" t="s">
        <v>3327</v>
      </c>
      <c r="P464" s="35"/>
      <c r="Q464" s="39">
        <f>SUMIF('Antelope Bailey Split BA'!$B$7:$B$29,B464,'Antelope Bailey Split BA'!$C$7:$C$29)</f>
        <v>0</v>
      </c>
      <c r="R464" s="39" t="str">
        <f>IF(AND(Q464=1,'Plant Total by Account'!$J$1=2),"EKWRA","")</f>
        <v/>
      </c>
    </row>
    <row r="465" spans="1:18" x14ac:dyDescent="0.2">
      <c r="A465" s="31" t="s">
        <v>2999</v>
      </c>
      <c r="B465" s="36" t="s">
        <v>588</v>
      </c>
      <c r="C465" s="504" t="s">
        <v>3353</v>
      </c>
      <c r="D465" s="42">
        <v>3267.75</v>
      </c>
      <c r="E465" s="42">
        <v>125478.48000000001</v>
      </c>
      <c r="F465" s="42">
        <v>7307856.6599999983</v>
      </c>
      <c r="G465" s="581">
        <f t="shared" si="36"/>
        <v>7436602.8899999987</v>
      </c>
      <c r="H465" s="33">
        <v>0</v>
      </c>
      <c r="I465" s="33">
        <v>0</v>
      </c>
      <c r="J465" s="33">
        <v>0</v>
      </c>
      <c r="K465" s="33">
        <f t="shared" si="38"/>
        <v>3267.75</v>
      </c>
      <c r="L465" s="33">
        <f t="shared" si="39"/>
        <v>125478.48000000001</v>
      </c>
      <c r="M465" s="33">
        <f t="shared" si="40"/>
        <v>7307856.6599999983</v>
      </c>
      <c r="N465" s="235">
        <f t="shared" si="37"/>
        <v>0</v>
      </c>
      <c r="O465" s="35" t="s">
        <v>3327</v>
      </c>
      <c r="P465" s="35"/>
      <c r="Q465" s="39">
        <f>SUMIF('Antelope Bailey Split BA'!$B$7:$B$29,B465,'Antelope Bailey Split BA'!$C$7:$C$29)</f>
        <v>0</v>
      </c>
      <c r="R465" s="39" t="str">
        <f>IF(AND(Q465=1,'Plant Total by Account'!$J$1=2),"EKWRA","")</f>
        <v/>
      </c>
    </row>
    <row r="466" spans="1:18" x14ac:dyDescent="0.2">
      <c r="A466" s="31" t="s">
        <v>2467</v>
      </c>
      <c r="B466" s="36" t="s">
        <v>589</v>
      </c>
      <c r="C466" s="504" t="s">
        <v>3353</v>
      </c>
      <c r="D466" s="42">
        <v>0</v>
      </c>
      <c r="E466" s="42">
        <v>22181.65</v>
      </c>
      <c r="F466" s="42">
        <v>992020.13</v>
      </c>
      <c r="G466" s="581">
        <f t="shared" si="36"/>
        <v>1014201.78</v>
      </c>
      <c r="H466" s="33">
        <v>0</v>
      </c>
      <c r="I466" s="33">
        <v>0</v>
      </c>
      <c r="J466" s="33">
        <v>0</v>
      </c>
      <c r="K466" s="33">
        <f t="shared" si="38"/>
        <v>0</v>
      </c>
      <c r="L466" s="33">
        <f t="shared" si="39"/>
        <v>22181.65</v>
      </c>
      <c r="M466" s="33">
        <f t="shared" si="40"/>
        <v>992020.13</v>
      </c>
      <c r="N466" s="235">
        <f t="shared" si="37"/>
        <v>0</v>
      </c>
      <c r="O466" s="35" t="s">
        <v>3327</v>
      </c>
      <c r="P466" s="35"/>
      <c r="Q466" s="39">
        <f>SUMIF('Antelope Bailey Split BA'!$B$7:$B$29,B466,'Antelope Bailey Split BA'!$C$7:$C$29)</f>
        <v>0</v>
      </c>
      <c r="R466" s="39" t="str">
        <f>IF(AND(Q466=1,'Plant Total by Account'!$J$1=2),"EKWRA","")</f>
        <v/>
      </c>
    </row>
    <row r="467" spans="1:18" x14ac:dyDescent="0.2">
      <c r="A467" s="31" t="s">
        <v>3000</v>
      </c>
      <c r="B467" s="36" t="s">
        <v>590</v>
      </c>
      <c r="C467" s="504" t="s">
        <v>3352</v>
      </c>
      <c r="D467" s="42">
        <v>8436.5199999999986</v>
      </c>
      <c r="E467" s="42">
        <v>75470.87</v>
      </c>
      <c r="F467" s="42">
        <v>366888.94</v>
      </c>
      <c r="G467" s="581">
        <f t="shared" si="36"/>
        <v>450796.33</v>
      </c>
      <c r="H467" s="33">
        <v>0</v>
      </c>
      <c r="I467" s="33">
        <v>0</v>
      </c>
      <c r="J467" s="33">
        <v>0</v>
      </c>
      <c r="K467" s="33">
        <f t="shared" si="38"/>
        <v>8436.5199999999986</v>
      </c>
      <c r="L467" s="33">
        <f t="shared" si="39"/>
        <v>75470.87</v>
      </c>
      <c r="M467" s="33">
        <f t="shared" si="40"/>
        <v>366888.94</v>
      </c>
      <c r="N467" s="235">
        <f t="shared" si="37"/>
        <v>0</v>
      </c>
      <c r="O467" s="35" t="s">
        <v>3327</v>
      </c>
      <c r="P467" s="35"/>
      <c r="Q467" s="39">
        <f>SUMIF('Antelope Bailey Split BA'!$B$7:$B$29,B467,'Antelope Bailey Split BA'!$C$7:$C$29)</f>
        <v>0</v>
      </c>
      <c r="R467" s="39" t="str">
        <f>IF(AND(Q467=1,'Plant Total by Account'!$J$1=2),"EKWRA","")</f>
        <v/>
      </c>
    </row>
    <row r="468" spans="1:18" x14ac:dyDescent="0.2">
      <c r="A468" s="31" t="s">
        <v>3001</v>
      </c>
      <c r="B468" s="36" t="s">
        <v>591</v>
      </c>
      <c r="C468" s="504" t="s">
        <v>3353</v>
      </c>
      <c r="D468" s="42">
        <v>6864.86</v>
      </c>
      <c r="E468" s="42">
        <v>83468.53</v>
      </c>
      <c r="F468" s="42">
        <v>2996414.3699999987</v>
      </c>
      <c r="G468" s="581">
        <f t="shared" si="36"/>
        <v>3086747.7599999988</v>
      </c>
      <c r="H468" s="33">
        <v>0</v>
      </c>
      <c r="I468" s="33">
        <v>0</v>
      </c>
      <c r="J468" s="33">
        <v>0</v>
      </c>
      <c r="K468" s="33">
        <f t="shared" si="38"/>
        <v>6864.86</v>
      </c>
      <c r="L468" s="33">
        <f t="shared" si="39"/>
        <v>83468.53</v>
      </c>
      <c r="M468" s="33">
        <f t="shared" si="40"/>
        <v>2996414.3699999987</v>
      </c>
      <c r="N468" s="235">
        <f t="shared" si="37"/>
        <v>0</v>
      </c>
      <c r="O468" s="35" t="s">
        <v>3327</v>
      </c>
      <c r="P468" s="35"/>
      <c r="Q468" s="39">
        <f>SUMIF('Antelope Bailey Split BA'!$B$7:$B$29,B468,'Antelope Bailey Split BA'!$C$7:$C$29)</f>
        <v>0</v>
      </c>
      <c r="R468" s="39" t="str">
        <f>IF(AND(Q468=1,'Plant Total by Account'!$J$1=2),"EKWRA","")</f>
        <v/>
      </c>
    </row>
    <row r="469" spans="1:18" x14ac:dyDescent="0.2">
      <c r="A469" s="31" t="s">
        <v>3002</v>
      </c>
      <c r="B469" s="36" t="s">
        <v>592</v>
      </c>
      <c r="C469" s="504" t="s">
        <v>3353</v>
      </c>
      <c r="D469" s="42">
        <v>0</v>
      </c>
      <c r="E469" s="42">
        <v>2897.28</v>
      </c>
      <c r="F469" s="42">
        <v>371262.57</v>
      </c>
      <c r="G469" s="581">
        <f t="shared" si="36"/>
        <v>374159.85000000003</v>
      </c>
      <c r="H469" s="33">
        <v>0</v>
      </c>
      <c r="I469" s="33">
        <v>0</v>
      </c>
      <c r="J469" s="33">
        <v>0</v>
      </c>
      <c r="K469" s="33">
        <f t="shared" si="38"/>
        <v>0</v>
      </c>
      <c r="L469" s="33">
        <f t="shared" si="39"/>
        <v>2897.28</v>
      </c>
      <c r="M469" s="33">
        <f t="shared" si="40"/>
        <v>371262.57</v>
      </c>
      <c r="N469" s="235">
        <f t="shared" si="37"/>
        <v>0</v>
      </c>
      <c r="O469" s="35" t="s">
        <v>3327</v>
      </c>
      <c r="P469" s="35"/>
      <c r="Q469" s="39">
        <f>SUMIF('Antelope Bailey Split BA'!$B$7:$B$29,B469,'Antelope Bailey Split BA'!$C$7:$C$29)</f>
        <v>0</v>
      </c>
      <c r="R469" s="39" t="str">
        <f>IF(AND(Q469=1,'Plant Total by Account'!$J$1=2),"EKWRA","")</f>
        <v/>
      </c>
    </row>
    <row r="470" spans="1:18" x14ac:dyDescent="0.2">
      <c r="A470" s="31" t="s">
        <v>2468</v>
      </c>
      <c r="B470" s="36" t="s">
        <v>593</v>
      </c>
      <c r="C470" s="504" t="s">
        <v>3353</v>
      </c>
      <c r="D470" s="42">
        <v>11898.41</v>
      </c>
      <c r="E470" s="42">
        <v>14597.15</v>
      </c>
      <c r="F470" s="42">
        <v>1278684.1399999999</v>
      </c>
      <c r="G470" s="581">
        <f t="shared" si="36"/>
        <v>1305179.7</v>
      </c>
      <c r="H470" s="33">
        <v>0</v>
      </c>
      <c r="I470" s="33">
        <v>0</v>
      </c>
      <c r="J470" s="33">
        <v>0</v>
      </c>
      <c r="K470" s="33">
        <f t="shared" si="38"/>
        <v>11898.41</v>
      </c>
      <c r="L470" s="33">
        <f t="shared" si="39"/>
        <v>14597.15</v>
      </c>
      <c r="M470" s="33">
        <f t="shared" si="40"/>
        <v>1278684.1399999999</v>
      </c>
      <c r="N470" s="235">
        <f t="shared" si="37"/>
        <v>0</v>
      </c>
      <c r="O470" s="35" t="s">
        <v>3327</v>
      </c>
      <c r="P470" s="35"/>
      <c r="Q470" s="39">
        <f>SUMIF('Antelope Bailey Split BA'!$B$7:$B$29,B470,'Antelope Bailey Split BA'!$C$7:$C$29)</f>
        <v>0</v>
      </c>
      <c r="R470" s="39" t="str">
        <f>IF(AND(Q470=1,'Plant Total by Account'!$J$1=2),"EKWRA","")</f>
        <v/>
      </c>
    </row>
    <row r="471" spans="1:18" x14ac:dyDescent="0.2">
      <c r="A471" s="31" t="s">
        <v>3003</v>
      </c>
      <c r="B471" s="36" t="s">
        <v>594</v>
      </c>
      <c r="C471" s="504" t="s">
        <v>3352</v>
      </c>
      <c r="D471" s="42">
        <v>1590.32</v>
      </c>
      <c r="E471" s="42">
        <v>99695.010000000009</v>
      </c>
      <c r="F471" s="42">
        <v>1134974.1399999999</v>
      </c>
      <c r="G471" s="581">
        <f t="shared" si="36"/>
        <v>1236259.47</v>
      </c>
      <c r="H471" s="33">
        <v>0</v>
      </c>
      <c r="I471" s="33">
        <v>0</v>
      </c>
      <c r="J471" s="33">
        <v>0</v>
      </c>
      <c r="K471" s="33">
        <f t="shared" si="38"/>
        <v>1590.32</v>
      </c>
      <c r="L471" s="33">
        <f t="shared" si="39"/>
        <v>99695.010000000009</v>
      </c>
      <c r="M471" s="33">
        <f t="shared" si="40"/>
        <v>1134974.1399999999</v>
      </c>
      <c r="N471" s="235">
        <f t="shared" si="37"/>
        <v>0</v>
      </c>
      <c r="O471" s="35" t="s">
        <v>3327</v>
      </c>
      <c r="P471" s="35"/>
      <c r="Q471" s="39">
        <f>SUMIF('Antelope Bailey Split BA'!$B$7:$B$29,B471,'Antelope Bailey Split BA'!$C$7:$C$29)</f>
        <v>0</v>
      </c>
      <c r="R471" s="39" t="str">
        <f>IF(AND(Q471=1,'Plant Total by Account'!$J$1=2),"EKWRA","")</f>
        <v/>
      </c>
    </row>
    <row r="472" spans="1:18" x14ac:dyDescent="0.2">
      <c r="A472" s="31" t="s">
        <v>3004</v>
      </c>
      <c r="B472" s="36" t="s">
        <v>595</v>
      </c>
      <c r="C472" s="504" t="s">
        <v>3353</v>
      </c>
      <c r="D472" s="42">
        <v>2631.06</v>
      </c>
      <c r="E472" s="42">
        <v>258128.99000000002</v>
      </c>
      <c r="F472" s="42">
        <v>3865612.2500000005</v>
      </c>
      <c r="G472" s="581">
        <f t="shared" si="36"/>
        <v>4126372.3000000003</v>
      </c>
      <c r="H472" s="33">
        <v>0</v>
      </c>
      <c r="I472" s="33">
        <v>0</v>
      </c>
      <c r="J472" s="33">
        <v>0</v>
      </c>
      <c r="K472" s="33">
        <f t="shared" si="38"/>
        <v>2631.06</v>
      </c>
      <c r="L472" s="33">
        <f t="shared" si="39"/>
        <v>258128.99000000002</v>
      </c>
      <c r="M472" s="33">
        <f t="shared" si="40"/>
        <v>3865612.2500000005</v>
      </c>
      <c r="N472" s="235">
        <f t="shared" si="37"/>
        <v>0</v>
      </c>
      <c r="O472" s="35" t="s">
        <v>3327</v>
      </c>
      <c r="P472" s="35"/>
      <c r="Q472" s="39">
        <f>SUMIF('Antelope Bailey Split BA'!$B$7:$B$29,B472,'Antelope Bailey Split BA'!$C$7:$C$29)</f>
        <v>0</v>
      </c>
      <c r="R472" s="39" t="str">
        <f>IF(AND(Q472=1,'Plant Total by Account'!$J$1=2),"EKWRA","")</f>
        <v/>
      </c>
    </row>
    <row r="473" spans="1:18" x14ac:dyDescent="0.2">
      <c r="A473" s="31" t="s">
        <v>3005</v>
      </c>
      <c r="B473" s="36" t="s">
        <v>596</v>
      </c>
      <c r="C473" s="504" t="s">
        <v>3353</v>
      </c>
      <c r="D473" s="42">
        <v>23175.64</v>
      </c>
      <c r="E473" s="42">
        <v>87296.540000000008</v>
      </c>
      <c r="F473" s="42">
        <v>2947206.4699999983</v>
      </c>
      <c r="G473" s="581">
        <f t="shared" si="36"/>
        <v>3057678.6499999985</v>
      </c>
      <c r="H473" s="33">
        <v>0</v>
      </c>
      <c r="I473" s="33">
        <v>0</v>
      </c>
      <c r="J473" s="33">
        <v>0</v>
      </c>
      <c r="K473" s="33">
        <f t="shared" si="38"/>
        <v>23175.64</v>
      </c>
      <c r="L473" s="33">
        <f t="shared" si="39"/>
        <v>87296.540000000008</v>
      </c>
      <c r="M473" s="33">
        <f t="shared" si="40"/>
        <v>2947206.4699999983</v>
      </c>
      <c r="N473" s="235">
        <f t="shared" si="37"/>
        <v>0</v>
      </c>
      <c r="O473" s="35" t="s">
        <v>3327</v>
      </c>
      <c r="P473" s="35"/>
      <c r="Q473" s="39">
        <f>SUMIF('Antelope Bailey Split BA'!$B$7:$B$29,B473,'Antelope Bailey Split BA'!$C$7:$C$29)</f>
        <v>0</v>
      </c>
      <c r="R473" s="39" t="str">
        <f>IF(AND(Q473=1,'Plant Total by Account'!$J$1=2),"EKWRA","")</f>
        <v/>
      </c>
    </row>
    <row r="474" spans="1:18" x14ac:dyDescent="0.2">
      <c r="A474" s="31" t="s">
        <v>3006</v>
      </c>
      <c r="B474" s="32" t="s">
        <v>597</v>
      </c>
      <c r="C474" s="504" t="s">
        <v>3353</v>
      </c>
      <c r="D474" s="42">
        <v>28695.45</v>
      </c>
      <c r="E474" s="42">
        <v>395324.3</v>
      </c>
      <c r="F474" s="42">
        <v>3856838.4900000012</v>
      </c>
      <c r="G474" s="581">
        <f t="shared" si="36"/>
        <v>4280858.2400000012</v>
      </c>
      <c r="H474" s="33">
        <v>0</v>
      </c>
      <c r="I474" s="33">
        <v>0</v>
      </c>
      <c r="J474" s="33">
        <v>0</v>
      </c>
      <c r="K474" s="33">
        <f t="shared" si="38"/>
        <v>28695.45</v>
      </c>
      <c r="L474" s="33">
        <f t="shared" si="39"/>
        <v>395324.3</v>
      </c>
      <c r="M474" s="33">
        <f t="shared" si="40"/>
        <v>3856838.4900000012</v>
      </c>
      <c r="N474" s="235">
        <f t="shared" si="37"/>
        <v>0</v>
      </c>
      <c r="O474" s="35" t="s">
        <v>3327</v>
      </c>
      <c r="P474" s="35"/>
      <c r="Q474" s="39">
        <f>SUMIF('Antelope Bailey Split BA'!$B$7:$B$29,B474,'Antelope Bailey Split BA'!$C$7:$C$29)</f>
        <v>0</v>
      </c>
      <c r="R474" s="39" t="str">
        <f>IF(AND(Q474=1,'Plant Total by Account'!$J$1=2),"EKWRA","")</f>
        <v/>
      </c>
    </row>
    <row r="475" spans="1:18" x14ac:dyDescent="0.2">
      <c r="A475" s="31" t="s">
        <v>3007</v>
      </c>
      <c r="B475" s="36" t="s">
        <v>598</v>
      </c>
      <c r="C475" s="504" t="s">
        <v>3353</v>
      </c>
      <c r="D475" s="42">
        <v>882.21</v>
      </c>
      <c r="E475" s="42">
        <v>0</v>
      </c>
      <c r="F475" s="42">
        <v>0</v>
      </c>
      <c r="G475" s="581">
        <f t="shared" si="36"/>
        <v>882.21</v>
      </c>
      <c r="H475" s="33">
        <v>0</v>
      </c>
      <c r="I475" s="33">
        <v>0</v>
      </c>
      <c r="J475" s="33">
        <v>0</v>
      </c>
      <c r="K475" s="33">
        <f t="shared" si="38"/>
        <v>882.21</v>
      </c>
      <c r="L475" s="33">
        <f t="shared" si="39"/>
        <v>0</v>
      </c>
      <c r="M475" s="33">
        <f t="shared" si="40"/>
        <v>0</v>
      </c>
      <c r="N475" s="235">
        <f t="shared" si="37"/>
        <v>0</v>
      </c>
      <c r="O475" s="35" t="s">
        <v>3327</v>
      </c>
      <c r="P475" s="35"/>
      <c r="Q475" s="39">
        <f>SUMIF('Antelope Bailey Split BA'!$B$7:$B$29,B475,'Antelope Bailey Split BA'!$C$7:$C$29)</f>
        <v>0</v>
      </c>
      <c r="R475" s="39" t="str">
        <f>IF(AND(Q475=1,'Plant Total by Account'!$J$1=2),"EKWRA","")</f>
        <v/>
      </c>
    </row>
    <row r="476" spans="1:18" x14ac:dyDescent="0.2">
      <c r="A476" s="31" t="s">
        <v>3008</v>
      </c>
      <c r="B476" s="36" t="s">
        <v>599</v>
      </c>
      <c r="C476" s="504" t="s">
        <v>3353</v>
      </c>
      <c r="D476" s="42">
        <v>410.43</v>
      </c>
      <c r="E476" s="42">
        <v>16221.01</v>
      </c>
      <c r="F476" s="42">
        <v>1055579.51</v>
      </c>
      <c r="G476" s="581">
        <f t="shared" si="36"/>
        <v>1072210.95</v>
      </c>
      <c r="H476" s="33">
        <v>0</v>
      </c>
      <c r="I476" s="33">
        <v>0</v>
      </c>
      <c r="J476" s="33">
        <v>0</v>
      </c>
      <c r="K476" s="33">
        <f t="shared" si="38"/>
        <v>410.43</v>
      </c>
      <c r="L476" s="33">
        <f t="shared" si="39"/>
        <v>16221.01</v>
      </c>
      <c r="M476" s="33">
        <f t="shared" si="40"/>
        <v>1055579.51</v>
      </c>
      <c r="N476" s="235">
        <f t="shared" si="37"/>
        <v>0</v>
      </c>
      <c r="O476" s="35" t="s">
        <v>3327</v>
      </c>
      <c r="P476" s="35"/>
      <c r="Q476" s="39">
        <f>SUMIF('Antelope Bailey Split BA'!$B$7:$B$29,B476,'Antelope Bailey Split BA'!$C$7:$C$29)</f>
        <v>0</v>
      </c>
      <c r="R476" s="39" t="str">
        <f>IF(AND(Q476=1,'Plant Total by Account'!$J$1=2),"EKWRA","")</f>
        <v/>
      </c>
    </row>
    <row r="477" spans="1:18" x14ac:dyDescent="0.2">
      <c r="A477" s="31" t="s">
        <v>3009</v>
      </c>
      <c r="B477" s="36" t="s">
        <v>600</v>
      </c>
      <c r="C477" s="504" t="s">
        <v>3353</v>
      </c>
      <c r="D477" s="42">
        <v>9307.15</v>
      </c>
      <c r="E477" s="42">
        <v>236361.06</v>
      </c>
      <c r="F477" s="42">
        <v>6058394.820000005</v>
      </c>
      <c r="G477" s="581">
        <f t="shared" si="36"/>
        <v>6304063.0300000049</v>
      </c>
      <c r="H477" s="33">
        <v>0</v>
      </c>
      <c r="I477" s="33">
        <v>0</v>
      </c>
      <c r="J477" s="33">
        <v>0</v>
      </c>
      <c r="K477" s="33">
        <f t="shared" si="38"/>
        <v>9307.15</v>
      </c>
      <c r="L477" s="33">
        <f t="shared" si="39"/>
        <v>236361.06</v>
      </c>
      <c r="M477" s="33">
        <f t="shared" si="40"/>
        <v>6058394.820000005</v>
      </c>
      <c r="N477" s="235">
        <f t="shared" si="37"/>
        <v>0</v>
      </c>
      <c r="O477" s="35" t="s">
        <v>3327</v>
      </c>
      <c r="P477" s="35"/>
      <c r="Q477" s="39">
        <f>SUMIF('Antelope Bailey Split BA'!$B$7:$B$29,B477,'Antelope Bailey Split BA'!$C$7:$C$29)</f>
        <v>0</v>
      </c>
      <c r="R477" s="39" t="str">
        <f>IF(AND(Q477=1,'Plant Total by Account'!$J$1=2),"EKWRA","")</f>
        <v/>
      </c>
    </row>
    <row r="478" spans="1:18" x14ac:dyDescent="0.2">
      <c r="A478" s="31" t="s">
        <v>3010</v>
      </c>
      <c r="B478" s="36" t="s">
        <v>601</v>
      </c>
      <c r="C478" s="504" t="s">
        <v>3352</v>
      </c>
      <c r="D478" s="42">
        <v>12064.630000000001</v>
      </c>
      <c r="E478" s="42">
        <v>29976.710000000003</v>
      </c>
      <c r="F478" s="42">
        <v>1375701.87</v>
      </c>
      <c r="G478" s="581">
        <f t="shared" si="36"/>
        <v>1417743.2100000002</v>
      </c>
      <c r="H478" s="33">
        <v>0</v>
      </c>
      <c r="I478" s="33">
        <v>0</v>
      </c>
      <c r="J478" s="33">
        <v>0</v>
      </c>
      <c r="K478" s="33">
        <f t="shared" si="38"/>
        <v>12064.630000000001</v>
      </c>
      <c r="L478" s="33">
        <f t="shared" si="39"/>
        <v>29976.710000000003</v>
      </c>
      <c r="M478" s="33">
        <f t="shared" si="40"/>
        <v>1375701.87</v>
      </c>
      <c r="N478" s="235">
        <f t="shared" si="37"/>
        <v>0</v>
      </c>
      <c r="O478" s="35" t="s">
        <v>3327</v>
      </c>
      <c r="P478" s="35"/>
      <c r="Q478" s="39">
        <f>SUMIF('Antelope Bailey Split BA'!$B$7:$B$29,B478,'Antelope Bailey Split BA'!$C$7:$C$29)</f>
        <v>0</v>
      </c>
      <c r="R478" s="39" t="str">
        <f>IF(AND(Q478=1,'Plant Total by Account'!$J$1=2),"EKWRA","")</f>
        <v/>
      </c>
    </row>
    <row r="479" spans="1:18" x14ac:dyDescent="0.2">
      <c r="A479" s="31" t="s">
        <v>3011</v>
      </c>
      <c r="B479" s="36" t="s">
        <v>133</v>
      </c>
      <c r="C479" s="504" t="s">
        <v>3353</v>
      </c>
      <c r="D479" s="42">
        <v>0</v>
      </c>
      <c r="E479" s="42">
        <v>0</v>
      </c>
      <c r="F479" s="42">
        <v>40349.85</v>
      </c>
      <c r="G479" s="581">
        <f t="shared" si="36"/>
        <v>40349.85</v>
      </c>
      <c r="H479" s="33">
        <v>0</v>
      </c>
      <c r="I479" s="33">
        <v>0</v>
      </c>
      <c r="J479" s="33">
        <v>0</v>
      </c>
      <c r="K479" s="33">
        <f t="shared" si="38"/>
        <v>0</v>
      </c>
      <c r="L479" s="33">
        <f t="shared" si="39"/>
        <v>0</v>
      </c>
      <c r="M479" s="33">
        <f t="shared" si="40"/>
        <v>40349.85</v>
      </c>
      <c r="N479" s="235">
        <f t="shared" si="37"/>
        <v>0</v>
      </c>
      <c r="O479" s="35" t="s">
        <v>3327</v>
      </c>
      <c r="P479" s="35"/>
      <c r="Q479" s="39">
        <f>SUMIF('Antelope Bailey Split BA'!$B$7:$B$29,B479,'Antelope Bailey Split BA'!$C$7:$C$29)</f>
        <v>0</v>
      </c>
      <c r="R479" s="39" t="str">
        <f>IF(AND(Q479=1,'Plant Total by Account'!$J$1=2),"EKWRA","")</f>
        <v/>
      </c>
    </row>
    <row r="480" spans="1:18" x14ac:dyDescent="0.2">
      <c r="A480" s="31" t="s">
        <v>3012</v>
      </c>
      <c r="B480" s="32" t="s">
        <v>602</v>
      </c>
      <c r="C480" s="504" t="s">
        <v>3353</v>
      </c>
      <c r="D480" s="42">
        <v>795975.01</v>
      </c>
      <c r="E480" s="42">
        <v>527901.08000000007</v>
      </c>
      <c r="F480" s="42">
        <v>7971237.1100000143</v>
      </c>
      <c r="G480" s="581">
        <f t="shared" si="36"/>
        <v>9295113.2000000142</v>
      </c>
      <c r="H480" s="33">
        <v>0</v>
      </c>
      <c r="I480" s="33">
        <v>0</v>
      </c>
      <c r="J480" s="33">
        <v>0</v>
      </c>
      <c r="K480" s="33">
        <f t="shared" si="38"/>
        <v>795975.01</v>
      </c>
      <c r="L480" s="33">
        <f t="shared" si="39"/>
        <v>527901.08000000007</v>
      </c>
      <c r="M480" s="33">
        <f t="shared" si="40"/>
        <v>7971237.1100000143</v>
      </c>
      <c r="N480" s="235">
        <f t="shared" si="37"/>
        <v>0</v>
      </c>
      <c r="O480" s="35" t="s">
        <v>3327</v>
      </c>
      <c r="P480" s="35"/>
      <c r="Q480" s="39">
        <f>SUMIF('Antelope Bailey Split BA'!$B$7:$B$29,B480,'Antelope Bailey Split BA'!$C$7:$C$29)</f>
        <v>0</v>
      </c>
      <c r="R480" s="39" t="str">
        <f>IF(AND(Q480=1,'Plant Total by Account'!$J$1=2),"EKWRA","")</f>
        <v/>
      </c>
    </row>
    <row r="481" spans="1:18" x14ac:dyDescent="0.2">
      <c r="A481" s="31" t="s">
        <v>2469</v>
      </c>
      <c r="B481" s="36" t="s">
        <v>603</v>
      </c>
      <c r="C481" s="504" t="s">
        <v>3353</v>
      </c>
      <c r="D481" s="42">
        <v>0</v>
      </c>
      <c r="E481" s="42">
        <v>406515.67000000004</v>
      </c>
      <c r="F481" s="42">
        <v>4363898.4700000016</v>
      </c>
      <c r="G481" s="581">
        <f t="shared" si="36"/>
        <v>4770414.1400000015</v>
      </c>
      <c r="H481" s="33">
        <v>0</v>
      </c>
      <c r="I481" s="33">
        <v>0</v>
      </c>
      <c r="J481" s="33">
        <v>0</v>
      </c>
      <c r="K481" s="33">
        <f t="shared" si="38"/>
        <v>0</v>
      </c>
      <c r="L481" s="33">
        <f t="shared" si="39"/>
        <v>406515.67000000004</v>
      </c>
      <c r="M481" s="33">
        <f t="shared" si="40"/>
        <v>4363898.4700000016</v>
      </c>
      <c r="N481" s="235">
        <f t="shared" si="37"/>
        <v>0</v>
      </c>
      <c r="O481" s="35" t="s">
        <v>3327</v>
      </c>
      <c r="P481" s="35"/>
      <c r="Q481" s="39">
        <f>SUMIF('Antelope Bailey Split BA'!$B$7:$B$29,B481,'Antelope Bailey Split BA'!$C$7:$C$29)</f>
        <v>0</v>
      </c>
      <c r="R481" s="39" t="str">
        <f>IF(AND(Q481=1,'Plant Total by Account'!$J$1=2),"EKWRA","")</f>
        <v/>
      </c>
    </row>
    <row r="482" spans="1:18" x14ac:dyDescent="0.2">
      <c r="A482" s="31" t="s">
        <v>3013</v>
      </c>
      <c r="B482" s="36" t="s">
        <v>604</v>
      </c>
      <c r="C482" s="504" t="s">
        <v>3353</v>
      </c>
      <c r="D482" s="42">
        <v>2141.52</v>
      </c>
      <c r="E482" s="42">
        <v>7329.18</v>
      </c>
      <c r="F482" s="42">
        <v>297158.13</v>
      </c>
      <c r="G482" s="581">
        <f t="shared" si="36"/>
        <v>306628.83</v>
      </c>
      <c r="H482" s="33">
        <v>0</v>
      </c>
      <c r="I482" s="33">
        <v>0</v>
      </c>
      <c r="J482" s="33">
        <v>0</v>
      </c>
      <c r="K482" s="33">
        <f t="shared" si="38"/>
        <v>2141.52</v>
      </c>
      <c r="L482" s="33">
        <f t="shared" si="39"/>
        <v>7329.18</v>
      </c>
      <c r="M482" s="33">
        <f t="shared" si="40"/>
        <v>297158.13</v>
      </c>
      <c r="N482" s="235">
        <f t="shared" si="37"/>
        <v>0</v>
      </c>
      <c r="O482" s="35" t="s">
        <v>3327</v>
      </c>
      <c r="P482" s="35"/>
      <c r="Q482" s="39">
        <f>SUMIF('Antelope Bailey Split BA'!$B$7:$B$29,B482,'Antelope Bailey Split BA'!$C$7:$C$29)</f>
        <v>0</v>
      </c>
      <c r="R482" s="39" t="str">
        <f>IF(AND(Q482=1,'Plant Total by Account'!$J$1=2),"EKWRA","")</f>
        <v/>
      </c>
    </row>
    <row r="483" spans="1:18" x14ac:dyDescent="0.2">
      <c r="A483" s="31" t="s">
        <v>3014</v>
      </c>
      <c r="B483" s="36" t="s">
        <v>605</v>
      </c>
      <c r="C483" s="504" t="s">
        <v>3353</v>
      </c>
      <c r="D483" s="42">
        <v>19820.61</v>
      </c>
      <c r="E483" s="42">
        <v>170603.62</v>
      </c>
      <c r="F483" s="42">
        <v>4751690.870000001</v>
      </c>
      <c r="G483" s="581">
        <f t="shared" si="36"/>
        <v>4942115.1000000015</v>
      </c>
      <c r="H483" s="33">
        <v>0</v>
      </c>
      <c r="I483" s="33">
        <v>0</v>
      </c>
      <c r="J483" s="33">
        <v>0</v>
      </c>
      <c r="K483" s="33">
        <f t="shared" si="38"/>
        <v>19820.61</v>
      </c>
      <c r="L483" s="33">
        <f t="shared" si="39"/>
        <v>170603.62</v>
      </c>
      <c r="M483" s="33">
        <f t="shared" si="40"/>
        <v>4751690.870000001</v>
      </c>
      <c r="N483" s="235">
        <f t="shared" si="37"/>
        <v>0</v>
      </c>
      <c r="O483" s="35" t="s">
        <v>3327</v>
      </c>
      <c r="P483" s="35"/>
      <c r="Q483" s="39">
        <f>SUMIF('Antelope Bailey Split BA'!$B$7:$B$29,B483,'Antelope Bailey Split BA'!$C$7:$C$29)</f>
        <v>0</v>
      </c>
      <c r="R483" s="39" t="str">
        <f>IF(AND(Q483=1,'Plant Total by Account'!$J$1=2),"EKWRA","")</f>
        <v/>
      </c>
    </row>
    <row r="484" spans="1:18" x14ac:dyDescent="0.2">
      <c r="A484" s="31" t="s">
        <v>3015</v>
      </c>
      <c r="B484" s="36" t="s">
        <v>606</v>
      </c>
      <c r="C484" s="504" t="s">
        <v>3353</v>
      </c>
      <c r="D484" s="42">
        <v>850.47</v>
      </c>
      <c r="E484" s="42">
        <v>3351.4500000000003</v>
      </c>
      <c r="F484" s="42">
        <v>140139.62000000002</v>
      </c>
      <c r="G484" s="581">
        <f t="shared" si="36"/>
        <v>144341.54000000004</v>
      </c>
      <c r="H484" s="33">
        <v>0</v>
      </c>
      <c r="I484" s="33">
        <v>0</v>
      </c>
      <c r="J484" s="33">
        <v>0</v>
      </c>
      <c r="K484" s="33">
        <f t="shared" si="38"/>
        <v>850.47</v>
      </c>
      <c r="L484" s="33">
        <f t="shared" si="39"/>
        <v>3351.4500000000003</v>
      </c>
      <c r="M484" s="33">
        <f t="shared" si="40"/>
        <v>140139.62000000002</v>
      </c>
      <c r="N484" s="235">
        <f t="shared" si="37"/>
        <v>0</v>
      </c>
      <c r="O484" s="35" t="s">
        <v>3327</v>
      </c>
      <c r="P484" s="35"/>
      <c r="Q484" s="39">
        <f>SUMIF('Antelope Bailey Split BA'!$B$7:$B$29,B484,'Antelope Bailey Split BA'!$C$7:$C$29)</f>
        <v>0</v>
      </c>
      <c r="R484" s="39" t="str">
        <f>IF(AND(Q484=1,'Plant Total by Account'!$J$1=2),"EKWRA","")</f>
        <v/>
      </c>
    </row>
    <row r="485" spans="1:18" x14ac:dyDescent="0.2">
      <c r="A485" s="31" t="s">
        <v>3016</v>
      </c>
      <c r="B485" s="36" t="s">
        <v>607</v>
      </c>
      <c r="C485" s="504" t="s">
        <v>3353</v>
      </c>
      <c r="D485" s="42">
        <v>14077.6</v>
      </c>
      <c r="E485" s="42">
        <v>205888.53999999998</v>
      </c>
      <c r="F485" s="42">
        <v>3325904.3999999985</v>
      </c>
      <c r="G485" s="581">
        <f t="shared" si="36"/>
        <v>3545870.5399999986</v>
      </c>
      <c r="H485" s="33">
        <v>0</v>
      </c>
      <c r="I485" s="33">
        <v>0</v>
      </c>
      <c r="J485" s="33">
        <v>0</v>
      </c>
      <c r="K485" s="33">
        <f t="shared" si="38"/>
        <v>14077.6</v>
      </c>
      <c r="L485" s="33">
        <f t="shared" si="39"/>
        <v>205888.53999999998</v>
      </c>
      <c r="M485" s="33">
        <f t="shared" si="40"/>
        <v>3325904.3999999985</v>
      </c>
      <c r="N485" s="235">
        <f t="shared" si="37"/>
        <v>0</v>
      </c>
      <c r="O485" s="35" t="s">
        <v>3327</v>
      </c>
      <c r="P485" s="35"/>
      <c r="Q485" s="39">
        <f>SUMIF('Antelope Bailey Split BA'!$B$7:$B$29,B485,'Antelope Bailey Split BA'!$C$7:$C$29)</f>
        <v>0</v>
      </c>
      <c r="R485" s="39" t="str">
        <f>IF(AND(Q485=1,'Plant Total by Account'!$J$1=2),"EKWRA","")</f>
        <v/>
      </c>
    </row>
    <row r="486" spans="1:18" x14ac:dyDescent="0.2">
      <c r="A486" s="31" t="s">
        <v>3017</v>
      </c>
      <c r="B486" s="36" t="s">
        <v>608</v>
      </c>
      <c r="C486" s="504" t="s">
        <v>3353</v>
      </c>
      <c r="D486" s="42">
        <v>8031.7300000000005</v>
      </c>
      <c r="E486" s="42">
        <v>237520.72</v>
      </c>
      <c r="F486" s="42">
        <v>9257407.7400000077</v>
      </c>
      <c r="G486" s="581">
        <f t="shared" si="36"/>
        <v>9502960.1900000069</v>
      </c>
      <c r="H486" s="33">
        <v>0</v>
      </c>
      <c r="I486" s="33">
        <v>0</v>
      </c>
      <c r="J486" s="33">
        <v>0</v>
      </c>
      <c r="K486" s="33">
        <f t="shared" si="38"/>
        <v>8031.7300000000005</v>
      </c>
      <c r="L486" s="33">
        <f t="shared" si="39"/>
        <v>237520.72</v>
      </c>
      <c r="M486" s="33">
        <f t="shared" si="40"/>
        <v>9257407.7400000077</v>
      </c>
      <c r="N486" s="235">
        <f t="shared" si="37"/>
        <v>0</v>
      </c>
      <c r="O486" s="35" t="s">
        <v>3327</v>
      </c>
      <c r="P486" s="35"/>
      <c r="Q486" s="39">
        <f>SUMIF('Antelope Bailey Split BA'!$B$7:$B$29,B486,'Antelope Bailey Split BA'!$C$7:$C$29)</f>
        <v>0</v>
      </c>
      <c r="R486" s="39" t="str">
        <f>IF(AND(Q486=1,'Plant Total by Account'!$J$1=2),"EKWRA","")</f>
        <v/>
      </c>
    </row>
    <row r="487" spans="1:18" x14ac:dyDescent="0.2">
      <c r="A487" s="31" t="s">
        <v>3018</v>
      </c>
      <c r="B487" s="36" t="s">
        <v>609</v>
      </c>
      <c r="C487" s="504" t="s">
        <v>3353</v>
      </c>
      <c r="D487" s="42">
        <v>14261.56</v>
      </c>
      <c r="E487" s="42">
        <v>137255.84</v>
      </c>
      <c r="F487" s="42">
        <v>1465907.74</v>
      </c>
      <c r="G487" s="581">
        <f t="shared" si="36"/>
        <v>1617425.14</v>
      </c>
      <c r="H487" s="33">
        <v>0</v>
      </c>
      <c r="I487" s="33">
        <v>0</v>
      </c>
      <c r="J487" s="33">
        <v>0</v>
      </c>
      <c r="K487" s="33">
        <f t="shared" si="38"/>
        <v>14261.56</v>
      </c>
      <c r="L487" s="33">
        <f t="shared" si="39"/>
        <v>137255.84</v>
      </c>
      <c r="M487" s="33">
        <f t="shared" si="40"/>
        <v>1465907.74</v>
      </c>
      <c r="N487" s="235">
        <f t="shared" si="37"/>
        <v>0</v>
      </c>
      <c r="O487" s="35" t="s">
        <v>3327</v>
      </c>
      <c r="P487" s="35"/>
      <c r="Q487" s="39">
        <f>SUMIF('Antelope Bailey Split BA'!$B$7:$B$29,B487,'Antelope Bailey Split BA'!$C$7:$C$29)</f>
        <v>0</v>
      </c>
      <c r="R487" s="39" t="str">
        <f>IF(AND(Q487=1,'Plant Total by Account'!$J$1=2),"EKWRA","")</f>
        <v/>
      </c>
    </row>
    <row r="488" spans="1:18" x14ac:dyDescent="0.2">
      <c r="A488" s="31" t="s">
        <v>3019</v>
      </c>
      <c r="B488" s="36" t="s">
        <v>610</v>
      </c>
      <c r="C488" s="504" t="s">
        <v>3353</v>
      </c>
      <c r="D488" s="42">
        <v>13341.36</v>
      </c>
      <c r="E488" s="42">
        <v>266107.03999999998</v>
      </c>
      <c r="F488" s="42">
        <v>5747880.070000005</v>
      </c>
      <c r="G488" s="581">
        <f t="shared" si="36"/>
        <v>6027328.4700000053</v>
      </c>
      <c r="H488" s="33">
        <v>0</v>
      </c>
      <c r="I488" s="33">
        <v>0</v>
      </c>
      <c r="J488" s="33">
        <v>0</v>
      </c>
      <c r="K488" s="33">
        <f t="shared" si="38"/>
        <v>13341.36</v>
      </c>
      <c r="L488" s="33">
        <f t="shared" si="39"/>
        <v>266107.03999999998</v>
      </c>
      <c r="M488" s="33">
        <f t="shared" si="40"/>
        <v>5747880.070000005</v>
      </c>
      <c r="N488" s="235">
        <f t="shared" si="37"/>
        <v>0</v>
      </c>
      <c r="O488" s="35" t="s">
        <v>3327</v>
      </c>
      <c r="P488" s="35"/>
      <c r="Q488" s="39">
        <f>SUMIF('Antelope Bailey Split BA'!$B$7:$B$29,B488,'Antelope Bailey Split BA'!$C$7:$C$29)</f>
        <v>0</v>
      </c>
      <c r="R488" s="39" t="str">
        <f>IF(AND(Q488=1,'Plant Total by Account'!$J$1=2),"EKWRA","")</f>
        <v/>
      </c>
    </row>
    <row r="489" spans="1:18" x14ac:dyDescent="0.2">
      <c r="A489" s="31" t="s">
        <v>3020</v>
      </c>
      <c r="B489" s="36" t="s">
        <v>611</v>
      </c>
      <c r="C489" s="504" t="s">
        <v>3353</v>
      </c>
      <c r="D489" s="42">
        <v>4699.96</v>
      </c>
      <c r="E489" s="42">
        <v>14534.53</v>
      </c>
      <c r="F489" s="42">
        <v>1516314.63</v>
      </c>
      <c r="G489" s="581">
        <f t="shared" si="36"/>
        <v>1535549.1199999999</v>
      </c>
      <c r="H489" s="33">
        <v>0</v>
      </c>
      <c r="I489" s="33">
        <v>0</v>
      </c>
      <c r="J489" s="33">
        <v>0</v>
      </c>
      <c r="K489" s="33">
        <f t="shared" si="38"/>
        <v>4699.96</v>
      </c>
      <c r="L489" s="33">
        <f t="shared" si="39"/>
        <v>14534.53</v>
      </c>
      <c r="M489" s="33">
        <f t="shared" si="40"/>
        <v>1516314.63</v>
      </c>
      <c r="N489" s="235">
        <f t="shared" si="37"/>
        <v>0</v>
      </c>
      <c r="O489" s="35" t="s">
        <v>3327</v>
      </c>
      <c r="P489" s="35"/>
      <c r="Q489" s="39">
        <f>SUMIF('Antelope Bailey Split BA'!$B$7:$B$29,B489,'Antelope Bailey Split BA'!$C$7:$C$29)</f>
        <v>0</v>
      </c>
      <c r="R489" s="39" t="str">
        <f>IF(AND(Q489=1,'Plant Total by Account'!$J$1=2),"EKWRA","")</f>
        <v/>
      </c>
    </row>
    <row r="490" spans="1:18" x14ac:dyDescent="0.2">
      <c r="A490" s="31" t="s">
        <v>3021</v>
      </c>
      <c r="B490" s="36" t="s">
        <v>612</v>
      </c>
      <c r="C490" s="504" t="s">
        <v>3353</v>
      </c>
      <c r="D490" s="42">
        <v>0</v>
      </c>
      <c r="E490" s="42">
        <v>534447.49</v>
      </c>
      <c r="F490" s="42">
        <v>8425205.3900000025</v>
      </c>
      <c r="G490" s="581">
        <f t="shared" si="36"/>
        <v>8959652.8800000027</v>
      </c>
      <c r="H490" s="33">
        <v>0</v>
      </c>
      <c r="I490" s="33">
        <v>0</v>
      </c>
      <c r="J490" s="33">
        <v>0</v>
      </c>
      <c r="K490" s="33">
        <f t="shared" si="38"/>
        <v>0</v>
      </c>
      <c r="L490" s="33">
        <f t="shared" si="39"/>
        <v>534447.49</v>
      </c>
      <c r="M490" s="33">
        <f t="shared" si="40"/>
        <v>8425205.3900000025</v>
      </c>
      <c r="N490" s="235">
        <f t="shared" si="37"/>
        <v>0</v>
      </c>
      <c r="O490" s="35" t="s">
        <v>3327</v>
      </c>
      <c r="P490" s="35"/>
      <c r="Q490" s="39">
        <f>SUMIF('Antelope Bailey Split BA'!$B$7:$B$29,B490,'Antelope Bailey Split BA'!$C$7:$C$29)</f>
        <v>0</v>
      </c>
      <c r="R490" s="39" t="str">
        <f>IF(AND(Q490=1,'Plant Total by Account'!$J$1=2),"EKWRA","")</f>
        <v/>
      </c>
    </row>
    <row r="491" spans="1:18" x14ac:dyDescent="0.2">
      <c r="A491" s="31" t="s">
        <v>3022</v>
      </c>
      <c r="B491" s="36" t="s">
        <v>613</v>
      </c>
      <c r="C491" s="504" t="s">
        <v>3353</v>
      </c>
      <c r="D491" s="42">
        <v>505887.21</v>
      </c>
      <c r="E491" s="42">
        <v>271702.97000000003</v>
      </c>
      <c r="F491" s="42">
        <v>4529872.740000003</v>
      </c>
      <c r="G491" s="581">
        <f t="shared" si="36"/>
        <v>5307462.9200000027</v>
      </c>
      <c r="H491" s="33">
        <v>0</v>
      </c>
      <c r="I491" s="33">
        <v>0</v>
      </c>
      <c r="J491" s="33">
        <v>0</v>
      </c>
      <c r="K491" s="33">
        <f t="shared" si="38"/>
        <v>505887.21</v>
      </c>
      <c r="L491" s="33">
        <f t="shared" si="39"/>
        <v>271702.97000000003</v>
      </c>
      <c r="M491" s="33">
        <f t="shared" si="40"/>
        <v>4529872.740000003</v>
      </c>
      <c r="N491" s="235">
        <f t="shared" si="37"/>
        <v>0</v>
      </c>
      <c r="O491" s="35" t="s">
        <v>3327</v>
      </c>
      <c r="P491" s="35"/>
      <c r="Q491" s="39">
        <f>SUMIF('Antelope Bailey Split BA'!$B$7:$B$29,B491,'Antelope Bailey Split BA'!$C$7:$C$29)</f>
        <v>0</v>
      </c>
      <c r="R491" s="39" t="str">
        <f>IF(AND(Q491=1,'Plant Total by Account'!$J$1=2),"EKWRA","")</f>
        <v/>
      </c>
    </row>
    <row r="492" spans="1:18" x14ac:dyDescent="0.2">
      <c r="A492" s="31" t="s">
        <v>3023</v>
      </c>
      <c r="B492" s="36" t="s">
        <v>614</v>
      </c>
      <c r="C492" s="504" t="s">
        <v>3353</v>
      </c>
      <c r="D492" s="42">
        <v>0</v>
      </c>
      <c r="E492" s="42">
        <v>6899</v>
      </c>
      <c r="F492" s="42">
        <v>10500.24</v>
      </c>
      <c r="G492" s="581">
        <f t="shared" si="36"/>
        <v>17399.239999999998</v>
      </c>
      <c r="H492" s="33">
        <v>0</v>
      </c>
      <c r="I492" s="33">
        <v>0</v>
      </c>
      <c r="J492" s="33">
        <v>0</v>
      </c>
      <c r="K492" s="33">
        <f t="shared" si="38"/>
        <v>0</v>
      </c>
      <c r="L492" s="33">
        <f t="shared" si="39"/>
        <v>6899</v>
      </c>
      <c r="M492" s="33">
        <f t="shared" si="40"/>
        <v>10500.24</v>
      </c>
      <c r="N492" s="235">
        <f t="shared" si="37"/>
        <v>0</v>
      </c>
      <c r="O492" s="35" t="s">
        <v>3327</v>
      </c>
      <c r="P492" s="35"/>
      <c r="Q492" s="39">
        <f>SUMIF('Antelope Bailey Split BA'!$B$7:$B$29,B492,'Antelope Bailey Split BA'!$C$7:$C$29)</f>
        <v>0</v>
      </c>
      <c r="R492" s="39" t="str">
        <f>IF(AND(Q492=1,'Plant Total by Account'!$J$1=2),"EKWRA","")</f>
        <v/>
      </c>
    </row>
    <row r="493" spans="1:18" x14ac:dyDescent="0.2">
      <c r="A493" s="31" t="s">
        <v>3024</v>
      </c>
      <c r="B493" s="36" t="s">
        <v>615</v>
      </c>
      <c r="C493" s="504" t="s">
        <v>3353</v>
      </c>
      <c r="D493" s="42">
        <v>0</v>
      </c>
      <c r="E493" s="42">
        <v>0</v>
      </c>
      <c r="F493" s="42">
        <v>12137.36</v>
      </c>
      <c r="G493" s="581">
        <f t="shared" si="36"/>
        <v>12137.36</v>
      </c>
      <c r="H493" s="33">
        <v>0</v>
      </c>
      <c r="I493" s="33">
        <v>0</v>
      </c>
      <c r="J493" s="33">
        <v>0</v>
      </c>
      <c r="K493" s="33">
        <f t="shared" si="38"/>
        <v>0</v>
      </c>
      <c r="L493" s="33">
        <f t="shared" si="39"/>
        <v>0</v>
      </c>
      <c r="M493" s="33">
        <f t="shared" si="40"/>
        <v>12137.36</v>
      </c>
      <c r="N493" s="235">
        <f t="shared" si="37"/>
        <v>0</v>
      </c>
      <c r="O493" s="35" t="s">
        <v>3327</v>
      </c>
      <c r="P493" s="35"/>
      <c r="Q493" s="39">
        <f>SUMIF('Antelope Bailey Split BA'!$B$7:$B$29,B493,'Antelope Bailey Split BA'!$C$7:$C$29)</f>
        <v>0</v>
      </c>
      <c r="R493" s="39" t="str">
        <f>IF(AND(Q493=1,'Plant Total by Account'!$J$1=2),"EKWRA","")</f>
        <v/>
      </c>
    </row>
    <row r="494" spans="1:18" x14ac:dyDescent="0.2">
      <c r="A494" s="31" t="s">
        <v>3025</v>
      </c>
      <c r="B494" s="36" t="s">
        <v>616</v>
      </c>
      <c r="C494" s="504" t="s">
        <v>3353</v>
      </c>
      <c r="D494" s="42">
        <v>0</v>
      </c>
      <c r="E494" s="42">
        <v>9269.44</v>
      </c>
      <c r="F494" s="42">
        <v>96302.690000000017</v>
      </c>
      <c r="G494" s="581">
        <f t="shared" si="36"/>
        <v>105572.13000000002</v>
      </c>
      <c r="H494" s="33">
        <v>0</v>
      </c>
      <c r="I494" s="33">
        <v>0</v>
      </c>
      <c r="J494" s="33">
        <v>0</v>
      </c>
      <c r="K494" s="33">
        <f t="shared" si="38"/>
        <v>0</v>
      </c>
      <c r="L494" s="33">
        <f t="shared" si="39"/>
        <v>9269.44</v>
      </c>
      <c r="M494" s="33">
        <f t="shared" si="40"/>
        <v>96302.690000000017</v>
      </c>
      <c r="N494" s="235">
        <f t="shared" si="37"/>
        <v>0</v>
      </c>
      <c r="O494" s="35" t="s">
        <v>3327</v>
      </c>
      <c r="P494" s="35"/>
      <c r="Q494" s="39">
        <f>SUMIF('Antelope Bailey Split BA'!$B$7:$B$29,B494,'Antelope Bailey Split BA'!$C$7:$C$29)</f>
        <v>0</v>
      </c>
      <c r="R494" s="39" t="str">
        <f>IF(AND(Q494=1,'Plant Total by Account'!$J$1=2),"EKWRA","")</f>
        <v/>
      </c>
    </row>
    <row r="495" spans="1:18" x14ac:dyDescent="0.2">
      <c r="A495" s="31" t="s">
        <v>3026</v>
      </c>
      <c r="B495" s="36" t="s">
        <v>617</v>
      </c>
      <c r="C495" s="504" t="s">
        <v>3353</v>
      </c>
      <c r="D495" s="42">
        <v>0</v>
      </c>
      <c r="E495" s="42">
        <v>1332.79</v>
      </c>
      <c r="F495" s="42">
        <v>302875.57</v>
      </c>
      <c r="G495" s="581">
        <f t="shared" si="36"/>
        <v>304208.36</v>
      </c>
      <c r="H495" s="33">
        <v>0</v>
      </c>
      <c r="I495" s="33">
        <v>0</v>
      </c>
      <c r="J495" s="33">
        <v>0</v>
      </c>
      <c r="K495" s="33">
        <f t="shared" si="38"/>
        <v>0</v>
      </c>
      <c r="L495" s="33">
        <f t="shared" si="39"/>
        <v>1332.79</v>
      </c>
      <c r="M495" s="33">
        <f t="shared" si="40"/>
        <v>302875.57</v>
      </c>
      <c r="N495" s="235">
        <f t="shared" si="37"/>
        <v>0</v>
      </c>
      <c r="O495" s="35" t="s">
        <v>3327</v>
      </c>
      <c r="P495" s="35"/>
      <c r="Q495" s="39">
        <f>SUMIF('Antelope Bailey Split BA'!$B$7:$B$29,B495,'Antelope Bailey Split BA'!$C$7:$C$29)</f>
        <v>0</v>
      </c>
      <c r="R495" s="39" t="str">
        <f>IF(AND(Q495=1,'Plant Total by Account'!$J$1=2),"EKWRA","")</f>
        <v/>
      </c>
    </row>
    <row r="496" spans="1:18" x14ac:dyDescent="0.2">
      <c r="A496" s="31" t="s">
        <v>3027</v>
      </c>
      <c r="B496" s="36" t="s">
        <v>618</v>
      </c>
      <c r="C496" s="504" t="s">
        <v>3353</v>
      </c>
      <c r="D496" s="42">
        <v>333364.08</v>
      </c>
      <c r="E496" s="42">
        <v>623975.77</v>
      </c>
      <c r="F496" s="42">
        <v>5014653.8900000006</v>
      </c>
      <c r="G496" s="581">
        <f t="shared" si="36"/>
        <v>5971993.7400000002</v>
      </c>
      <c r="H496" s="33">
        <v>0</v>
      </c>
      <c r="I496" s="33">
        <v>0</v>
      </c>
      <c r="J496" s="33">
        <v>0</v>
      </c>
      <c r="K496" s="33">
        <f t="shared" si="38"/>
        <v>333364.08</v>
      </c>
      <c r="L496" s="33">
        <f t="shared" si="39"/>
        <v>623975.77</v>
      </c>
      <c r="M496" s="33">
        <f t="shared" si="40"/>
        <v>5014653.8900000006</v>
      </c>
      <c r="N496" s="235">
        <f t="shared" si="37"/>
        <v>0</v>
      </c>
      <c r="O496" s="35" t="s">
        <v>3327</v>
      </c>
      <c r="P496" s="35"/>
      <c r="Q496" s="39">
        <f>SUMIF('Antelope Bailey Split BA'!$B$7:$B$29,B496,'Antelope Bailey Split BA'!$C$7:$C$29)</f>
        <v>0</v>
      </c>
      <c r="R496" s="39" t="str">
        <f>IF(AND(Q496=1,'Plant Total by Account'!$J$1=2),"EKWRA","")</f>
        <v/>
      </c>
    </row>
    <row r="497" spans="1:18" x14ac:dyDescent="0.2">
      <c r="A497" s="31" t="s">
        <v>3028</v>
      </c>
      <c r="B497" s="36" t="s">
        <v>619</v>
      </c>
      <c r="C497" s="504" t="s">
        <v>3353</v>
      </c>
      <c r="D497" s="42">
        <v>9231.81</v>
      </c>
      <c r="E497" s="42">
        <v>12621.43</v>
      </c>
      <c r="F497" s="42">
        <v>243308.68</v>
      </c>
      <c r="G497" s="581">
        <f t="shared" si="36"/>
        <v>265161.92</v>
      </c>
      <c r="H497" s="33">
        <v>0</v>
      </c>
      <c r="I497" s="33">
        <v>0</v>
      </c>
      <c r="J497" s="33">
        <v>0</v>
      </c>
      <c r="K497" s="33">
        <f t="shared" si="38"/>
        <v>9231.81</v>
      </c>
      <c r="L497" s="33">
        <f t="shared" si="39"/>
        <v>12621.43</v>
      </c>
      <c r="M497" s="33">
        <f t="shared" si="40"/>
        <v>243308.68</v>
      </c>
      <c r="N497" s="235">
        <f t="shared" si="37"/>
        <v>0</v>
      </c>
      <c r="O497" s="35" t="s">
        <v>3327</v>
      </c>
      <c r="P497" s="35"/>
      <c r="Q497" s="39">
        <f>SUMIF('Antelope Bailey Split BA'!$B$7:$B$29,B497,'Antelope Bailey Split BA'!$C$7:$C$29)</f>
        <v>0</v>
      </c>
      <c r="R497" s="39" t="str">
        <f>IF(AND(Q497=1,'Plant Total by Account'!$J$1=2),"EKWRA","")</f>
        <v/>
      </c>
    </row>
    <row r="498" spans="1:18" x14ac:dyDescent="0.2">
      <c r="A498" s="31" t="s">
        <v>3029</v>
      </c>
      <c r="B498" s="36" t="s">
        <v>620</v>
      </c>
      <c r="C498" s="504" t="s">
        <v>3353</v>
      </c>
      <c r="D498" s="42">
        <v>0</v>
      </c>
      <c r="E498" s="42">
        <v>1946.23</v>
      </c>
      <c r="F498" s="42">
        <v>0</v>
      </c>
      <c r="G498" s="581">
        <f t="shared" si="36"/>
        <v>1946.23</v>
      </c>
      <c r="H498" s="33">
        <v>0</v>
      </c>
      <c r="I498" s="33">
        <v>0</v>
      </c>
      <c r="J498" s="33">
        <v>0</v>
      </c>
      <c r="K498" s="33">
        <f t="shared" si="38"/>
        <v>0</v>
      </c>
      <c r="L498" s="33">
        <f t="shared" si="39"/>
        <v>1946.23</v>
      </c>
      <c r="M498" s="33">
        <f t="shared" si="40"/>
        <v>0</v>
      </c>
      <c r="N498" s="235">
        <f t="shared" si="37"/>
        <v>0</v>
      </c>
      <c r="O498" s="35" t="s">
        <v>3327</v>
      </c>
      <c r="P498" s="35"/>
      <c r="Q498" s="39">
        <f>SUMIF('Antelope Bailey Split BA'!$B$7:$B$29,B498,'Antelope Bailey Split BA'!$C$7:$C$29)</f>
        <v>0</v>
      </c>
      <c r="R498" s="39" t="str">
        <f>IF(AND(Q498=1,'Plant Total by Account'!$J$1=2),"EKWRA","")</f>
        <v/>
      </c>
    </row>
    <row r="499" spans="1:18" x14ac:dyDescent="0.2">
      <c r="A499" s="31" t="s">
        <v>3030</v>
      </c>
      <c r="B499" s="36" t="s">
        <v>621</v>
      </c>
      <c r="C499" s="504" t="s">
        <v>3353</v>
      </c>
      <c r="D499" s="42">
        <v>4231.6400000000003</v>
      </c>
      <c r="E499" s="42">
        <v>6443.99</v>
      </c>
      <c r="F499" s="42">
        <v>837403.35000000009</v>
      </c>
      <c r="G499" s="581">
        <f t="shared" si="36"/>
        <v>848078.9800000001</v>
      </c>
      <c r="H499" s="33">
        <v>0</v>
      </c>
      <c r="I499" s="33">
        <v>0</v>
      </c>
      <c r="J499" s="33">
        <v>0</v>
      </c>
      <c r="K499" s="33">
        <f t="shared" si="38"/>
        <v>4231.6400000000003</v>
      </c>
      <c r="L499" s="33">
        <f t="shared" si="39"/>
        <v>6443.99</v>
      </c>
      <c r="M499" s="33">
        <f t="shared" si="40"/>
        <v>837403.35000000009</v>
      </c>
      <c r="N499" s="235">
        <f t="shared" si="37"/>
        <v>0</v>
      </c>
      <c r="O499" s="35" t="s">
        <v>3327</v>
      </c>
      <c r="P499" s="35"/>
      <c r="Q499" s="39">
        <f>SUMIF('Antelope Bailey Split BA'!$B$7:$B$29,B499,'Antelope Bailey Split BA'!$C$7:$C$29)</f>
        <v>0</v>
      </c>
      <c r="R499" s="39" t="str">
        <f>IF(AND(Q499=1,'Plant Total by Account'!$J$1=2),"EKWRA","")</f>
        <v/>
      </c>
    </row>
    <row r="500" spans="1:18" x14ac:dyDescent="0.2">
      <c r="A500" s="31" t="s">
        <v>3031</v>
      </c>
      <c r="B500" s="36" t="s">
        <v>622</v>
      </c>
      <c r="C500" s="504" t="s">
        <v>3353</v>
      </c>
      <c r="D500" s="42">
        <v>28833.25</v>
      </c>
      <c r="E500" s="42">
        <v>4829.1499999999996</v>
      </c>
      <c r="F500" s="42">
        <v>652270.28000000014</v>
      </c>
      <c r="G500" s="581">
        <f t="shared" si="36"/>
        <v>685932.68000000017</v>
      </c>
      <c r="H500" s="33">
        <v>0</v>
      </c>
      <c r="I500" s="33">
        <v>0</v>
      </c>
      <c r="J500" s="33">
        <v>0</v>
      </c>
      <c r="K500" s="33">
        <f t="shared" si="38"/>
        <v>28833.25</v>
      </c>
      <c r="L500" s="33">
        <f t="shared" si="39"/>
        <v>4829.1499999999996</v>
      </c>
      <c r="M500" s="33">
        <f t="shared" si="40"/>
        <v>652270.28000000014</v>
      </c>
      <c r="N500" s="235">
        <f t="shared" si="37"/>
        <v>0</v>
      </c>
      <c r="O500" s="35" t="s">
        <v>3327</v>
      </c>
      <c r="P500" s="35"/>
      <c r="Q500" s="39">
        <f>SUMIF('Antelope Bailey Split BA'!$B$7:$B$29,B500,'Antelope Bailey Split BA'!$C$7:$C$29)</f>
        <v>0</v>
      </c>
      <c r="R500" s="39" t="str">
        <f>IF(AND(Q500=1,'Plant Total by Account'!$J$1=2),"EKWRA","")</f>
        <v/>
      </c>
    </row>
    <row r="501" spans="1:18" x14ac:dyDescent="0.2">
      <c r="A501" s="31" t="s">
        <v>3032</v>
      </c>
      <c r="B501" s="36" t="s">
        <v>623</v>
      </c>
      <c r="C501" s="504" t="s">
        <v>3353</v>
      </c>
      <c r="D501" s="42">
        <v>0</v>
      </c>
      <c r="E501" s="42">
        <v>13172.08</v>
      </c>
      <c r="F501" s="42">
        <v>891246.66000000015</v>
      </c>
      <c r="G501" s="581">
        <f t="shared" si="36"/>
        <v>904418.74000000011</v>
      </c>
      <c r="H501" s="33">
        <v>0</v>
      </c>
      <c r="I501" s="33">
        <v>0</v>
      </c>
      <c r="J501" s="33">
        <v>0</v>
      </c>
      <c r="K501" s="33">
        <f t="shared" si="38"/>
        <v>0</v>
      </c>
      <c r="L501" s="33">
        <f t="shared" si="39"/>
        <v>13172.08</v>
      </c>
      <c r="M501" s="33">
        <f t="shared" si="40"/>
        <v>891246.66000000015</v>
      </c>
      <c r="N501" s="235">
        <f t="shared" si="37"/>
        <v>0</v>
      </c>
      <c r="O501" s="35" t="s">
        <v>3327</v>
      </c>
      <c r="P501" s="35"/>
      <c r="Q501" s="39">
        <f>SUMIF('Antelope Bailey Split BA'!$B$7:$B$29,B501,'Antelope Bailey Split BA'!$C$7:$C$29)</f>
        <v>0</v>
      </c>
      <c r="R501" s="39" t="str">
        <f>IF(AND(Q501=1,'Plant Total by Account'!$J$1=2),"EKWRA","")</f>
        <v/>
      </c>
    </row>
    <row r="502" spans="1:18" x14ac:dyDescent="0.2">
      <c r="A502" s="31" t="s">
        <v>3033</v>
      </c>
      <c r="B502" s="36" t="s">
        <v>624</v>
      </c>
      <c r="C502" s="504" t="s">
        <v>3353</v>
      </c>
      <c r="D502" s="42">
        <v>0</v>
      </c>
      <c r="E502" s="42">
        <v>43118.75</v>
      </c>
      <c r="F502" s="42">
        <v>1001174.21</v>
      </c>
      <c r="G502" s="581">
        <f t="shared" si="36"/>
        <v>1044292.96</v>
      </c>
      <c r="H502" s="33">
        <v>0</v>
      </c>
      <c r="I502" s="33">
        <v>0</v>
      </c>
      <c r="J502" s="33">
        <v>0</v>
      </c>
      <c r="K502" s="33">
        <f t="shared" si="38"/>
        <v>0</v>
      </c>
      <c r="L502" s="33">
        <f t="shared" si="39"/>
        <v>43118.75</v>
      </c>
      <c r="M502" s="33">
        <f t="shared" si="40"/>
        <v>1001174.21</v>
      </c>
      <c r="N502" s="235">
        <f t="shared" si="37"/>
        <v>0</v>
      </c>
      <c r="O502" s="35" t="s">
        <v>3327</v>
      </c>
      <c r="P502" s="35"/>
      <c r="Q502" s="39">
        <f>SUMIF('Antelope Bailey Split BA'!$B$7:$B$29,B502,'Antelope Bailey Split BA'!$C$7:$C$29)</f>
        <v>0</v>
      </c>
      <c r="R502" s="39" t="str">
        <f>IF(AND(Q502=1,'Plant Total by Account'!$J$1=2),"EKWRA","")</f>
        <v/>
      </c>
    </row>
    <row r="503" spans="1:18" x14ac:dyDescent="0.2">
      <c r="A503" s="31" t="s">
        <v>3034</v>
      </c>
      <c r="B503" s="36" t="s">
        <v>625</v>
      </c>
      <c r="C503" s="504" t="s">
        <v>3353</v>
      </c>
      <c r="D503" s="42">
        <v>0</v>
      </c>
      <c r="E503" s="42">
        <v>30407.27</v>
      </c>
      <c r="F503" s="42">
        <v>481044.77000000014</v>
      </c>
      <c r="G503" s="581">
        <f t="shared" si="36"/>
        <v>511452.04000000015</v>
      </c>
      <c r="H503" s="33">
        <v>0</v>
      </c>
      <c r="I503" s="33">
        <v>0</v>
      </c>
      <c r="J503" s="33">
        <v>0</v>
      </c>
      <c r="K503" s="33">
        <f t="shared" si="38"/>
        <v>0</v>
      </c>
      <c r="L503" s="33">
        <f t="shared" si="39"/>
        <v>30407.27</v>
      </c>
      <c r="M503" s="33">
        <f t="shared" si="40"/>
        <v>481044.77000000014</v>
      </c>
      <c r="N503" s="235">
        <f t="shared" si="37"/>
        <v>0</v>
      </c>
      <c r="O503" s="35" t="s">
        <v>3327</v>
      </c>
      <c r="P503" s="35"/>
      <c r="Q503" s="39">
        <f>SUMIF('Antelope Bailey Split BA'!$B$7:$B$29,B503,'Antelope Bailey Split BA'!$C$7:$C$29)</f>
        <v>0</v>
      </c>
      <c r="R503" s="39" t="str">
        <f>IF(AND(Q503=1,'Plant Total by Account'!$J$1=2),"EKWRA","")</f>
        <v/>
      </c>
    </row>
    <row r="504" spans="1:18" x14ac:dyDescent="0.2">
      <c r="A504" s="31" t="s">
        <v>3035</v>
      </c>
      <c r="B504" s="36" t="s">
        <v>626</v>
      </c>
      <c r="C504" s="504" t="s">
        <v>3353</v>
      </c>
      <c r="D504" s="42">
        <v>13817.41</v>
      </c>
      <c r="E504" s="42">
        <v>116586.91</v>
      </c>
      <c r="F504" s="42">
        <v>4367765.5599999987</v>
      </c>
      <c r="G504" s="581">
        <f t="shared" si="36"/>
        <v>4498169.879999999</v>
      </c>
      <c r="H504" s="33">
        <v>0</v>
      </c>
      <c r="I504" s="33">
        <v>0</v>
      </c>
      <c r="J504" s="33">
        <v>0</v>
      </c>
      <c r="K504" s="33">
        <f t="shared" si="38"/>
        <v>13817.41</v>
      </c>
      <c r="L504" s="33">
        <f t="shared" si="39"/>
        <v>116586.91</v>
      </c>
      <c r="M504" s="33">
        <f t="shared" si="40"/>
        <v>4367765.5599999987</v>
      </c>
      <c r="N504" s="235">
        <f t="shared" si="37"/>
        <v>0</v>
      </c>
      <c r="O504" s="35" t="s">
        <v>3327</v>
      </c>
      <c r="P504" s="35"/>
      <c r="Q504" s="39">
        <f>SUMIF('Antelope Bailey Split BA'!$B$7:$B$29,B504,'Antelope Bailey Split BA'!$C$7:$C$29)</f>
        <v>0</v>
      </c>
      <c r="R504" s="39" t="str">
        <f>IF(AND(Q504=1,'Plant Total by Account'!$J$1=2),"EKWRA","")</f>
        <v/>
      </c>
    </row>
    <row r="505" spans="1:18" x14ac:dyDescent="0.2">
      <c r="A505" s="31" t="s">
        <v>2470</v>
      </c>
      <c r="B505" s="36" t="s">
        <v>627</v>
      </c>
      <c r="C505" s="504" t="s">
        <v>3353</v>
      </c>
      <c r="D505" s="42">
        <v>11548.75</v>
      </c>
      <c r="E505" s="42">
        <v>0</v>
      </c>
      <c r="F505" s="42">
        <v>0</v>
      </c>
      <c r="G505" s="581">
        <f t="shared" si="36"/>
        <v>11548.75</v>
      </c>
      <c r="H505" s="33">
        <v>0</v>
      </c>
      <c r="I505" s="33">
        <v>0</v>
      </c>
      <c r="J505" s="33">
        <v>0</v>
      </c>
      <c r="K505" s="33">
        <f t="shared" si="38"/>
        <v>11548.75</v>
      </c>
      <c r="L505" s="33">
        <f t="shared" si="39"/>
        <v>0</v>
      </c>
      <c r="M505" s="33">
        <f t="shared" si="40"/>
        <v>0</v>
      </c>
      <c r="N505" s="235">
        <f t="shared" si="37"/>
        <v>0</v>
      </c>
      <c r="O505" s="35" t="s">
        <v>3327</v>
      </c>
      <c r="P505" s="35"/>
      <c r="Q505" s="39">
        <f>SUMIF('Antelope Bailey Split BA'!$B$7:$B$29,B505,'Antelope Bailey Split BA'!$C$7:$C$29)</f>
        <v>0</v>
      </c>
      <c r="R505" s="39" t="str">
        <f>IF(AND(Q505=1,'Plant Total by Account'!$J$1=2),"EKWRA","")</f>
        <v/>
      </c>
    </row>
    <row r="506" spans="1:18" x14ac:dyDescent="0.2">
      <c r="A506" s="31" t="s">
        <v>3036</v>
      </c>
      <c r="B506" s="36" t="s">
        <v>628</v>
      </c>
      <c r="C506" s="504" t="s">
        <v>3353</v>
      </c>
      <c r="D506" s="42">
        <v>0</v>
      </c>
      <c r="E506" s="42">
        <v>20355.590000000004</v>
      </c>
      <c r="F506" s="42">
        <v>147439.13000000003</v>
      </c>
      <c r="G506" s="581">
        <f t="shared" si="36"/>
        <v>167794.72000000003</v>
      </c>
      <c r="H506" s="33">
        <v>0</v>
      </c>
      <c r="I506" s="33">
        <v>0</v>
      </c>
      <c r="J506" s="33">
        <v>0</v>
      </c>
      <c r="K506" s="33">
        <f t="shared" si="38"/>
        <v>0</v>
      </c>
      <c r="L506" s="33">
        <f t="shared" si="39"/>
        <v>20355.590000000004</v>
      </c>
      <c r="M506" s="33">
        <f t="shared" si="40"/>
        <v>147439.13000000003</v>
      </c>
      <c r="N506" s="235">
        <f t="shared" si="37"/>
        <v>0</v>
      </c>
      <c r="O506" s="35" t="s">
        <v>3327</v>
      </c>
      <c r="P506" s="35"/>
      <c r="Q506" s="39">
        <f>SUMIF('Antelope Bailey Split BA'!$B$7:$B$29,B506,'Antelope Bailey Split BA'!$C$7:$C$29)</f>
        <v>0</v>
      </c>
      <c r="R506" s="39" t="str">
        <f>IF(AND(Q506=1,'Plant Total by Account'!$J$1=2),"EKWRA","")</f>
        <v/>
      </c>
    </row>
    <row r="507" spans="1:18" x14ac:dyDescent="0.2">
      <c r="A507" s="31" t="s">
        <v>3037</v>
      </c>
      <c r="B507" s="36" t="s">
        <v>629</v>
      </c>
      <c r="C507" s="504" t="s">
        <v>3353</v>
      </c>
      <c r="D507" s="42">
        <v>0</v>
      </c>
      <c r="E507" s="42">
        <v>9108.65</v>
      </c>
      <c r="F507" s="42">
        <v>1717493.7699999998</v>
      </c>
      <c r="G507" s="581">
        <f t="shared" si="36"/>
        <v>1726602.4199999997</v>
      </c>
      <c r="H507" s="33">
        <v>0</v>
      </c>
      <c r="I507" s="33">
        <v>0</v>
      </c>
      <c r="J507" s="33">
        <v>0</v>
      </c>
      <c r="K507" s="33">
        <f t="shared" si="38"/>
        <v>0</v>
      </c>
      <c r="L507" s="33">
        <f t="shared" si="39"/>
        <v>9108.65</v>
      </c>
      <c r="M507" s="33">
        <f t="shared" si="40"/>
        <v>1717493.7699999998</v>
      </c>
      <c r="N507" s="235">
        <f t="shared" si="37"/>
        <v>0</v>
      </c>
      <c r="O507" s="35" t="s">
        <v>3327</v>
      </c>
      <c r="P507" s="35"/>
      <c r="Q507" s="39">
        <f>SUMIF('Antelope Bailey Split BA'!$B$7:$B$29,B507,'Antelope Bailey Split BA'!$C$7:$C$29)</f>
        <v>0</v>
      </c>
      <c r="R507" s="39" t="str">
        <f>IF(AND(Q507=1,'Plant Total by Account'!$J$1=2),"EKWRA","")</f>
        <v/>
      </c>
    </row>
    <row r="508" spans="1:18" x14ac:dyDescent="0.2">
      <c r="A508" s="31" t="s">
        <v>3038</v>
      </c>
      <c r="B508" s="36" t="s">
        <v>630</v>
      </c>
      <c r="C508" s="504" t="s">
        <v>3352</v>
      </c>
      <c r="D508" s="42">
        <v>3741.81</v>
      </c>
      <c r="E508" s="42">
        <v>32085.5</v>
      </c>
      <c r="F508" s="42">
        <v>1565601.2300000004</v>
      </c>
      <c r="G508" s="581">
        <f t="shared" si="36"/>
        <v>1601428.5400000005</v>
      </c>
      <c r="H508" s="33">
        <v>0</v>
      </c>
      <c r="I508" s="33">
        <v>0</v>
      </c>
      <c r="J508" s="33">
        <v>0</v>
      </c>
      <c r="K508" s="33">
        <f t="shared" si="38"/>
        <v>3741.81</v>
      </c>
      <c r="L508" s="33">
        <f t="shared" si="39"/>
        <v>32085.5</v>
      </c>
      <c r="M508" s="33">
        <f t="shared" si="40"/>
        <v>1565601.2300000004</v>
      </c>
      <c r="N508" s="235">
        <f t="shared" si="37"/>
        <v>0</v>
      </c>
      <c r="O508" s="35" t="s">
        <v>3327</v>
      </c>
      <c r="P508" s="35"/>
      <c r="Q508" s="39">
        <f>SUMIF('Antelope Bailey Split BA'!$B$7:$B$29,B508,'Antelope Bailey Split BA'!$C$7:$C$29)</f>
        <v>0</v>
      </c>
      <c r="R508" s="39" t="str">
        <f>IF(AND(Q508=1,'Plant Total by Account'!$J$1=2),"EKWRA","")</f>
        <v/>
      </c>
    </row>
    <row r="509" spans="1:18" x14ac:dyDescent="0.2">
      <c r="A509" s="31" t="s">
        <v>3039</v>
      </c>
      <c r="B509" s="36" t="s">
        <v>631</v>
      </c>
      <c r="C509" s="504" t="s">
        <v>3352</v>
      </c>
      <c r="D509" s="42">
        <v>18626.43</v>
      </c>
      <c r="E509" s="42">
        <v>81053.78</v>
      </c>
      <c r="F509" s="42">
        <v>294854.13999999996</v>
      </c>
      <c r="G509" s="581">
        <f t="shared" si="36"/>
        <v>394534.35</v>
      </c>
      <c r="H509" s="33">
        <v>0</v>
      </c>
      <c r="I509" s="33">
        <v>0</v>
      </c>
      <c r="J509" s="33">
        <v>0</v>
      </c>
      <c r="K509" s="33">
        <f t="shared" si="38"/>
        <v>18626.43</v>
      </c>
      <c r="L509" s="33">
        <f t="shared" si="39"/>
        <v>81053.78</v>
      </c>
      <c r="M509" s="33">
        <f t="shared" si="40"/>
        <v>294854.13999999996</v>
      </c>
      <c r="N509" s="235">
        <f t="shared" si="37"/>
        <v>0</v>
      </c>
      <c r="O509" s="35" t="s">
        <v>3327</v>
      </c>
      <c r="P509" s="35"/>
      <c r="Q509" s="39">
        <f>SUMIF('Antelope Bailey Split BA'!$B$7:$B$29,B509,'Antelope Bailey Split BA'!$C$7:$C$29)</f>
        <v>0</v>
      </c>
      <c r="R509" s="39" t="str">
        <f>IF(AND(Q509=1,'Plant Total by Account'!$J$1=2),"EKWRA","")</f>
        <v/>
      </c>
    </row>
    <row r="510" spans="1:18" x14ac:dyDescent="0.2">
      <c r="A510" s="31" t="s">
        <v>3040</v>
      </c>
      <c r="B510" s="36" t="s">
        <v>632</v>
      </c>
      <c r="C510" s="504" t="s">
        <v>3353</v>
      </c>
      <c r="D510" s="42">
        <v>21181.910000000003</v>
      </c>
      <c r="E510" s="42">
        <v>144012.04</v>
      </c>
      <c r="F510" s="42">
        <v>3343964.6600000006</v>
      </c>
      <c r="G510" s="581">
        <f t="shared" si="36"/>
        <v>3509158.6100000008</v>
      </c>
      <c r="H510" s="33">
        <v>0</v>
      </c>
      <c r="I510" s="33">
        <v>0</v>
      </c>
      <c r="J510" s="33">
        <v>0</v>
      </c>
      <c r="K510" s="33">
        <f t="shared" si="38"/>
        <v>21181.910000000003</v>
      </c>
      <c r="L510" s="33">
        <f t="shared" si="39"/>
        <v>144012.04</v>
      </c>
      <c r="M510" s="33">
        <f t="shared" si="40"/>
        <v>3343964.6600000006</v>
      </c>
      <c r="N510" s="235">
        <f t="shared" si="37"/>
        <v>0</v>
      </c>
      <c r="O510" s="35" t="s">
        <v>3327</v>
      </c>
      <c r="P510" s="35"/>
      <c r="Q510" s="39">
        <f>SUMIF('Antelope Bailey Split BA'!$B$7:$B$29,B510,'Antelope Bailey Split BA'!$C$7:$C$29)</f>
        <v>0</v>
      </c>
      <c r="R510" s="39" t="str">
        <f>IF(AND(Q510=1,'Plant Total by Account'!$J$1=2),"EKWRA","")</f>
        <v/>
      </c>
    </row>
    <row r="511" spans="1:18" x14ac:dyDescent="0.2">
      <c r="A511" s="31" t="s">
        <v>3041</v>
      </c>
      <c r="B511" s="36" t="s">
        <v>633</v>
      </c>
      <c r="C511" s="504" t="s">
        <v>3353</v>
      </c>
      <c r="D511" s="42">
        <v>2075.1999999999998</v>
      </c>
      <c r="E511" s="42">
        <v>5151.74</v>
      </c>
      <c r="F511" s="42">
        <v>114989.16</v>
      </c>
      <c r="G511" s="581">
        <f t="shared" si="36"/>
        <v>122216.1</v>
      </c>
      <c r="H511" s="33">
        <v>0</v>
      </c>
      <c r="I511" s="33">
        <v>0</v>
      </c>
      <c r="J511" s="33">
        <v>0</v>
      </c>
      <c r="K511" s="33">
        <f t="shared" si="38"/>
        <v>2075.1999999999998</v>
      </c>
      <c r="L511" s="33">
        <f t="shared" si="39"/>
        <v>5151.74</v>
      </c>
      <c r="M511" s="33">
        <f t="shared" si="40"/>
        <v>114989.16</v>
      </c>
      <c r="N511" s="235">
        <f t="shared" si="37"/>
        <v>0</v>
      </c>
      <c r="O511" s="35" t="s">
        <v>3327</v>
      </c>
      <c r="P511" s="35"/>
      <c r="Q511" s="39">
        <f>SUMIF('Antelope Bailey Split BA'!$B$7:$B$29,B511,'Antelope Bailey Split BA'!$C$7:$C$29)</f>
        <v>0</v>
      </c>
      <c r="R511" s="39" t="str">
        <f>IF(AND(Q511=1,'Plant Total by Account'!$J$1=2),"EKWRA","")</f>
        <v/>
      </c>
    </row>
    <row r="512" spans="1:18" x14ac:dyDescent="0.2">
      <c r="A512" s="31" t="s">
        <v>3042</v>
      </c>
      <c r="B512" s="36" t="s">
        <v>634</v>
      </c>
      <c r="C512" s="504" t="s">
        <v>3352</v>
      </c>
      <c r="D512" s="42">
        <v>14222.039999999999</v>
      </c>
      <c r="E512" s="42">
        <v>42887.64</v>
      </c>
      <c r="F512" s="42">
        <v>502545.38</v>
      </c>
      <c r="G512" s="581">
        <f t="shared" si="36"/>
        <v>559655.06000000006</v>
      </c>
      <c r="H512" s="33">
        <v>0</v>
      </c>
      <c r="I512" s="33">
        <v>0</v>
      </c>
      <c r="J512" s="33">
        <v>0</v>
      </c>
      <c r="K512" s="33">
        <f t="shared" si="38"/>
        <v>14222.039999999999</v>
      </c>
      <c r="L512" s="33">
        <f t="shared" si="39"/>
        <v>42887.64</v>
      </c>
      <c r="M512" s="33">
        <f t="shared" si="40"/>
        <v>502545.38</v>
      </c>
      <c r="N512" s="235">
        <f t="shared" si="37"/>
        <v>0</v>
      </c>
      <c r="O512" s="35" t="s">
        <v>3327</v>
      </c>
      <c r="P512" s="35"/>
      <c r="Q512" s="39">
        <f>SUMIF('Antelope Bailey Split BA'!$B$7:$B$29,B512,'Antelope Bailey Split BA'!$C$7:$C$29)</f>
        <v>0</v>
      </c>
      <c r="R512" s="39" t="str">
        <f>IF(AND(Q512=1,'Plant Total by Account'!$J$1=2),"EKWRA","")</f>
        <v/>
      </c>
    </row>
    <row r="513" spans="1:18" x14ac:dyDescent="0.2">
      <c r="A513" s="31" t="s">
        <v>3043</v>
      </c>
      <c r="B513" s="36" t="s">
        <v>635</v>
      </c>
      <c r="C513" s="504" t="s">
        <v>3353</v>
      </c>
      <c r="D513" s="42">
        <v>95072.65</v>
      </c>
      <c r="E513" s="42">
        <v>331606.48000000004</v>
      </c>
      <c r="F513" s="42">
        <v>2662994.1599999997</v>
      </c>
      <c r="G513" s="581">
        <f t="shared" si="36"/>
        <v>3089673.2899999996</v>
      </c>
      <c r="H513" s="33">
        <v>0</v>
      </c>
      <c r="I513" s="33">
        <v>0</v>
      </c>
      <c r="J513" s="33">
        <v>0</v>
      </c>
      <c r="K513" s="33">
        <f t="shared" si="38"/>
        <v>95072.65</v>
      </c>
      <c r="L513" s="33">
        <f t="shared" si="39"/>
        <v>331606.48000000004</v>
      </c>
      <c r="M513" s="33">
        <f t="shared" si="40"/>
        <v>2662994.1599999997</v>
      </c>
      <c r="N513" s="235">
        <f t="shared" si="37"/>
        <v>0</v>
      </c>
      <c r="O513" s="35" t="s">
        <v>3327</v>
      </c>
      <c r="P513" s="35"/>
      <c r="Q513" s="39">
        <f>SUMIF('Antelope Bailey Split BA'!$B$7:$B$29,B513,'Antelope Bailey Split BA'!$C$7:$C$29)</f>
        <v>0</v>
      </c>
      <c r="R513" s="39" t="str">
        <f>IF(AND(Q513=1,'Plant Total by Account'!$J$1=2),"EKWRA","")</f>
        <v/>
      </c>
    </row>
    <row r="514" spans="1:18" x14ac:dyDescent="0.2">
      <c r="A514" s="31" t="s">
        <v>3044</v>
      </c>
      <c r="B514" s="36" t="s">
        <v>636</v>
      </c>
      <c r="C514" s="504" t="s">
        <v>3353</v>
      </c>
      <c r="D514" s="42">
        <v>0</v>
      </c>
      <c r="E514" s="42">
        <v>170361.84</v>
      </c>
      <c r="F514" s="42">
        <v>4475014.22</v>
      </c>
      <c r="G514" s="581">
        <f t="shared" si="36"/>
        <v>4645376.0599999996</v>
      </c>
      <c r="H514" s="33">
        <v>0</v>
      </c>
      <c r="I514" s="33">
        <v>0</v>
      </c>
      <c r="J514" s="33">
        <v>0</v>
      </c>
      <c r="K514" s="33">
        <f t="shared" si="38"/>
        <v>0</v>
      </c>
      <c r="L514" s="33">
        <f t="shared" si="39"/>
        <v>170361.84</v>
      </c>
      <c r="M514" s="33">
        <f t="shared" si="40"/>
        <v>4475014.22</v>
      </c>
      <c r="N514" s="235">
        <f t="shared" si="37"/>
        <v>0</v>
      </c>
      <c r="O514" s="35" t="s">
        <v>3327</v>
      </c>
      <c r="P514" s="35"/>
      <c r="Q514" s="39">
        <f>SUMIF('Antelope Bailey Split BA'!$B$7:$B$29,B514,'Antelope Bailey Split BA'!$C$7:$C$29)</f>
        <v>0</v>
      </c>
      <c r="R514" s="39" t="str">
        <f>IF(AND(Q514=1,'Plant Total by Account'!$J$1=2),"EKWRA","")</f>
        <v/>
      </c>
    </row>
    <row r="515" spans="1:18" x14ac:dyDescent="0.2">
      <c r="A515" s="31" t="s">
        <v>3045</v>
      </c>
      <c r="B515" s="36" t="s">
        <v>637</v>
      </c>
      <c r="C515" s="504" t="s">
        <v>3353</v>
      </c>
      <c r="D515" s="42">
        <v>23609.58</v>
      </c>
      <c r="E515" s="42">
        <v>239995.21000000005</v>
      </c>
      <c r="F515" s="42">
        <v>7110739.529999977</v>
      </c>
      <c r="G515" s="581">
        <f t="shared" si="36"/>
        <v>7374344.319999977</v>
      </c>
      <c r="H515" s="33">
        <v>0</v>
      </c>
      <c r="I515" s="33">
        <v>0</v>
      </c>
      <c r="J515" s="33">
        <v>0</v>
      </c>
      <c r="K515" s="33">
        <f t="shared" si="38"/>
        <v>23609.58</v>
      </c>
      <c r="L515" s="33">
        <f t="shared" si="39"/>
        <v>239995.21000000005</v>
      </c>
      <c r="M515" s="33">
        <f t="shared" si="40"/>
        <v>7110739.529999977</v>
      </c>
      <c r="N515" s="235">
        <f t="shared" si="37"/>
        <v>0</v>
      </c>
      <c r="O515" s="35" t="s">
        <v>3327</v>
      </c>
      <c r="P515" s="35"/>
      <c r="Q515" s="39">
        <f>SUMIF('Antelope Bailey Split BA'!$B$7:$B$29,B515,'Antelope Bailey Split BA'!$C$7:$C$29)</f>
        <v>0</v>
      </c>
      <c r="R515" s="39" t="str">
        <f>IF(AND(Q515=1,'Plant Total by Account'!$J$1=2),"EKWRA","")</f>
        <v/>
      </c>
    </row>
    <row r="516" spans="1:18" x14ac:dyDescent="0.2">
      <c r="A516" s="31" t="s">
        <v>3046</v>
      </c>
      <c r="B516" s="36" t="s">
        <v>638</v>
      </c>
      <c r="C516" s="504" t="s">
        <v>3353</v>
      </c>
      <c r="D516" s="42">
        <v>1296.52</v>
      </c>
      <c r="E516" s="42">
        <v>31621.620000000003</v>
      </c>
      <c r="F516" s="42">
        <v>804984.69</v>
      </c>
      <c r="G516" s="581">
        <f t="shared" si="36"/>
        <v>837902.83</v>
      </c>
      <c r="H516" s="33">
        <v>0</v>
      </c>
      <c r="I516" s="33">
        <v>0</v>
      </c>
      <c r="J516" s="33">
        <v>0</v>
      </c>
      <c r="K516" s="33">
        <f t="shared" si="38"/>
        <v>1296.52</v>
      </c>
      <c r="L516" s="33">
        <f t="shared" si="39"/>
        <v>31621.620000000003</v>
      </c>
      <c r="M516" s="33">
        <f t="shared" si="40"/>
        <v>804984.69</v>
      </c>
      <c r="N516" s="235">
        <f t="shared" si="37"/>
        <v>0</v>
      </c>
      <c r="O516" s="35" t="s">
        <v>3327</v>
      </c>
      <c r="P516" s="35"/>
      <c r="Q516" s="39">
        <f>SUMIF('Antelope Bailey Split BA'!$B$7:$B$29,B516,'Antelope Bailey Split BA'!$C$7:$C$29)</f>
        <v>0</v>
      </c>
      <c r="R516" s="39" t="str">
        <f>IF(AND(Q516=1,'Plant Total by Account'!$J$1=2),"EKWRA","")</f>
        <v/>
      </c>
    </row>
    <row r="517" spans="1:18" x14ac:dyDescent="0.2">
      <c r="A517" s="31" t="s">
        <v>3047</v>
      </c>
      <c r="B517" s="36" t="s">
        <v>639</v>
      </c>
      <c r="C517" s="504" t="s">
        <v>3353</v>
      </c>
      <c r="D517" s="42">
        <v>39968.39</v>
      </c>
      <c r="E517" s="42">
        <v>51701.39</v>
      </c>
      <c r="F517" s="42">
        <v>2828035.7299999995</v>
      </c>
      <c r="G517" s="581">
        <f t="shared" si="36"/>
        <v>2919705.5099999993</v>
      </c>
      <c r="H517" s="33">
        <v>0</v>
      </c>
      <c r="I517" s="33">
        <v>0</v>
      </c>
      <c r="J517" s="33">
        <v>0</v>
      </c>
      <c r="K517" s="33">
        <f t="shared" si="38"/>
        <v>39968.39</v>
      </c>
      <c r="L517" s="33">
        <f t="shared" si="39"/>
        <v>51701.39</v>
      </c>
      <c r="M517" s="33">
        <f t="shared" si="40"/>
        <v>2828035.7299999995</v>
      </c>
      <c r="N517" s="235">
        <f t="shared" si="37"/>
        <v>0</v>
      </c>
      <c r="O517" s="35" t="s">
        <v>3327</v>
      </c>
      <c r="P517" s="35"/>
      <c r="Q517" s="39">
        <f>SUMIF('Antelope Bailey Split BA'!$B$7:$B$29,B517,'Antelope Bailey Split BA'!$C$7:$C$29)</f>
        <v>0</v>
      </c>
      <c r="R517" s="39" t="str">
        <f>IF(AND(Q517=1,'Plant Total by Account'!$J$1=2),"EKWRA","")</f>
        <v/>
      </c>
    </row>
    <row r="518" spans="1:18" x14ac:dyDescent="0.2">
      <c r="A518" s="31" t="s">
        <v>3048</v>
      </c>
      <c r="B518" s="36" t="s">
        <v>640</v>
      </c>
      <c r="C518" s="504" t="s">
        <v>3353</v>
      </c>
      <c r="D518" s="42">
        <v>0</v>
      </c>
      <c r="E518" s="42">
        <v>7855.43</v>
      </c>
      <c r="F518" s="42">
        <v>713913.66</v>
      </c>
      <c r="G518" s="581">
        <f t="shared" si="36"/>
        <v>721769.09000000008</v>
      </c>
      <c r="H518" s="33">
        <v>0</v>
      </c>
      <c r="I518" s="33">
        <v>0</v>
      </c>
      <c r="J518" s="33">
        <v>0</v>
      </c>
      <c r="K518" s="33">
        <f t="shared" si="38"/>
        <v>0</v>
      </c>
      <c r="L518" s="33">
        <f t="shared" si="39"/>
        <v>7855.43</v>
      </c>
      <c r="M518" s="33">
        <f t="shared" si="40"/>
        <v>713913.66</v>
      </c>
      <c r="N518" s="235">
        <f t="shared" si="37"/>
        <v>0</v>
      </c>
      <c r="O518" s="35" t="s">
        <v>3327</v>
      </c>
      <c r="P518" s="35"/>
      <c r="Q518" s="39">
        <f>SUMIF('Antelope Bailey Split BA'!$B$7:$B$29,B518,'Antelope Bailey Split BA'!$C$7:$C$29)</f>
        <v>0</v>
      </c>
      <c r="R518" s="39" t="str">
        <f>IF(AND(Q518=1,'Plant Total by Account'!$J$1=2),"EKWRA","")</f>
        <v/>
      </c>
    </row>
    <row r="519" spans="1:18" x14ac:dyDescent="0.2">
      <c r="A519" s="31" t="s">
        <v>3049</v>
      </c>
      <c r="B519" s="36" t="s">
        <v>641</v>
      </c>
      <c r="C519" s="504" t="s">
        <v>3353</v>
      </c>
      <c r="D519" s="42">
        <v>96954.510000000009</v>
      </c>
      <c r="E519" s="42">
        <v>125847.95999999999</v>
      </c>
      <c r="F519" s="42">
        <v>2533499.419999999</v>
      </c>
      <c r="G519" s="581">
        <f t="shared" si="36"/>
        <v>2756301.8899999992</v>
      </c>
      <c r="H519" s="33">
        <v>0</v>
      </c>
      <c r="I519" s="33">
        <v>0</v>
      </c>
      <c r="J519" s="33">
        <v>0</v>
      </c>
      <c r="K519" s="33">
        <f t="shared" si="38"/>
        <v>96954.510000000009</v>
      </c>
      <c r="L519" s="33">
        <f t="shared" si="39"/>
        <v>125847.95999999999</v>
      </c>
      <c r="M519" s="33">
        <f t="shared" si="40"/>
        <v>2533499.419999999</v>
      </c>
      <c r="N519" s="235">
        <f t="shared" si="37"/>
        <v>0</v>
      </c>
      <c r="O519" s="35" t="s">
        <v>3327</v>
      </c>
      <c r="P519" s="35"/>
      <c r="Q519" s="39">
        <f>SUMIF('Antelope Bailey Split BA'!$B$7:$B$29,B519,'Antelope Bailey Split BA'!$C$7:$C$29)</f>
        <v>0</v>
      </c>
      <c r="R519" s="39" t="str">
        <f>IF(AND(Q519=1,'Plant Total by Account'!$J$1=2),"EKWRA","")</f>
        <v/>
      </c>
    </row>
    <row r="520" spans="1:18" x14ac:dyDescent="0.2">
      <c r="A520" s="31" t="s">
        <v>3050</v>
      </c>
      <c r="B520" s="36" t="s">
        <v>642</v>
      </c>
      <c r="C520" s="504" t="s">
        <v>3353</v>
      </c>
      <c r="D520" s="42">
        <v>0</v>
      </c>
      <c r="E520" s="42">
        <v>29828.93</v>
      </c>
      <c r="F520" s="42">
        <v>1566116.31</v>
      </c>
      <c r="G520" s="581">
        <f t="shared" si="36"/>
        <v>1595945.24</v>
      </c>
      <c r="H520" s="33">
        <v>0</v>
      </c>
      <c r="I520" s="33">
        <v>0</v>
      </c>
      <c r="J520" s="33">
        <v>0</v>
      </c>
      <c r="K520" s="33">
        <f t="shared" si="38"/>
        <v>0</v>
      </c>
      <c r="L520" s="33">
        <f t="shared" si="39"/>
        <v>29828.93</v>
      </c>
      <c r="M520" s="33">
        <f t="shared" si="40"/>
        <v>1566116.31</v>
      </c>
      <c r="N520" s="235">
        <f t="shared" si="37"/>
        <v>0</v>
      </c>
      <c r="O520" s="35" t="s">
        <v>3327</v>
      </c>
      <c r="P520" s="35"/>
      <c r="Q520" s="39">
        <f>SUMIF('Antelope Bailey Split BA'!$B$7:$B$29,B520,'Antelope Bailey Split BA'!$C$7:$C$29)</f>
        <v>0</v>
      </c>
      <c r="R520" s="39" t="str">
        <f>IF(AND(Q520=1,'Plant Total by Account'!$J$1=2),"EKWRA","")</f>
        <v/>
      </c>
    </row>
    <row r="521" spans="1:18" x14ac:dyDescent="0.2">
      <c r="A521" s="31" t="s">
        <v>3051</v>
      </c>
      <c r="B521" s="36" t="s">
        <v>643</v>
      </c>
      <c r="C521" s="504" t="s">
        <v>3353</v>
      </c>
      <c r="D521" s="42">
        <v>0</v>
      </c>
      <c r="E521" s="42">
        <v>286554.68999999994</v>
      </c>
      <c r="F521" s="42">
        <v>5263060.46</v>
      </c>
      <c r="G521" s="581">
        <f t="shared" si="36"/>
        <v>5549615.1500000004</v>
      </c>
      <c r="H521" s="33">
        <v>0</v>
      </c>
      <c r="I521" s="33">
        <v>0</v>
      </c>
      <c r="J521" s="33">
        <v>0</v>
      </c>
      <c r="K521" s="33">
        <f t="shared" si="38"/>
        <v>0</v>
      </c>
      <c r="L521" s="33">
        <f t="shared" si="39"/>
        <v>286554.68999999994</v>
      </c>
      <c r="M521" s="33">
        <f t="shared" si="40"/>
        <v>5263060.46</v>
      </c>
      <c r="N521" s="235">
        <f t="shared" si="37"/>
        <v>0</v>
      </c>
      <c r="O521" s="35" t="s">
        <v>3327</v>
      </c>
      <c r="P521" s="35"/>
      <c r="Q521" s="39">
        <f>SUMIF('Antelope Bailey Split BA'!$B$7:$B$29,B521,'Antelope Bailey Split BA'!$C$7:$C$29)</f>
        <v>0</v>
      </c>
      <c r="R521" s="39" t="str">
        <f>IF(AND(Q521=1,'Plant Total by Account'!$J$1=2),"EKWRA","")</f>
        <v/>
      </c>
    </row>
    <row r="522" spans="1:18" x14ac:dyDescent="0.2">
      <c r="A522" s="31" t="s">
        <v>3052</v>
      </c>
      <c r="B522" s="36" t="s">
        <v>644</v>
      </c>
      <c r="C522" s="504" t="s">
        <v>3353</v>
      </c>
      <c r="D522" s="42">
        <v>86695.2</v>
      </c>
      <c r="E522" s="42">
        <v>122126.24000000002</v>
      </c>
      <c r="F522" s="42">
        <v>2421174.0200000014</v>
      </c>
      <c r="G522" s="581">
        <f t="shared" si="36"/>
        <v>2629995.4600000014</v>
      </c>
      <c r="H522" s="33">
        <v>0</v>
      </c>
      <c r="I522" s="33">
        <v>0</v>
      </c>
      <c r="J522" s="33">
        <v>0</v>
      </c>
      <c r="K522" s="33">
        <f t="shared" si="38"/>
        <v>86695.2</v>
      </c>
      <c r="L522" s="33">
        <f t="shared" si="39"/>
        <v>122126.24000000002</v>
      </c>
      <c r="M522" s="33">
        <f t="shared" si="40"/>
        <v>2421174.0200000014</v>
      </c>
      <c r="N522" s="235">
        <f t="shared" si="37"/>
        <v>0</v>
      </c>
      <c r="O522" s="35" t="s">
        <v>3327</v>
      </c>
      <c r="P522" s="35"/>
      <c r="Q522" s="39">
        <f>SUMIF('Antelope Bailey Split BA'!$B$7:$B$29,B522,'Antelope Bailey Split BA'!$C$7:$C$29)</f>
        <v>0</v>
      </c>
      <c r="R522" s="39" t="str">
        <f>IF(AND(Q522=1,'Plant Total by Account'!$J$1=2),"EKWRA","")</f>
        <v/>
      </c>
    </row>
    <row r="523" spans="1:18" x14ac:dyDescent="0.2">
      <c r="A523" s="31" t="s">
        <v>3053</v>
      </c>
      <c r="B523" s="36" t="s">
        <v>645</v>
      </c>
      <c r="C523" s="504" t="s">
        <v>3352</v>
      </c>
      <c r="D523" s="42">
        <v>3622.28</v>
      </c>
      <c r="E523" s="42">
        <v>233521.39999999997</v>
      </c>
      <c r="F523" s="42">
        <v>631203.3200000003</v>
      </c>
      <c r="G523" s="581">
        <f t="shared" ref="G523:G586" si="41">SUM(D523:F523)</f>
        <v>868347.00000000023</v>
      </c>
      <c r="H523" s="33">
        <v>0</v>
      </c>
      <c r="I523" s="33">
        <v>0</v>
      </c>
      <c r="J523" s="33">
        <v>0</v>
      </c>
      <c r="K523" s="33">
        <f t="shared" si="38"/>
        <v>3622.28</v>
      </c>
      <c r="L523" s="33">
        <f t="shared" si="39"/>
        <v>233521.39999999997</v>
      </c>
      <c r="M523" s="33">
        <f t="shared" si="40"/>
        <v>631203.3200000003</v>
      </c>
      <c r="N523" s="235">
        <f t="shared" ref="N523:N586" si="42">G523-SUM(H523:M523)</f>
        <v>0</v>
      </c>
      <c r="O523" s="35" t="s">
        <v>3327</v>
      </c>
      <c r="P523" s="35"/>
      <c r="Q523" s="39">
        <f>SUMIF('Antelope Bailey Split BA'!$B$7:$B$29,B523,'Antelope Bailey Split BA'!$C$7:$C$29)</f>
        <v>0</v>
      </c>
      <c r="R523" s="39" t="str">
        <f>IF(AND(Q523=1,'Plant Total by Account'!$J$1=2),"EKWRA","")</f>
        <v/>
      </c>
    </row>
    <row r="524" spans="1:18" x14ac:dyDescent="0.2">
      <c r="A524" s="31" t="s">
        <v>3054</v>
      </c>
      <c r="B524" s="36" t="s">
        <v>646</v>
      </c>
      <c r="C524" s="504" t="s">
        <v>3353</v>
      </c>
      <c r="D524" s="42">
        <v>26441.789999999997</v>
      </c>
      <c r="E524" s="42">
        <v>125518.48999999999</v>
      </c>
      <c r="F524" s="42">
        <v>4417298.6500000032</v>
      </c>
      <c r="G524" s="581">
        <f t="shared" si="41"/>
        <v>4569258.9300000034</v>
      </c>
      <c r="H524" s="33">
        <v>0</v>
      </c>
      <c r="I524" s="33">
        <v>0</v>
      </c>
      <c r="J524" s="33">
        <v>0</v>
      </c>
      <c r="K524" s="33">
        <f t="shared" si="38"/>
        <v>26441.789999999997</v>
      </c>
      <c r="L524" s="33">
        <f t="shared" si="39"/>
        <v>125518.48999999999</v>
      </c>
      <c r="M524" s="33">
        <f t="shared" si="40"/>
        <v>4417298.6500000032</v>
      </c>
      <c r="N524" s="235">
        <f t="shared" si="42"/>
        <v>0</v>
      </c>
      <c r="O524" s="35" t="s">
        <v>3327</v>
      </c>
      <c r="P524" s="35"/>
      <c r="Q524" s="39">
        <f>SUMIF('Antelope Bailey Split BA'!$B$7:$B$29,B524,'Antelope Bailey Split BA'!$C$7:$C$29)</f>
        <v>0</v>
      </c>
      <c r="R524" s="39" t="str">
        <f>IF(AND(Q524=1,'Plant Total by Account'!$J$1=2),"EKWRA","")</f>
        <v/>
      </c>
    </row>
    <row r="525" spans="1:18" x14ac:dyDescent="0.2">
      <c r="A525" s="31" t="s">
        <v>2471</v>
      </c>
      <c r="B525" s="36" t="s">
        <v>647</v>
      </c>
      <c r="C525" s="504" t="s">
        <v>3352</v>
      </c>
      <c r="D525" s="42">
        <v>8170.49</v>
      </c>
      <c r="E525" s="42">
        <v>44169.75</v>
      </c>
      <c r="F525" s="42">
        <v>1056310.7600000002</v>
      </c>
      <c r="G525" s="581">
        <f t="shared" si="41"/>
        <v>1108651.0000000002</v>
      </c>
      <c r="H525" s="33">
        <v>0</v>
      </c>
      <c r="I525" s="33">
        <v>0</v>
      </c>
      <c r="J525" s="33">
        <v>0</v>
      </c>
      <c r="K525" s="33">
        <f t="shared" si="38"/>
        <v>8170.49</v>
      </c>
      <c r="L525" s="33">
        <f t="shared" si="39"/>
        <v>44169.75</v>
      </c>
      <c r="M525" s="33">
        <f t="shared" si="40"/>
        <v>1056310.7600000002</v>
      </c>
      <c r="N525" s="235">
        <f t="shared" si="42"/>
        <v>0</v>
      </c>
      <c r="O525" s="35" t="s">
        <v>3327</v>
      </c>
      <c r="P525" s="35"/>
      <c r="Q525" s="39">
        <f>SUMIF('Antelope Bailey Split BA'!$B$7:$B$29,B525,'Antelope Bailey Split BA'!$C$7:$C$29)</f>
        <v>0</v>
      </c>
      <c r="R525" s="39" t="str">
        <f>IF(AND(Q525=1,'Plant Total by Account'!$J$1=2),"EKWRA","")</f>
        <v/>
      </c>
    </row>
    <row r="526" spans="1:18" x14ac:dyDescent="0.2">
      <c r="A526" s="31" t="s">
        <v>3055</v>
      </c>
      <c r="B526" s="36" t="s">
        <v>648</v>
      </c>
      <c r="C526" s="504" t="s">
        <v>3352</v>
      </c>
      <c r="D526" s="42">
        <v>1511.51</v>
      </c>
      <c r="E526" s="42">
        <v>96111.7</v>
      </c>
      <c r="F526" s="42">
        <v>2683311.9999999986</v>
      </c>
      <c r="G526" s="581">
        <f t="shared" si="41"/>
        <v>2780935.2099999986</v>
      </c>
      <c r="H526" s="33">
        <v>0</v>
      </c>
      <c r="I526" s="33">
        <v>0</v>
      </c>
      <c r="J526" s="33">
        <v>0</v>
      </c>
      <c r="K526" s="33">
        <f t="shared" si="38"/>
        <v>1511.51</v>
      </c>
      <c r="L526" s="33">
        <f t="shared" si="39"/>
        <v>96111.7</v>
      </c>
      <c r="M526" s="33">
        <f t="shared" si="40"/>
        <v>2683311.9999999986</v>
      </c>
      <c r="N526" s="235">
        <f t="shared" si="42"/>
        <v>0</v>
      </c>
      <c r="O526" s="35" t="s">
        <v>3327</v>
      </c>
      <c r="P526" s="35"/>
      <c r="Q526" s="39">
        <f>SUMIF('Antelope Bailey Split BA'!$B$7:$B$29,B526,'Antelope Bailey Split BA'!$C$7:$C$29)</f>
        <v>0</v>
      </c>
      <c r="R526" s="39" t="str">
        <f>IF(AND(Q526=1,'Plant Total by Account'!$J$1=2),"EKWRA","")</f>
        <v/>
      </c>
    </row>
    <row r="527" spans="1:18" x14ac:dyDescent="0.2">
      <c r="A527" s="31" t="s">
        <v>3056</v>
      </c>
      <c r="B527" s="36" t="s">
        <v>649</v>
      </c>
      <c r="C527" s="504" t="s">
        <v>3353</v>
      </c>
      <c r="D527" s="42">
        <v>1790.1000000000001</v>
      </c>
      <c r="E527" s="42">
        <v>4548.21</v>
      </c>
      <c r="F527" s="42">
        <v>567421.46</v>
      </c>
      <c r="G527" s="581">
        <f t="shared" si="41"/>
        <v>573759.77</v>
      </c>
      <c r="H527" s="33">
        <v>0</v>
      </c>
      <c r="I527" s="33">
        <v>0</v>
      </c>
      <c r="J527" s="33">
        <v>0</v>
      </c>
      <c r="K527" s="33">
        <f t="shared" ref="K527:K590" si="43">D527</f>
        <v>1790.1000000000001</v>
      </c>
      <c r="L527" s="33">
        <f t="shared" ref="L527:L590" si="44">E527</f>
        <v>4548.21</v>
      </c>
      <c r="M527" s="33">
        <f t="shared" ref="M527:M590" si="45">F527</f>
        <v>567421.46</v>
      </c>
      <c r="N527" s="235">
        <f t="shared" si="42"/>
        <v>0</v>
      </c>
      <c r="O527" s="35" t="s">
        <v>3327</v>
      </c>
      <c r="P527" s="35"/>
      <c r="Q527" s="39">
        <f>SUMIF('Antelope Bailey Split BA'!$B$7:$B$29,B527,'Antelope Bailey Split BA'!$C$7:$C$29)</f>
        <v>0</v>
      </c>
      <c r="R527" s="39" t="str">
        <f>IF(AND(Q527=1,'Plant Total by Account'!$J$1=2),"EKWRA","")</f>
        <v/>
      </c>
    </row>
    <row r="528" spans="1:18" x14ac:dyDescent="0.2">
      <c r="A528" s="31" t="s">
        <v>3057</v>
      </c>
      <c r="B528" s="36" t="s">
        <v>650</v>
      </c>
      <c r="C528" s="504" t="s">
        <v>3352</v>
      </c>
      <c r="D528" s="42">
        <v>15753.59</v>
      </c>
      <c r="E528" s="42">
        <v>47377.17</v>
      </c>
      <c r="F528" s="42">
        <v>871616.18999999983</v>
      </c>
      <c r="G528" s="581">
        <f t="shared" si="41"/>
        <v>934746.94999999984</v>
      </c>
      <c r="H528" s="33">
        <v>0</v>
      </c>
      <c r="I528" s="33">
        <v>0</v>
      </c>
      <c r="J528" s="33">
        <v>0</v>
      </c>
      <c r="K528" s="33">
        <f t="shared" si="43"/>
        <v>15753.59</v>
      </c>
      <c r="L528" s="33">
        <f t="shared" si="44"/>
        <v>47377.17</v>
      </c>
      <c r="M528" s="33">
        <f t="shared" si="45"/>
        <v>871616.18999999983</v>
      </c>
      <c r="N528" s="235">
        <f t="shared" si="42"/>
        <v>0</v>
      </c>
      <c r="O528" s="35" t="s">
        <v>3327</v>
      </c>
      <c r="P528" s="35"/>
      <c r="Q528" s="39">
        <f>SUMIF('Antelope Bailey Split BA'!$B$7:$B$29,B528,'Antelope Bailey Split BA'!$C$7:$C$29)</f>
        <v>0</v>
      </c>
      <c r="R528" s="39" t="str">
        <f>IF(AND(Q528=1,'Plant Total by Account'!$J$1=2),"EKWRA","")</f>
        <v/>
      </c>
    </row>
    <row r="529" spans="1:18" x14ac:dyDescent="0.2">
      <c r="A529" s="31" t="s">
        <v>3058</v>
      </c>
      <c r="B529" s="36" t="s">
        <v>651</v>
      </c>
      <c r="C529" s="504" t="s">
        <v>3352</v>
      </c>
      <c r="D529" s="42">
        <v>2736.07</v>
      </c>
      <c r="E529" s="42">
        <v>64612.72</v>
      </c>
      <c r="F529" s="42">
        <v>1184227.0700000008</v>
      </c>
      <c r="G529" s="581">
        <f t="shared" si="41"/>
        <v>1251575.8600000008</v>
      </c>
      <c r="H529" s="33">
        <v>0</v>
      </c>
      <c r="I529" s="33">
        <v>0</v>
      </c>
      <c r="J529" s="33">
        <v>0</v>
      </c>
      <c r="K529" s="33">
        <f t="shared" si="43"/>
        <v>2736.07</v>
      </c>
      <c r="L529" s="33">
        <f t="shared" si="44"/>
        <v>64612.72</v>
      </c>
      <c r="M529" s="33">
        <f t="shared" si="45"/>
        <v>1184227.0700000008</v>
      </c>
      <c r="N529" s="235">
        <f t="shared" si="42"/>
        <v>0</v>
      </c>
      <c r="O529" s="35" t="s">
        <v>3327</v>
      </c>
      <c r="P529" s="35"/>
      <c r="Q529" s="39">
        <f>SUMIF('Antelope Bailey Split BA'!$B$7:$B$29,B529,'Antelope Bailey Split BA'!$C$7:$C$29)</f>
        <v>0</v>
      </c>
      <c r="R529" s="39" t="str">
        <f>IF(AND(Q529=1,'Plant Total by Account'!$J$1=2),"EKWRA","")</f>
        <v/>
      </c>
    </row>
    <row r="530" spans="1:18" x14ac:dyDescent="0.2">
      <c r="A530" s="31" t="s">
        <v>3059</v>
      </c>
      <c r="B530" s="36" t="s">
        <v>652</v>
      </c>
      <c r="C530" s="504" t="s">
        <v>3353</v>
      </c>
      <c r="D530" s="42">
        <v>2066.4300000000003</v>
      </c>
      <c r="E530" s="42">
        <v>63464.920000000006</v>
      </c>
      <c r="F530" s="42">
        <v>629463.57000000007</v>
      </c>
      <c r="G530" s="581">
        <f t="shared" si="41"/>
        <v>694994.92</v>
      </c>
      <c r="H530" s="33">
        <v>0</v>
      </c>
      <c r="I530" s="33">
        <v>0</v>
      </c>
      <c r="J530" s="33">
        <v>0</v>
      </c>
      <c r="K530" s="33">
        <f t="shared" si="43"/>
        <v>2066.4300000000003</v>
      </c>
      <c r="L530" s="33">
        <f t="shared" si="44"/>
        <v>63464.920000000006</v>
      </c>
      <c r="M530" s="33">
        <f t="shared" si="45"/>
        <v>629463.57000000007</v>
      </c>
      <c r="N530" s="235">
        <f t="shared" si="42"/>
        <v>0</v>
      </c>
      <c r="O530" s="35" t="s">
        <v>3327</v>
      </c>
      <c r="P530" s="35"/>
      <c r="Q530" s="39">
        <f>SUMIF('Antelope Bailey Split BA'!$B$7:$B$29,B530,'Antelope Bailey Split BA'!$C$7:$C$29)</f>
        <v>0</v>
      </c>
      <c r="R530" s="39" t="str">
        <f>IF(AND(Q530=1,'Plant Total by Account'!$J$1=2),"EKWRA","")</f>
        <v/>
      </c>
    </row>
    <row r="531" spans="1:18" x14ac:dyDescent="0.2">
      <c r="A531" s="31" t="s">
        <v>3060</v>
      </c>
      <c r="B531" s="36" t="s">
        <v>653</v>
      </c>
      <c r="C531" s="504" t="s">
        <v>3352</v>
      </c>
      <c r="D531" s="42">
        <v>1533.1500000000003</v>
      </c>
      <c r="E531" s="42">
        <v>21313.59</v>
      </c>
      <c r="F531" s="42">
        <v>700747.27000000025</v>
      </c>
      <c r="G531" s="581">
        <f t="shared" si="41"/>
        <v>723594.01000000024</v>
      </c>
      <c r="H531" s="33">
        <v>0</v>
      </c>
      <c r="I531" s="33">
        <v>0</v>
      </c>
      <c r="J531" s="33">
        <v>0</v>
      </c>
      <c r="K531" s="33">
        <f t="shared" si="43"/>
        <v>1533.1500000000003</v>
      </c>
      <c r="L531" s="33">
        <f t="shared" si="44"/>
        <v>21313.59</v>
      </c>
      <c r="M531" s="33">
        <f t="shared" si="45"/>
        <v>700747.27000000025</v>
      </c>
      <c r="N531" s="235">
        <f t="shared" si="42"/>
        <v>0</v>
      </c>
      <c r="O531" s="35" t="s">
        <v>3327</v>
      </c>
      <c r="P531" s="35"/>
      <c r="Q531" s="39">
        <f>SUMIF('Antelope Bailey Split BA'!$B$7:$B$29,B531,'Antelope Bailey Split BA'!$C$7:$C$29)</f>
        <v>0</v>
      </c>
      <c r="R531" s="39" t="str">
        <f>IF(AND(Q531=1,'Plant Total by Account'!$J$1=2),"EKWRA","")</f>
        <v/>
      </c>
    </row>
    <row r="532" spans="1:18" x14ac:dyDescent="0.2">
      <c r="A532" s="31" t="s">
        <v>3061</v>
      </c>
      <c r="B532" s="36" t="s">
        <v>654</v>
      </c>
      <c r="C532" s="504" t="s">
        <v>3352</v>
      </c>
      <c r="D532" s="42">
        <v>2318.7400000000002</v>
      </c>
      <c r="E532" s="42">
        <v>81831.99000000002</v>
      </c>
      <c r="F532" s="42">
        <v>2851715.4000000004</v>
      </c>
      <c r="G532" s="581">
        <f t="shared" si="41"/>
        <v>2935866.1300000004</v>
      </c>
      <c r="H532" s="33">
        <v>0</v>
      </c>
      <c r="I532" s="33">
        <v>0</v>
      </c>
      <c r="J532" s="33">
        <v>0</v>
      </c>
      <c r="K532" s="33">
        <f t="shared" si="43"/>
        <v>2318.7400000000002</v>
      </c>
      <c r="L532" s="33">
        <f t="shared" si="44"/>
        <v>81831.99000000002</v>
      </c>
      <c r="M532" s="33">
        <f t="shared" si="45"/>
        <v>2851715.4000000004</v>
      </c>
      <c r="N532" s="235">
        <f t="shared" si="42"/>
        <v>0</v>
      </c>
      <c r="O532" s="35" t="s">
        <v>3327</v>
      </c>
      <c r="P532" s="35"/>
      <c r="Q532" s="39">
        <f>SUMIF('Antelope Bailey Split BA'!$B$7:$B$29,B532,'Antelope Bailey Split BA'!$C$7:$C$29)</f>
        <v>0</v>
      </c>
      <c r="R532" s="39" t="str">
        <f>IF(AND(Q532=1,'Plant Total by Account'!$J$1=2),"EKWRA","")</f>
        <v/>
      </c>
    </row>
    <row r="533" spans="1:18" x14ac:dyDescent="0.2">
      <c r="A533" s="31" t="s">
        <v>3062</v>
      </c>
      <c r="B533" s="36" t="s">
        <v>655</v>
      </c>
      <c r="C533" s="504" t="s">
        <v>3353</v>
      </c>
      <c r="D533" s="42">
        <v>176528.19000000003</v>
      </c>
      <c r="E533" s="42">
        <v>310770.24999999994</v>
      </c>
      <c r="F533" s="42">
        <v>1621784.37</v>
      </c>
      <c r="G533" s="581">
        <f t="shared" si="41"/>
        <v>2109082.81</v>
      </c>
      <c r="H533" s="33">
        <v>0</v>
      </c>
      <c r="I533" s="33">
        <v>0</v>
      </c>
      <c r="J533" s="33">
        <v>0</v>
      </c>
      <c r="K533" s="33">
        <f t="shared" si="43"/>
        <v>176528.19000000003</v>
      </c>
      <c r="L533" s="33">
        <f t="shared" si="44"/>
        <v>310770.24999999994</v>
      </c>
      <c r="M533" s="33">
        <f t="shared" si="45"/>
        <v>1621784.37</v>
      </c>
      <c r="N533" s="235">
        <f t="shared" si="42"/>
        <v>0</v>
      </c>
      <c r="O533" s="35" t="s">
        <v>3327</v>
      </c>
      <c r="P533" s="35"/>
      <c r="Q533" s="39">
        <f>SUMIF('Antelope Bailey Split BA'!$B$7:$B$29,B533,'Antelope Bailey Split BA'!$C$7:$C$29)</f>
        <v>0</v>
      </c>
      <c r="R533" s="39" t="str">
        <f>IF(AND(Q533=1,'Plant Total by Account'!$J$1=2),"EKWRA","")</f>
        <v/>
      </c>
    </row>
    <row r="534" spans="1:18" x14ac:dyDescent="0.2">
      <c r="A534" s="31" t="s">
        <v>3063</v>
      </c>
      <c r="B534" s="36" t="s">
        <v>656</v>
      </c>
      <c r="C534" s="504" t="s">
        <v>3353</v>
      </c>
      <c r="D534" s="42">
        <v>18869.22</v>
      </c>
      <c r="E534" s="42">
        <v>96246.16</v>
      </c>
      <c r="F534" s="42">
        <v>1717729.8200000008</v>
      </c>
      <c r="G534" s="581">
        <f t="shared" si="41"/>
        <v>1832845.2000000007</v>
      </c>
      <c r="H534" s="33">
        <v>0</v>
      </c>
      <c r="I534" s="33">
        <v>0</v>
      </c>
      <c r="J534" s="33">
        <v>0</v>
      </c>
      <c r="K534" s="33">
        <f t="shared" si="43"/>
        <v>18869.22</v>
      </c>
      <c r="L534" s="33">
        <f t="shared" si="44"/>
        <v>96246.16</v>
      </c>
      <c r="M534" s="33">
        <f t="shared" si="45"/>
        <v>1717729.8200000008</v>
      </c>
      <c r="N534" s="235">
        <f t="shared" si="42"/>
        <v>0</v>
      </c>
      <c r="O534" s="35" t="s">
        <v>3327</v>
      </c>
      <c r="P534" s="35"/>
      <c r="Q534" s="39">
        <f>SUMIF('Antelope Bailey Split BA'!$B$7:$B$29,B534,'Antelope Bailey Split BA'!$C$7:$C$29)</f>
        <v>0</v>
      </c>
      <c r="R534" s="39" t="str">
        <f>IF(AND(Q534=1,'Plant Total by Account'!$J$1=2),"EKWRA","")</f>
        <v/>
      </c>
    </row>
    <row r="535" spans="1:18" x14ac:dyDescent="0.2">
      <c r="A535" s="31" t="s">
        <v>2472</v>
      </c>
      <c r="B535" s="36" t="s">
        <v>657</v>
      </c>
      <c r="C535" s="504" t="s">
        <v>3352</v>
      </c>
      <c r="D535" s="42">
        <v>4643.79</v>
      </c>
      <c r="E535" s="42">
        <v>58873.470000000008</v>
      </c>
      <c r="F535" s="42">
        <v>795919.38000000035</v>
      </c>
      <c r="G535" s="581">
        <f t="shared" si="41"/>
        <v>859436.64000000036</v>
      </c>
      <c r="H535" s="33">
        <v>0</v>
      </c>
      <c r="I535" s="33">
        <v>0</v>
      </c>
      <c r="J535" s="33">
        <v>0</v>
      </c>
      <c r="K535" s="33">
        <f t="shared" si="43"/>
        <v>4643.79</v>
      </c>
      <c r="L535" s="33">
        <f t="shared" si="44"/>
        <v>58873.470000000008</v>
      </c>
      <c r="M535" s="33">
        <f t="shared" si="45"/>
        <v>795919.38000000035</v>
      </c>
      <c r="N535" s="235">
        <f t="shared" si="42"/>
        <v>0</v>
      </c>
      <c r="O535" s="35" t="s">
        <v>3327</v>
      </c>
      <c r="P535" s="35"/>
      <c r="Q535" s="39">
        <f>SUMIF('Antelope Bailey Split BA'!$B$7:$B$29,B535,'Antelope Bailey Split BA'!$C$7:$C$29)</f>
        <v>0</v>
      </c>
      <c r="R535" s="39" t="str">
        <f>IF(AND(Q535=1,'Plant Total by Account'!$J$1=2),"EKWRA","")</f>
        <v/>
      </c>
    </row>
    <row r="536" spans="1:18" x14ac:dyDescent="0.2">
      <c r="A536" s="31" t="s">
        <v>3064</v>
      </c>
      <c r="B536" s="36" t="s">
        <v>658</v>
      </c>
      <c r="C536" s="504" t="s">
        <v>3353</v>
      </c>
      <c r="D536" s="42">
        <v>0</v>
      </c>
      <c r="E536" s="42">
        <v>1433.44</v>
      </c>
      <c r="F536" s="42">
        <v>132865.18</v>
      </c>
      <c r="G536" s="581">
        <f t="shared" si="41"/>
        <v>134298.62</v>
      </c>
      <c r="H536" s="33">
        <v>0</v>
      </c>
      <c r="I536" s="33">
        <v>0</v>
      </c>
      <c r="J536" s="33">
        <v>0</v>
      </c>
      <c r="K536" s="33">
        <f t="shared" si="43"/>
        <v>0</v>
      </c>
      <c r="L536" s="33">
        <f t="shared" si="44"/>
        <v>1433.44</v>
      </c>
      <c r="M536" s="33">
        <f t="shared" si="45"/>
        <v>132865.18</v>
      </c>
      <c r="N536" s="235">
        <f t="shared" si="42"/>
        <v>0</v>
      </c>
      <c r="O536" s="35" t="s">
        <v>3327</v>
      </c>
      <c r="P536" s="35"/>
      <c r="Q536" s="39">
        <f>SUMIF('Antelope Bailey Split BA'!$B$7:$B$29,B536,'Antelope Bailey Split BA'!$C$7:$C$29)</f>
        <v>0</v>
      </c>
      <c r="R536" s="39" t="str">
        <f>IF(AND(Q536=1,'Plant Total by Account'!$J$1=2),"EKWRA","")</f>
        <v/>
      </c>
    </row>
    <row r="537" spans="1:18" x14ac:dyDescent="0.2">
      <c r="A537" s="31" t="s">
        <v>3065</v>
      </c>
      <c r="B537" s="36" t="s">
        <v>659</v>
      </c>
      <c r="C537" s="504" t="s">
        <v>3353</v>
      </c>
      <c r="D537" s="42">
        <v>0</v>
      </c>
      <c r="E537" s="42">
        <v>1441.24</v>
      </c>
      <c r="F537" s="42">
        <v>130906.82</v>
      </c>
      <c r="G537" s="581">
        <f t="shared" si="41"/>
        <v>132348.06</v>
      </c>
      <c r="H537" s="33">
        <v>0</v>
      </c>
      <c r="I537" s="33">
        <v>0</v>
      </c>
      <c r="J537" s="33">
        <v>0</v>
      </c>
      <c r="K537" s="33">
        <f t="shared" si="43"/>
        <v>0</v>
      </c>
      <c r="L537" s="33">
        <f t="shared" si="44"/>
        <v>1441.24</v>
      </c>
      <c r="M537" s="33">
        <f t="shared" si="45"/>
        <v>130906.82</v>
      </c>
      <c r="N537" s="235">
        <f t="shared" si="42"/>
        <v>0</v>
      </c>
      <c r="O537" s="35" t="s">
        <v>3327</v>
      </c>
      <c r="P537" s="35"/>
      <c r="Q537" s="39">
        <f>SUMIF('Antelope Bailey Split BA'!$B$7:$B$29,B537,'Antelope Bailey Split BA'!$C$7:$C$29)</f>
        <v>0</v>
      </c>
      <c r="R537" s="39" t="str">
        <f>IF(AND(Q537=1,'Plant Total by Account'!$J$1=2),"EKWRA","")</f>
        <v/>
      </c>
    </row>
    <row r="538" spans="1:18" x14ac:dyDescent="0.2">
      <c r="A538" s="31" t="s">
        <v>3066</v>
      </c>
      <c r="B538" s="36" t="s">
        <v>660</v>
      </c>
      <c r="C538" s="504" t="s">
        <v>3352</v>
      </c>
      <c r="D538" s="42">
        <v>11495.640000000001</v>
      </c>
      <c r="E538" s="42">
        <v>61360.709999999992</v>
      </c>
      <c r="F538" s="42">
        <v>1138612.1099999996</v>
      </c>
      <c r="G538" s="581">
        <f t="shared" si="41"/>
        <v>1211468.4599999997</v>
      </c>
      <c r="H538" s="33">
        <v>0</v>
      </c>
      <c r="I538" s="33">
        <v>0</v>
      </c>
      <c r="J538" s="33">
        <v>0</v>
      </c>
      <c r="K538" s="33">
        <f t="shared" si="43"/>
        <v>11495.640000000001</v>
      </c>
      <c r="L538" s="33">
        <f t="shared" si="44"/>
        <v>61360.709999999992</v>
      </c>
      <c r="M538" s="33">
        <f t="shared" si="45"/>
        <v>1138612.1099999996</v>
      </c>
      <c r="N538" s="235">
        <f t="shared" si="42"/>
        <v>0</v>
      </c>
      <c r="O538" s="35" t="s">
        <v>3327</v>
      </c>
      <c r="P538" s="35"/>
      <c r="Q538" s="39">
        <f>SUMIF('Antelope Bailey Split BA'!$B$7:$B$29,B538,'Antelope Bailey Split BA'!$C$7:$C$29)</f>
        <v>0</v>
      </c>
      <c r="R538" s="39" t="str">
        <f>IF(AND(Q538=1,'Plant Total by Account'!$J$1=2),"EKWRA","")</f>
        <v/>
      </c>
    </row>
    <row r="539" spans="1:18" x14ac:dyDescent="0.2">
      <c r="A539" s="31" t="s">
        <v>3067</v>
      </c>
      <c r="B539" s="36" t="s">
        <v>661</v>
      </c>
      <c r="C539" s="504" t="s">
        <v>3352</v>
      </c>
      <c r="D539" s="42">
        <v>0</v>
      </c>
      <c r="E539" s="42">
        <v>13108.18</v>
      </c>
      <c r="F539" s="42">
        <v>241188.69999999998</v>
      </c>
      <c r="G539" s="581">
        <f t="shared" si="41"/>
        <v>254296.87999999998</v>
      </c>
      <c r="H539" s="33">
        <v>0</v>
      </c>
      <c r="I539" s="33">
        <v>0</v>
      </c>
      <c r="J539" s="33">
        <v>0</v>
      </c>
      <c r="K539" s="33">
        <f t="shared" si="43"/>
        <v>0</v>
      </c>
      <c r="L539" s="33">
        <f t="shared" si="44"/>
        <v>13108.18</v>
      </c>
      <c r="M539" s="33">
        <f t="shared" si="45"/>
        <v>241188.69999999998</v>
      </c>
      <c r="N539" s="235">
        <f t="shared" si="42"/>
        <v>0</v>
      </c>
      <c r="O539" s="35" t="s">
        <v>3327</v>
      </c>
      <c r="P539" s="35"/>
      <c r="Q539" s="39">
        <f>SUMIF('Antelope Bailey Split BA'!$B$7:$B$29,B539,'Antelope Bailey Split BA'!$C$7:$C$29)</f>
        <v>0</v>
      </c>
      <c r="R539" s="39" t="str">
        <f>IF(AND(Q539=1,'Plant Total by Account'!$J$1=2),"EKWRA","")</f>
        <v/>
      </c>
    </row>
    <row r="540" spans="1:18" x14ac:dyDescent="0.2">
      <c r="A540" s="31" t="s">
        <v>3068</v>
      </c>
      <c r="B540" s="36" t="s">
        <v>662</v>
      </c>
      <c r="C540" s="504" t="s">
        <v>3353</v>
      </c>
      <c r="D540" s="42">
        <v>1000</v>
      </c>
      <c r="E540" s="42">
        <v>5047.3100000000004</v>
      </c>
      <c r="F540" s="42">
        <v>18017.61</v>
      </c>
      <c r="G540" s="581">
        <f t="shared" si="41"/>
        <v>24064.920000000002</v>
      </c>
      <c r="H540" s="33">
        <v>0</v>
      </c>
      <c r="I540" s="33">
        <v>0</v>
      </c>
      <c r="J540" s="33">
        <v>0</v>
      </c>
      <c r="K540" s="33">
        <f t="shared" si="43"/>
        <v>1000</v>
      </c>
      <c r="L540" s="33">
        <f t="shared" si="44"/>
        <v>5047.3100000000004</v>
      </c>
      <c r="M540" s="33">
        <f t="shared" si="45"/>
        <v>18017.61</v>
      </c>
      <c r="N540" s="235">
        <f t="shared" si="42"/>
        <v>0</v>
      </c>
      <c r="O540" s="35" t="s">
        <v>3327</v>
      </c>
      <c r="P540" s="35"/>
      <c r="Q540" s="39">
        <f>SUMIF('Antelope Bailey Split BA'!$B$7:$B$29,B540,'Antelope Bailey Split BA'!$C$7:$C$29)</f>
        <v>0</v>
      </c>
      <c r="R540" s="39" t="str">
        <f>IF(AND(Q540=1,'Plant Total by Account'!$J$1=2),"EKWRA","")</f>
        <v/>
      </c>
    </row>
    <row r="541" spans="1:18" x14ac:dyDescent="0.2">
      <c r="A541" s="31" t="s">
        <v>3069</v>
      </c>
      <c r="B541" s="36" t="s">
        <v>663</v>
      </c>
      <c r="C541" s="504" t="s">
        <v>3353</v>
      </c>
      <c r="D541" s="42">
        <v>21799.83</v>
      </c>
      <c r="E541" s="42">
        <v>63721.560000000005</v>
      </c>
      <c r="F541" s="42">
        <v>2166931.9900000002</v>
      </c>
      <c r="G541" s="581">
        <f t="shared" si="41"/>
        <v>2252453.3800000004</v>
      </c>
      <c r="H541" s="33">
        <v>0</v>
      </c>
      <c r="I541" s="33">
        <v>0</v>
      </c>
      <c r="J541" s="33">
        <v>0</v>
      </c>
      <c r="K541" s="33">
        <f t="shared" si="43"/>
        <v>21799.83</v>
      </c>
      <c r="L541" s="33">
        <f t="shared" si="44"/>
        <v>63721.560000000005</v>
      </c>
      <c r="M541" s="33">
        <f t="shared" si="45"/>
        <v>2166931.9900000002</v>
      </c>
      <c r="N541" s="235">
        <f t="shared" si="42"/>
        <v>0</v>
      </c>
      <c r="O541" s="35" t="s">
        <v>3327</v>
      </c>
      <c r="P541" s="35"/>
      <c r="Q541" s="39">
        <f>SUMIF('Antelope Bailey Split BA'!$B$7:$B$29,B541,'Antelope Bailey Split BA'!$C$7:$C$29)</f>
        <v>0</v>
      </c>
      <c r="R541" s="39" t="str">
        <f>IF(AND(Q541=1,'Plant Total by Account'!$J$1=2),"EKWRA","")</f>
        <v/>
      </c>
    </row>
    <row r="542" spans="1:18" x14ac:dyDescent="0.2">
      <c r="A542" s="31" t="s">
        <v>3070</v>
      </c>
      <c r="B542" s="36" t="s">
        <v>664</v>
      </c>
      <c r="C542" s="504" t="s">
        <v>3353</v>
      </c>
      <c r="D542" s="42">
        <v>109960.48000000001</v>
      </c>
      <c r="E542" s="42">
        <v>77220.990000000005</v>
      </c>
      <c r="F542" s="42">
        <v>837109.8400000002</v>
      </c>
      <c r="G542" s="581">
        <f t="shared" si="41"/>
        <v>1024291.3100000003</v>
      </c>
      <c r="H542" s="33">
        <v>0</v>
      </c>
      <c r="I542" s="33">
        <v>0</v>
      </c>
      <c r="J542" s="33">
        <v>0</v>
      </c>
      <c r="K542" s="33">
        <f t="shared" si="43"/>
        <v>109960.48000000001</v>
      </c>
      <c r="L542" s="33">
        <f t="shared" si="44"/>
        <v>77220.990000000005</v>
      </c>
      <c r="M542" s="33">
        <f t="shared" si="45"/>
        <v>837109.8400000002</v>
      </c>
      <c r="N542" s="235">
        <f t="shared" si="42"/>
        <v>0</v>
      </c>
      <c r="O542" s="35" t="s">
        <v>3327</v>
      </c>
      <c r="P542" s="35"/>
      <c r="Q542" s="39">
        <f>SUMIF('Antelope Bailey Split BA'!$B$7:$B$29,B542,'Antelope Bailey Split BA'!$C$7:$C$29)</f>
        <v>0</v>
      </c>
      <c r="R542" s="39" t="str">
        <f>IF(AND(Q542=1,'Plant Total by Account'!$J$1=2),"EKWRA","")</f>
        <v/>
      </c>
    </row>
    <row r="543" spans="1:18" x14ac:dyDescent="0.2">
      <c r="A543" s="31" t="s">
        <v>3071</v>
      </c>
      <c r="B543" s="36" t="s">
        <v>665</v>
      </c>
      <c r="C543" s="504" t="s">
        <v>3353</v>
      </c>
      <c r="D543" s="42">
        <v>149060.76999999999</v>
      </c>
      <c r="E543" s="42">
        <v>592659.87000000011</v>
      </c>
      <c r="F543" s="42">
        <v>2536691.2900000028</v>
      </c>
      <c r="G543" s="581">
        <f t="shared" si="41"/>
        <v>3278411.930000003</v>
      </c>
      <c r="H543" s="33">
        <v>0</v>
      </c>
      <c r="I543" s="33">
        <v>0</v>
      </c>
      <c r="J543" s="33">
        <v>0</v>
      </c>
      <c r="K543" s="33">
        <f t="shared" si="43"/>
        <v>149060.76999999999</v>
      </c>
      <c r="L543" s="33">
        <f t="shared" si="44"/>
        <v>592659.87000000011</v>
      </c>
      <c r="M543" s="33">
        <f t="shared" si="45"/>
        <v>2536691.2900000028</v>
      </c>
      <c r="N543" s="235">
        <f t="shared" si="42"/>
        <v>0</v>
      </c>
      <c r="O543" s="35" t="s">
        <v>3327</v>
      </c>
      <c r="P543" s="35"/>
      <c r="Q543" s="39">
        <f>SUMIF('Antelope Bailey Split BA'!$B$7:$B$29,B543,'Antelope Bailey Split BA'!$C$7:$C$29)</f>
        <v>0</v>
      </c>
      <c r="R543" s="39" t="str">
        <f>IF(AND(Q543=1,'Plant Total by Account'!$J$1=2),"EKWRA","")</f>
        <v/>
      </c>
    </row>
    <row r="544" spans="1:18" x14ac:dyDescent="0.2">
      <c r="A544" s="31" t="s">
        <v>3072</v>
      </c>
      <c r="B544" s="36" t="s">
        <v>666</v>
      </c>
      <c r="C544" s="504" t="s">
        <v>3353</v>
      </c>
      <c r="D544" s="42">
        <v>23308.28</v>
      </c>
      <c r="E544" s="42">
        <v>193032.71000000002</v>
      </c>
      <c r="F544" s="42">
        <v>2396375.0200000009</v>
      </c>
      <c r="G544" s="581">
        <f t="shared" si="41"/>
        <v>2612716.0100000012</v>
      </c>
      <c r="H544" s="33">
        <v>0</v>
      </c>
      <c r="I544" s="33">
        <v>0</v>
      </c>
      <c r="J544" s="33">
        <v>0</v>
      </c>
      <c r="K544" s="33">
        <f t="shared" si="43"/>
        <v>23308.28</v>
      </c>
      <c r="L544" s="33">
        <f t="shared" si="44"/>
        <v>193032.71000000002</v>
      </c>
      <c r="M544" s="33">
        <f t="shared" si="45"/>
        <v>2396375.0200000009</v>
      </c>
      <c r="N544" s="235">
        <f t="shared" si="42"/>
        <v>0</v>
      </c>
      <c r="O544" s="35" t="s">
        <v>3327</v>
      </c>
      <c r="P544" s="35"/>
      <c r="Q544" s="39">
        <f>SUMIF('Antelope Bailey Split BA'!$B$7:$B$29,B544,'Antelope Bailey Split BA'!$C$7:$C$29)</f>
        <v>0</v>
      </c>
      <c r="R544" s="39" t="str">
        <f>IF(AND(Q544=1,'Plant Total by Account'!$J$1=2),"EKWRA","")</f>
        <v/>
      </c>
    </row>
    <row r="545" spans="1:18" x14ac:dyDescent="0.2">
      <c r="A545" s="31" t="s">
        <v>3073</v>
      </c>
      <c r="B545" s="36" t="s">
        <v>667</v>
      </c>
      <c r="C545" s="504" t="s">
        <v>3353</v>
      </c>
      <c r="D545" s="42">
        <v>5781.35</v>
      </c>
      <c r="E545" s="42">
        <v>127400.5</v>
      </c>
      <c r="F545" s="42">
        <v>2962481.0100000012</v>
      </c>
      <c r="G545" s="581">
        <f t="shared" si="41"/>
        <v>3095662.8600000013</v>
      </c>
      <c r="H545" s="33">
        <v>0</v>
      </c>
      <c r="I545" s="33">
        <v>0</v>
      </c>
      <c r="J545" s="33">
        <v>0</v>
      </c>
      <c r="K545" s="33">
        <f t="shared" si="43"/>
        <v>5781.35</v>
      </c>
      <c r="L545" s="33">
        <f t="shared" si="44"/>
        <v>127400.5</v>
      </c>
      <c r="M545" s="33">
        <f t="shared" si="45"/>
        <v>2962481.0100000012</v>
      </c>
      <c r="N545" s="235">
        <f t="shared" si="42"/>
        <v>0</v>
      </c>
      <c r="O545" s="35" t="s">
        <v>3327</v>
      </c>
      <c r="P545" s="35"/>
      <c r="Q545" s="39">
        <f>SUMIF('Antelope Bailey Split BA'!$B$7:$B$29,B545,'Antelope Bailey Split BA'!$C$7:$C$29)</f>
        <v>0</v>
      </c>
      <c r="R545" s="39" t="str">
        <f>IF(AND(Q545=1,'Plant Total by Account'!$J$1=2),"EKWRA","")</f>
        <v/>
      </c>
    </row>
    <row r="546" spans="1:18" x14ac:dyDescent="0.2">
      <c r="A546" s="31" t="s">
        <v>3074</v>
      </c>
      <c r="B546" s="36" t="s">
        <v>668</v>
      </c>
      <c r="C546" s="504" t="s">
        <v>3353</v>
      </c>
      <c r="D546" s="42">
        <v>36338.390000000007</v>
      </c>
      <c r="E546" s="42">
        <v>230383.47</v>
      </c>
      <c r="F546" s="42">
        <v>3686901.79</v>
      </c>
      <c r="G546" s="581">
        <f t="shared" si="41"/>
        <v>3953623.65</v>
      </c>
      <c r="H546" s="33">
        <v>0</v>
      </c>
      <c r="I546" s="33">
        <v>0</v>
      </c>
      <c r="J546" s="33">
        <v>0</v>
      </c>
      <c r="K546" s="33">
        <f t="shared" si="43"/>
        <v>36338.390000000007</v>
      </c>
      <c r="L546" s="33">
        <f t="shared" si="44"/>
        <v>230383.47</v>
      </c>
      <c r="M546" s="33">
        <f t="shared" si="45"/>
        <v>3686901.79</v>
      </c>
      <c r="N546" s="235">
        <f t="shared" si="42"/>
        <v>0</v>
      </c>
      <c r="O546" s="35" t="s">
        <v>3327</v>
      </c>
      <c r="P546" s="35"/>
      <c r="Q546" s="39">
        <f>SUMIF('Antelope Bailey Split BA'!$B$7:$B$29,B546,'Antelope Bailey Split BA'!$C$7:$C$29)</f>
        <v>0</v>
      </c>
      <c r="R546" s="39" t="str">
        <f>IF(AND(Q546=1,'Plant Total by Account'!$J$1=2),"EKWRA","")</f>
        <v/>
      </c>
    </row>
    <row r="547" spans="1:18" x14ac:dyDescent="0.2">
      <c r="A547" s="31" t="s">
        <v>3075</v>
      </c>
      <c r="B547" s="36" t="s">
        <v>669</v>
      </c>
      <c r="C547" s="504" t="s">
        <v>3353</v>
      </c>
      <c r="D547" s="42">
        <v>7071.6399999999994</v>
      </c>
      <c r="E547" s="42">
        <v>234428.72</v>
      </c>
      <c r="F547" s="42">
        <v>2580155.7199999988</v>
      </c>
      <c r="G547" s="581">
        <f t="shared" si="41"/>
        <v>2821656.0799999987</v>
      </c>
      <c r="H547" s="33">
        <v>0</v>
      </c>
      <c r="I547" s="33">
        <v>0</v>
      </c>
      <c r="J547" s="33">
        <v>0</v>
      </c>
      <c r="K547" s="33">
        <f t="shared" si="43"/>
        <v>7071.6399999999994</v>
      </c>
      <c r="L547" s="33">
        <f t="shared" si="44"/>
        <v>234428.72</v>
      </c>
      <c r="M547" s="33">
        <f t="shared" si="45"/>
        <v>2580155.7199999988</v>
      </c>
      <c r="N547" s="235">
        <f t="shared" si="42"/>
        <v>0</v>
      </c>
      <c r="O547" s="35" t="s">
        <v>3327</v>
      </c>
      <c r="P547" s="35"/>
      <c r="Q547" s="39">
        <f>SUMIF('Antelope Bailey Split BA'!$B$7:$B$29,B547,'Antelope Bailey Split BA'!$C$7:$C$29)</f>
        <v>0</v>
      </c>
      <c r="R547" s="39" t="str">
        <f>IF(AND(Q547=1,'Plant Total by Account'!$J$1=2),"EKWRA","")</f>
        <v/>
      </c>
    </row>
    <row r="548" spans="1:18" x14ac:dyDescent="0.2">
      <c r="A548" s="31" t="s">
        <v>3076</v>
      </c>
      <c r="B548" s="36" t="s">
        <v>670</v>
      </c>
      <c r="C548" s="504" t="s">
        <v>3353</v>
      </c>
      <c r="D548" s="42">
        <v>0</v>
      </c>
      <c r="E548" s="42">
        <v>6726.9800000000005</v>
      </c>
      <c r="F548" s="42">
        <v>222111.18999999997</v>
      </c>
      <c r="G548" s="581">
        <f t="shared" si="41"/>
        <v>228838.16999999998</v>
      </c>
      <c r="H548" s="33">
        <v>0</v>
      </c>
      <c r="I548" s="33">
        <v>0</v>
      </c>
      <c r="J548" s="33">
        <v>0</v>
      </c>
      <c r="K548" s="33">
        <f t="shared" si="43"/>
        <v>0</v>
      </c>
      <c r="L548" s="33">
        <f t="shared" si="44"/>
        <v>6726.9800000000005</v>
      </c>
      <c r="M548" s="33">
        <f t="shared" si="45"/>
        <v>222111.18999999997</v>
      </c>
      <c r="N548" s="235">
        <f t="shared" si="42"/>
        <v>0</v>
      </c>
      <c r="O548" s="35" t="s">
        <v>3327</v>
      </c>
      <c r="P548" s="35"/>
      <c r="Q548" s="39">
        <f>SUMIF('Antelope Bailey Split BA'!$B$7:$B$29,B548,'Antelope Bailey Split BA'!$C$7:$C$29)</f>
        <v>0</v>
      </c>
      <c r="R548" s="39" t="str">
        <f>IF(AND(Q548=1,'Plant Total by Account'!$J$1=2),"EKWRA","")</f>
        <v/>
      </c>
    </row>
    <row r="549" spans="1:18" x14ac:dyDescent="0.2">
      <c r="A549" s="31" t="s">
        <v>2473</v>
      </c>
      <c r="B549" s="36" t="s">
        <v>671</v>
      </c>
      <c r="C549" s="504" t="s">
        <v>3353</v>
      </c>
      <c r="D549" s="42">
        <v>65254.97</v>
      </c>
      <c r="E549" s="42">
        <v>87991.32</v>
      </c>
      <c r="F549" s="42">
        <v>1927694.0599999998</v>
      </c>
      <c r="G549" s="581">
        <f t="shared" si="41"/>
        <v>2080940.3499999999</v>
      </c>
      <c r="H549" s="33">
        <v>0</v>
      </c>
      <c r="I549" s="33">
        <v>0</v>
      </c>
      <c r="J549" s="33">
        <v>0</v>
      </c>
      <c r="K549" s="33">
        <f t="shared" si="43"/>
        <v>65254.97</v>
      </c>
      <c r="L549" s="33">
        <f t="shared" si="44"/>
        <v>87991.32</v>
      </c>
      <c r="M549" s="33">
        <f t="shared" si="45"/>
        <v>1927694.0599999998</v>
      </c>
      <c r="N549" s="235">
        <f t="shared" si="42"/>
        <v>0</v>
      </c>
      <c r="O549" s="35" t="s">
        <v>3327</v>
      </c>
      <c r="P549" s="35"/>
      <c r="Q549" s="39">
        <f>SUMIF('Antelope Bailey Split BA'!$B$7:$B$29,B549,'Antelope Bailey Split BA'!$C$7:$C$29)</f>
        <v>0</v>
      </c>
      <c r="R549" s="39" t="str">
        <f>IF(AND(Q549=1,'Plant Total by Account'!$J$1=2),"EKWRA","")</f>
        <v/>
      </c>
    </row>
    <row r="550" spans="1:18" x14ac:dyDescent="0.2">
      <c r="A550" s="31" t="s">
        <v>3077</v>
      </c>
      <c r="B550" s="36" t="s">
        <v>672</v>
      </c>
      <c r="C550" s="504" t="s">
        <v>3353</v>
      </c>
      <c r="D550" s="42">
        <v>0</v>
      </c>
      <c r="E550" s="42">
        <v>1520.59</v>
      </c>
      <c r="F550" s="42">
        <v>171607.43</v>
      </c>
      <c r="G550" s="581">
        <f t="shared" si="41"/>
        <v>173128.02</v>
      </c>
      <c r="H550" s="33">
        <v>0</v>
      </c>
      <c r="I550" s="33">
        <v>0</v>
      </c>
      <c r="J550" s="33">
        <v>0</v>
      </c>
      <c r="K550" s="33">
        <f t="shared" si="43"/>
        <v>0</v>
      </c>
      <c r="L550" s="33">
        <f t="shared" si="44"/>
        <v>1520.59</v>
      </c>
      <c r="M550" s="33">
        <f t="shared" si="45"/>
        <v>171607.43</v>
      </c>
      <c r="N550" s="235">
        <f t="shared" si="42"/>
        <v>0</v>
      </c>
      <c r="O550" s="35" t="s">
        <v>3327</v>
      </c>
      <c r="P550" s="35"/>
      <c r="Q550" s="39">
        <f>SUMIF('Antelope Bailey Split BA'!$B$7:$B$29,B550,'Antelope Bailey Split BA'!$C$7:$C$29)</f>
        <v>0</v>
      </c>
      <c r="R550" s="39" t="str">
        <f>IF(AND(Q550=1,'Plant Total by Account'!$J$1=2),"EKWRA","")</f>
        <v/>
      </c>
    </row>
    <row r="551" spans="1:18" x14ac:dyDescent="0.2">
      <c r="A551" s="31" t="s">
        <v>3078</v>
      </c>
      <c r="B551" s="36" t="s">
        <v>673</v>
      </c>
      <c r="C551" s="504" t="s">
        <v>3353</v>
      </c>
      <c r="D551" s="42">
        <v>0</v>
      </c>
      <c r="E551" s="42">
        <v>1643.8700000000001</v>
      </c>
      <c r="F551" s="42">
        <v>130774.96</v>
      </c>
      <c r="G551" s="581">
        <f t="shared" si="41"/>
        <v>132418.83000000002</v>
      </c>
      <c r="H551" s="33">
        <v>0</v>
      </c>
      <c r="I551" s="33">
        <v>0</v>
      </c>
      <c r="J551" s="33">
        <v>0</v>
      </c>
      <c r="K551" s="33">
        <f t="shared" si="43"/>
        <v>0</v>
      </c>
      <c r="L551" s="33">
        <f t="shared" si="44"/>
        <v>1643.8700000000001</v>
      </c>
      <c r="M551" s="33">
        <f t="shared" si="45"/>
        <v>130774.96</v>
      </c>
      <c r="N551" s="235">
        <f t="shared" si="42"/>
        <v>0</v>
      </c>
      <c r="O551" s="35" t="s">
        <v>3327</v>
      </c>
      <c r="P551" s="35"/>
      <c r="Q551" s="39">
        <f>SUMIF('Antelope Bailey Split BA'!$B$7:$B$29,B551,'Antelope Bailey Split BA'!$C$7:$C$29)</f>
        <v>0</v>
      </c>
      <c r="R551" s="39" t="str">
        <f>IF(AND(Q551=1,'Plant Total by Account'!$J$1=2),"EKWRA","")</f>
        <v/>
      </c>
    </row>
    <row r="552" spans="1:18" x14ac:dyDescent="0.2">
      <c r="A552" s="31" t="s">
        <v>3079</v>
      </c>
      <c r="B552" s="36" t="s">
        <v>674</v>
      </c>
      <c r="C552" s="504" t="s">
        <v>3353</v>
      </c>
      <c r="D552" s="42">
        <v>0</v>
      </c>
      <c r="E552" s="42">
        <v>0</v>
      </c>
      <c r="F552" s="42">
        <v>340368.75999999995</v>
      </c>
      <c r="G552" s="581">
        <f t="shared" si="41"/>
        <v>340368.75999999995</v>
      </c>
      <c r="H552" s="33">
        <v>0</v>
      </c>
      <c r="I552" s="33">
        <v>0</v>
      </c>
      <c r="J552" s="33">
        <v>0</v>
      </c>
      <c r="K552" s="33">
        <f t="shared" si="43"/>
        <v>0</v>
      </c>
      <c r="L552" s="33">
        <f t="shared" si="44"/>
        <v>0</v>
      </c>
      <c r="M552" s="33">
        <f t="shared" si="45"/>
        <v>340368.75999999995</v>
      </c>
      <c r="N552" s="235">
        <f t="shared" si="42"/>
        <v>0</v>
      </c>
      <c r="O552" s="35" t="s">
        <v>3327</v>
      </c>
      <c r="P552" s="35"/>
      <c r="Q552" s="39">
        <f>SUMIF('Antelope Bailey Split BA'!$B$7:$B$29,B552,'Antelope Bailey Split BA'!$C$7:$C$29)</f>
        <v>0</v>
      </c>
      <c r="R552" s="39" t="str">
        <f>IF(AND(Q552=1,'Plant Total by Account'!$J$1=2),"EKWRA","")</f>
        <v/>
      </c>
    </row>
    <row r="553" spans="1:18" x14ac:dyDescent="0.2">
      <c r="A553" s="31" t="s">
        <v>3080</v>
      </c>
      <c r="B553" s="36" t="s">
        <v>675</v>
      </c>
      <c r="C553" s="504" t="s">
        <v>3353</v>
      </c>
      <c r="D553" s="42">
        <v>29526.28</v>
      </c>
      <c r="E553" s="42">
        <v>4031.68</v>
      </c>
      <c r="F553" s="42">
        <v>252724.1</v>
      </c>
      <c r="G553" s="581">
        <f t="shared" si="41"/>
        <v>286282.06</v>
      </c>
      <c r="H553" s="33">
        <v>0</v>
      </c>
      <c r="I553" s="33">
        <v>0</v>
      </c>
      <c r="J553" s="33">
        <v>0</v>
      </c>
      <c r="K553" s="33">
        <f t="shared" si="43"/>
        <v>29526.28</v>
      </c>
      <c r="L553" s="33">
        <f t="shared" si="44"/>
        <v>4031.68</v>
      </c>
      <c r="M553" s="33">
        <f t="shared" si="45"/>
        <v>252724.1</v>
      </c>
      <c r="N553" s="235">
        <f t="shared" si="42"/>
        <v>0</v>
      </c>
      <c r="O553" s="35" t="s">
        <v>3327</v>
      </c>
      <c r="P553" s="35"/>
      <c r="Q553" s="39">
        <f>SUMIF('Antelope Bailey Split BA'!$B$7:$B$29,B553,'Antelope Bailey Split BA'!$C$7:$C$29)</f>
        <v>0</v>
      </c>
      <c r="R553" s="39" t="str">
        <f>IF(AND(Q553=1,'Plant Total by Account'!$J$1=2),"EKWRA","")</f>
        <v/>
      </c>
    </row>
    <row r="554" spans="1:18" x14ac:dyDescent="0.2">
      <c r="A554" s="31" t="s">
        <v>3081</v>
      </c>
      <c r="B554" s="36" t="s">
        <v>676</v>
      </c>
      <c r="C554" s="504" t="s">
        <v>3352</v>
      </c>
      <c r="D554" s="42">
        <v>21724.79</v>
      </c>
      <c r="E554" s="42">
        <v>146530.18000000002</v>
      </c>
      <c r="F554" s="42">
        <v>733358.38000000012</v>
      </c>
      <c r="G554" s="581">
        <f t="shared" si="41"/>
        <v>901613.35000000009</v>
      </c>
      <c r="H554" s="33">
        <v>0</v>
      </c>
      <c r="I554" s="33">
        <v>0</v>
      </c>
      <c r="J554" s="33">
        <v>0</v>
      </c>
      <c r="K554" s="33">
        <f t="shared" si="43"/>
        <v>21724.79</v>
      </c>
      <c r="L554" s="33">
        <f t="shared" si="44"/>
        <v>146530.18000000002</v>
      </c>
      <c r="M554" s="33">
        <f t="shared" si="45"/>
        <v>733358.38000000012</v>
      </c>
      <c r="N554" s="235">
        <f t="shared" si="42"/>
        <v>0</v>
      </c>
      <c r="O554" s="35" t="s">
        <v>3327</v>
      </c>
      <c r="P554" s="35"/>
      <c r="Q554" s="39">
        <f>SUMIF('Antelope Bailey Split BA'!$B$7:$B$29,B554,'Antelope Bailey Split BA'!$C$7:$C$29)</f>
        <v>0</v>
      </c>
      <c r="R554" s="39" t="str">
        <f>IF(AND(Q554=1,'Plant Total by Account'!$J$1=2),"EKWRA","")</f>
        <v/>
      </c>
    </row>
    <row r="555" spans="1:18" x14ac:dyDescent="0.2">
      <c r="A555" s="31" t="s">
        <v>3082</v>
      </c>
      <c r="B555" s="36" t="s">
        <v>677</v>
      </c>
      <c r="C555" s="504" t="s">
        <v>3352</v>
      </c>
      <c r="D555" s="42">
        <v>1227.49</v>
      </c>
      <c r="E555" s="42">
        <v>58662.65</v>
      </c>
      <c r="F555" s="42">
        <v>465678.66000000015</v>
      </c>
      <c r="G555" s="581">
        <f t="shared" si="41"/>
        <v>525568.80000000016</v>
      </c>
      <c r="H555" s="33">
        <v>0</v>
      </c>
      <c r="I555" s="33">
        <v>0</v>
      </c>
      <c r="J555" s="33">
        <v>0</v>
      </c>
      <c r="K555" s="33">
        <f t="shared" si="43"/>
        <v>1227.49</v>
      </c>
      <c r="L555" s="33">
        <f t="shared" si="44"/>
        <v>58662.65</v>
      </c>
      <c r="M555" s="33">
        <f t="shared" si="45"/>
        <v>465678.66000000015</v>
      </c>
      <c r="N555" s="235">
        <f t="shared" si="42"/>
        <v>0</v>
      </c>
      <c r="O555" s="35" t="s">
        <v>3327</v>
      </c>
      <c r="P555" s="35"/>
      <c r="Q555" s="39">
        <f>SUMIF('Antelope Bailey Split BA'!$B$7:$B$29,B555,'Antelope Bailey Split BA'!$C$7:$C$29)</f>
        <v>0</v>
      </c>
      <c r="R555" s="39" t="str">
        <f>IF(AND(Q555=1,'Plant Total by Account'!$J$1=2),"EKWRA","")</f>
        <v/>
      </c>
    </row>
    <row r="556" spans="1:18" x14ac:dyDescent="0.2">
      <c r="A556" s="31" t="s">
        <v>3083</v>
      </c>
      <c r="B556" s="36" t="s">
        <v>678</v>
      </c>
      <c r="C556" s="504" t="s">
        <v>3353</v>
      </c>
      <c r="D556" s="42">
        <v>96151.010000000009</v>
      </c>
      <c r="E556" s="42">
        <v>143634.74</v>
      </c>
      <c r="F556" s="42">
        <v>2163669.4099999992</v>
      </c>
      <c r="G556" s="581">
        <f t="shared" si="41"/>
        <v>2403455.1599999992</v>
      </c>
      <c r="H556" s="33">
        <v>0</v>
      </c>
      <c r="I556" s="33">
        <v>0</v>
      </c>
      <c r="J556" s="33">
        <v>0</v>
      </c>
      <c r="K556" s="33">
        <f t="shared" si="43"/>
        <v>96151.010000000009</v>
      </c>
      <c r="L556" s="33">
        <f t="shared" si="44"/>
        <v>143634.74</v>
      </c>
      <c r="M556" s="33">
        <f t="shared" si="45"/>
        <v>2163669.4099999992</v>
      </c>
      <c r="N556" s="235">
        <f t="shared" si="42"/>
        <v>0</v>
      </c>
      <c r="O556" s="35" t="s">
        <v>3327</v>
      </c>
      <c r="P556" s="35"/>
      <c r="Q556" s="39">
        <f>SUMIF('Antelope Bailey Split BA'!$B$7:$B$29,B556,'Antelope Bailey Split BA'!$C$7:$C$29)</f>
        <v>0</v>
      </c>
      <c r="R556" s="39" t="str">
        <f>IF(AND(Q556=1,'Plant Total by Account'!$J$1=2),"EKWRA","")</f>
        <v/>
      </c>
    </row>
    <row r="557" spans="1:18" x14ac:dyDescent="0.2">
      <c r="A557" s="31" t="s">
        <v>3084</v>
      </c>
      <c r="B557" s="36" t="s">
        <v>679</v>
      </c>
      <c r="C557" s="504" t="s">
        <v>3353</v>
      </c>
      <c r="D557" s="42">
        <v>7528.7</v>
      </c>
      <c r="E557" s="42">
        <v>50955.11</v>
      </c>
      <c r="F557" s="42">
        <v>1658467.15</v>
      </c>
      <c r="G557" s="581">
        <f t="shared" si="41"/>
        <v>1716950.96</v>
      </c>
      <c r="H557" s="33">
        <v>0</v>
      </c>
      <c r="I557" s="33">
        <v>0</v>
      </c>
      <c r="J557" s="33">
        <v>0</v>
      </c>
      <c r="K557" s="33">
        <f t="shared" si="43"/>
        <v>7528.7</v>
      </c>
      <c r="L557" s="33">
        <f t="shared" si="44"/>
        <v>50955.11</v>
      </c>
      <c r="M557" s="33">
        <f t="shared" si="45"/>
        <v>1658467.15</v>
      </c>
      <c r="N557" s="235">
        <f t="shared" si="42"/>
        <v>0</v>
      </c>
      <c r="O557" s="35" t="s">
        <v>3327</v>
      </c>
      <c r="P557" s="35"/>
      <c r="Q557" s="39">
        <f>SUMIF('Antelope Bailey Split BA'!$B$7:$B$29,B557,'Antelope Bailey Split BA'!$C$7:$C$29)</f>
        <v>0</v>
      </c>
      <c r="R557" s="39" t="str">
        <f>IF(AND(Q557=1,'Plant Total by Account'!$J$1=2),"EKWRA","")</f>
        <v/>
      </c>
    </row>
    <row r="558" spans="1:18" x14ac:dyDescent="0.2">
      <c r="A558" s="31" t="s">
        <v>3085</v>
      </c>
      <c r="B558" s="36" t="s">
        <v>680</v>
      </c>
      <c r="C558" s="504" t="s">
        <v>3352</v>
      </c>
      <c r="D558" s="42">
        <v>1200.31</v>
      </c>
      <c r="E558" s="42">
        <v>15801.380000000001</v>
      </c>
      <c r="F558" s="42">
        <v>991591.43999999971</v>
      </c>
      <c r="G558" s="581">
        <f t="shared" si="41"/>
        <v>1008593.1299999997</v>
      </c>
      <c r="H558" s="33">
        <v>0</v>
      </c>
      <c r="I558" s="33">
        <v>0</v>
      </c>
      <c r="J558" s="33">
        <v>0</v>
      </c>
      <c r="K558" s="33">
        <f t="shared" si="43"/>
        <v>1200.31</v>
      </c>
      <c r="L558" s="33">
        <f t="shared" si="44"/>
        <v>15801.380000000001</v>
      </c>
      <c r="M558" s="33">
        <f t="shared" si="45"/>
        <v>991591.43999999971</v>
      </c>
      <c r="N558" s="235">
        <f t="shared" si="42"/>
        <v>0</v>
      </c>
      <c r="O558" s="35" t="s">
        <v>3327</v>
      </c>
      <c r="P558" s="35"/>
      <c r="Q558" s="39">
        <f>SUMIF('Antelope Bailey Split BA'!$B$7:$B$29,B558,'Antelope Bailey Split BA'!$C$7:$C$29)</f>
        <v>0</v>
      </c>
      <c r="R558" s="39" t="str">
        <f>IF(AND(Q558=1,'Plant Total by Account'!$J$1=2),"EKWRA","")</f>
        <v/>
      </c>
    </row>
    <row r="559" spans="1:18" x14ac:dyDescent="0.2">
      <c r="A559" s="31" t="s">
        <v>3086</v>
      </c>
      <c r="B559" s="36" t="s">
        <v>681</v>
      </c>
      <c r="C559" s="504" t="s">
        <v>3353</v>
      </c>
      <c r="D559" s="42">
        <v>11216.269999999999</v>
      </c>
      <c r="E559" s="42">
        <v>387695.25</v>
      </c>
      <c r="F559" s="42">
        <v>6100920.1400000006</v>
      </c>
      <c r="G559" s="581">
        <f t="shared" si="41"/>
        <v>6499831.6600000001</v>
      </c>
      <c r="H559" s="33">
        <v>0</v>
      </c>
      <c r="I559" s="33">
        <v>0</v>
      </c>
      <c r="J559" s="33">
        <v>0</v>
      </c>
      <c r="K559" s="33">
        <f t="shared" si="43"/>
        <v>11216.269999999999</v>
      </c>
      <c r="L559" s="33">
        <f t="shared" si="44"/>
        <v>387695.25</v>
      </c>
      <c r="M559" s="33">
        <f t="shared" si="45"/>
        <v>6100920.1400000006</v>
      </c>
      <c r="N559" s="235">
        <f t="shared" si="42"/>
        <v>0</v>
      </c>
      <c r="O559" s="35" t="s">
        <v>3327</v>
      </c>
      <c r="P559" s="35"/>
      <c r="Q559" s="39">
        <f>SUMIF('Antelope Bailey Split BA'!$B$7:$B$29,B559,'Antelope Bailey Split BA'!$C$7:$C$29)</f>
        <v>0</v>
      </c>
      <c r="R559" s="39" t="str">
        <f>IF(AND(Q559=1,'Plant Total by Account'!$J$1=2),"EKWRA","")</f>
        <v/>
      </c>
    </row>
    <row r="560" spans="1:18" x14ac:dyDescent="0.2">
      <c r="A560" s="31" t="s">
        <v>3087</v>
      </c>
      <c r="B560" s="36" t="s">
        <v>682</v>
      </c>
      <c r="C560" s="504" t="s">
        <v>3353</v>
      </c>
      <c r="D560" s="42">
        <v>22376.61</v>
      </c>
      <c r="E560" s="42">
        <v>75712.930000000008</v>
      </c>
      <c r="F560" s="42">
        <v>3238830.8499999982</v>
      </c>
      <c r="G560" s="581">
        <f t="shared" si="41"/>
        <v>3336920.3899999983</v>
      </c>
      <c r="H560" s="33">
        <v>0</v>
      </c>
      <c r="I560" s="33">
        <v>0</v>
      </c>
      <c r="J560" s="33">
        <v>0</v>
      </c>
      <c r="K560" s="33">
        <f t="shared" si="43"/>
        <v>22376.61</v>
      </c>
      <c r="L560" s="33">
        <f t="shared" si="44"/>
        <v>75712.930000000008</v>
      </c>
      <c r="M560" s="33">
        <f t="shared" si="45"/>
        <v>3238830.8499999982</v>
      </c>
      <c r="N560" s="235">
        <f t="shared" si="42"/>
        <v>0</v>
      </c>
      <c r="O560" s="35" t="s">
        <v>3327</v>
      </c>
      <c r="P560" s="35"/>
      <c r="Q560" s="39">
        <f>SUMIF('Antelope Bailey Split BA'!$B$7:$B$29,B560,'Antelope Bailey Split BA'!$C$7:$C$29)</f>
        <v>0</v>
      </c>
      <c r="R560" s="39" t="str">
        <f>IF(AND(Q560=1,'Plant Total by Account'!$J$1=2),"EKWRA","")</f>
        <v/>
      </c>
    </row>
    <row r="561" spans="1:18" x14ac:dyDescent="0.2">
      <c r="A561" s="31" t="s">
        <v>3088</v>
      </c>
      <c r="B561" s="36" t="s">
        <v>683</v>
      </c>
      <c r="C561" s="504" t="s">
        <v>3353</v>
      </c>
      <c r="D561" s="42">
        <v>0</v>
      </c>
      <c r="E561" s="42">
        <v>12378.95</v>
      </c>
      <c r="F561" s="42">
        <v>282870.90999999992</v>
      </c>
      <c r="G561" s="581">
        <f t="shared" si="41"/>
        <v>295249.85999999993</v>
      </c>
      <c r="H561" s="33">
        <v>0</v>
      </c>
      <c r="I561" s="33">
        <v>0</v>
      </c>
      <c r="J561" s="33">
        <v>0</v>
      </c>
      <c r="K561" s="33">
        <f t="shared" si="43"/>
        <v>0</v>
      </c>
      <c r="L561" s="33">
        <f t="shared" si="44"/>
        <v>12378.95</v>
      </c>
      <c r="M561" s="33">
        <f t="shared" si="45"/>
        <v>282870.90999999992</v>
      </c>
      <c r="N561" s="235">
        <f t="shared" si="42"/>
        <v>0</v>
      </c>
      <c r="O561" s="35" t="s">
        <v>3327</v>
      </c>
      <c r="P561" s="35"/>
      <c r="Q561" s="39">
        <f>SUMIF('Antelope Bailey Split BA'!$B$7:$B$29,B561,'Antelope Bailey Split BA'!$C$7:$C$29)</f>
        <v>0</v>
      </c>
      <c r="R561" s="39" t="str">
        <f>IF(AND(Q561=1,'Plant Total by Account'!$J$1=2),"EKWRA","")</f>
        <v/>
      </c>
    </row>
    <row r="562" spans="1:18" x14ac:dyDescent="0.2">
      <c r="A562" s="31" t="s">
        <v>3089</v>
      </c>
      <c r="B562" s="36" t="s">
        <v>684</v>
      </c>
      <c r="C562" s="504" t="s">
        <v>3352</v>
      </c>
      <c r="D562" s="42">
        <v>2942.93</v>
      </c>
      <c r="E562" s="42">
        <v>38358.379999999997</v>
      </c>
      <c r="F562" s="42">
        <v>475038.32</v>
      </c>
      <c r="G562" s="581">
        <f t="shared" si="41"/>
        <v>516339.63</v>
      </c>
      <c r="H562" s="33">
        <v>0</v>
      </c>
      <c r="I562" s="33">
        <v>0</v>
      </c>
      <c r="J562" s="33">
        <v>0</v>
      </c>
      <c r="K562" s="33">
        <f t="shared" si="43"/>
        <v>2942.93</v>
      </c>
      <c r="L562" s="33">
        <f t="shared" si="44"/>
        <v>38358.379999999997</v>
      </c>
      <c r="M562" s="33">
        <f t="shared" si="45"/>
        <v>475038.32</v>
      </c>
      <c r="N562" s="235">
        <f t="shared" si="42"/>
        <v>0</v>
      </c>
      <c r="O562" s="35" t="s">
        <v>3327</v>
      </c>
      <c r="P562" s="35"/>
      <c r="Q562" s="39">
        <f>SUMIF('Antelope Bailey Split BA'!$B$7:$B$29,B562,'Antelope Bailey Split BA'!$C$7:$C$29)</f>
        <v>0</v>
      </c>
      <c r="R562" s="39" t="str">
        <f>IF(AND(Q562=1,'Plant Total by Account'!$J$1=2),"EKWRA","")</f>
        <v/>
      </c>
    </row>
    <row r="563" spans="1:18" x14ac:dyDescent="0.2">
      <c r="A563" s="31" t="s">
        <v>3090</v>
      </c>
      <c r="B563" s="36" t="s">
        <v>685</v>
      </c>
      <c r="C563" s="504" t="s">
        <v>3353</v>
      </c>
      <c r="D563" s="42">
        <v>0</v>
      </c>
      <c r="E563" s="42">
        <v>16316.55</v>
      </c>
      <c r="F563" s="42">
        <v>238826.84999999998</v>
      </c>
      <c r="G563" s="581">
        <f t="shared" si="41"/>
        <v>255143.39999999997</v>
      </c>
      <c r="H563" s="33">
        <v>0</v>
      </c>
      <c r="I563" s="33">
        <v>0</v>
      </c>
      <c r="J563" s="33">
        <v>0</v>
      </c>
      <c r="K563" s="33">
        <f t="shared" si="43"/>
        <v>0</v>
      </c>
      <c r="L563" s="33">
        <f t="shared" si="44"/>
        <v>16316.55</v>
      </c>
      <c r="M563" s="33">
        <f t="shared" si="45"/>
        <v>238826.84999999998</v>
      </c>
      <c r="N563" s="235">
        <f t="shared" si="42"/>
        <v>0</v>
      </c>
      <c r="O563" s="35" t="s">
        <v>3327</v>
      </c>
      <c r="P563" s="35"/>
      <c r="Q563" s="39">
        <f>SUMIF('Antelope Bailey Split BA'!$B$7:$B$29,B563,'Antelope Bailey Split BA'!$C$7:$C$29)</f>
        <v>0</v>
      </c>
      <c r="R563" s="39" t="str">
        <f>IF(AND(Q563=1,'Plant Total by Account'!$J$1=2),"EKWRA","")</f>
        <v/>
      </c>
    </row>
    <row r="564" spans="1:18" x14ac:dyDescent="0.2">
      <c r="A564" s="31" t="s">
        <v>3091</v>
      </c>
      <c r="B564" s="36" t="s">
        <v>686</v>
      </c>
      <c r="C564" s="504" t="s">
        <v>3353</v>
      </c>
      <c r="D564" s="42">
        <v>30304.78</v>
      </c>
      <c r="E564" s="42">
        <v>243990.08000000002</v>
      </c>
      <c r="F564" s="42">
        <v>4393533.5200000033</v>
      </c>
      <c r="G564" s="581">
        <f t="shared" si="41"/>
        <v>4667828.3800000036</v>
      </c>
      <c r="H564" s="33">
        <v>0</v>
      </c>
      <c r="I564" s="33">
        <v>0</v>
      </c>
      <c r="J564" s="33">
        <v>0</v>
      </c>
      <c r="K564" s="33">
        <f t="shared" si="43"/>
        <v>30304.78</v>
      </c>
      <c r="L564" s="33">
        <f t="shared" si="44"/>
        <v>243990.08000000002</v>
      </c>
      <c r="M564" s="33">
        <f t="shared" si="45"/>
        <v>4393533.5200000033</v>
      </c>
      <c r="N564" s="235">
        <f t="shared" si="42"/>
        <v>0</v>
      </c>
      <c r="O564" s="35" t="s">
        <v>3327</v>
      </c>
      <c r="P564" s="35"/>
      <c r="Q564" s="39">
        <f>SUMIF('Antelope Bailey Split BA'!$B$7:$B$29,B564,'Antelope Bailey Split BA'!$C$7:$C$29)</f>
        <v>0</v>
      </c>
      <c r="R564" s="39" t="str">
        <f>IF(AND(Q564=1,'Plant Total by Account'!$J$1=2),"EKWRA","")</f>
        <v/>
      </c>
    </row>
    <row r="565" spans="1:18" x14ac:dyDescent="0.2">
      <c r="A565" s="31" t="s">
        <v>3092</v>
      </c>
      <c r="B565" s="36" t="s">
        <v>687</v>
      </c>
      <c r="C565" s="504" t="s">
        <v>3352</v>
      </c>
      <c r="D565" s="42">
        <v>12168.789999999999</v>
      </c>
      <c r="E565" s="42">
        <v>419849.12000000005</v>
      </c>
      <c r="F565" s="42">
        <v>1875275.8900000006</v>
      </c>
      <c r="G565" s="581">
        <f t="shared" si="41"/>
        <v>2307293.8000000007</v>
      </c>
      <c r="H565" s="33">
        <v>0</v>
      </c>
      <c r="I565" s="33">
        <v>0</v>
      </c>
      <c r="J565" s="33">
        <v>0</v>
      </c>
      <c r="K565" s="33">
        <f t="shared" si="43"/>
        <v>12168.789999999999</v>
      </c>
      <c r="L565" s="33">
        <f t="shared" si="44"/>
        <v>419849.12000000005</v>
      </c>
      <c r="M565" s="33">
        <f t="shared" si="45"/>
        <v>1875275.8900000006</v>
      </c>
      <c r="N565" s="235">
        <f t="shared" si="42"/>
        <v>0</v>
      </c>
      <c r="O565" s="35" t="s">
        <v>3327</v>
      </c>
      <c r="P565" s="35"/>
      <c r="Q565" s="39">
        <f>SUMIF('Antelope Bailey Split BA'!$B$7:$B$29,B565,'Antelope Bailey Split BA'!$C$7:$C$29)</f>
        <v>0</v>
      </c>
      <c r="R565" s="39" t="str">
        <f>IF(AND(Q565=1,'Plant Total by Account'!$J$1=2),"EKWRA","")</f>
        <v/>
      </c>
    </row>
    <row r="566" spans="1:18" x14ac:dyDescent="0.2">
      <c r="A566" s="31" t="s">
        <v>3093</v>
      </c>
      <c r="B566" s="36" t="s">
        <v>688</v>
      </c>
      <c r="C566" s="504" t="s">
        <v>3352</v>
      </c>
      <c r="D566" s="42">
        <v>4957.3</v>
      </c>
      <c r="E566" s="42">
        <v>42505.16</v>
      </c>
      <c r="F566" s="42">
        <v>439036.54000000004</v>
      </c>
      <c r="G566" s="581">
        <f t="shared" si="41"/>
        <v>486499.00000000006</v>
      </c>
      <c r="H566" s="33">
        <v>0</v>
      </c>
      <c r="I566" s="33">
        <v>0</v>
      </c>
      <c r="J566" s="33">
        <v>0</v>
      </c>
      <c r="K566" s="33">
        <f t="shared" si="43"/>
        <v>4957.3</v>
      </c>
      <c r="L566" s="33">
        <f t="shared" si="44"/>
        <v>42505.16</v>
      </c>
      <c r="M566" s="33">
        <f t="shared" si="45"/>
        <v>439036.54000000004</v>
      </c>
      <c r="N566" s="235">
        <f t="shared" si="42"/>
        <v>0</v>
      </c>
      <c r="O566" s="35" t="s">
        <v>3327</v>
      </c>
      <c r="P566" s="35"/>
      <c r="Q566" s="39">
        <f>SUMIF('Antelope Bailey Split BA'!$B$7:$B$29,B566,'Antelope Bailey Split BA'!$C$7:$C$29)</f>
        <v>0</v>
      </c>
      <c r="R566" s="39" t="str">
        <f>IF(AND(Q566=1,'Plant Total by Account'!$J$1=2),"EKWRA","")</f>
        <v/>
      </c>
    </row>
    <row r="567" spans="1:18" x14ac:dyDescent="0.2">
      <c r="A567" s="31" t="s">
        <v>3094</v>
      </c>
      <c r="B567" s="36" t="s">
        <v>689</v>
      </c>
      <c r="C567" s="504" t="s">
        <v>3352</v>
      </c>
      <c r="D567" s="42">
        <v>18551.61</v>
      </c>
      <c r="E567" s="42">
        <v>58706.119999999995</v>
      </c>
      <c r="F567" s="42">
        <v>540250.18999999971</v>
      </c>
      <c r="G567" s="581">
        <f t="shared" si="41"/>
        <v>617507.91999999969</v>
      </c>
      <c r="H567" s="33">
        <v>0</v>
      </c>
      <c r="I567" s="33">
        <v>0</v>
      </c>
      <c r="J567" s="33">
        <v>0</v>
      </c>
      <c r="K567" s="33">
        <f t="shared" si="43"/>
        <v>18551.61</v>
      </c>
      <c r="L567" s="33">
        <f t="shared" si="44"/>
        <v>58706.119999999995</v>
      </c>
      <c r="M567" s="33">
        <f t="shared" si="45"/>
        <v>540250.18999999971</v>
      </c>
      <c r="N567" s="235">
        <f t="shared" si="42"/>
        <v>0</v>
      </c>
      <c r="O567" s="35" t="s">
        <v>3327</v>
      </c>
      <c r="P567" s="35"/>
      <c r="Q567" s="39">
        <f>SUMIF('Antelope Bailey Split BA'!$B$7:$B$29,B567,'Antelope Bailey Split BA'!$C$7:$C$29)</f>
        <v>0</v>
      </c>
      <c r="R567" s="39" t="str">
        <f>IF(AND(Q567=1,'Plant Total by Account'!$J$1=2),"EKWRA","")</f>
        <v/>
      </c>
    </row>
    <row r="568" spans="1:18" x14ac:dyDescent="0.2">
      <c r="A568" s="31" t="s">
        <v>3095</v>
      </c>
      <c r="B568" s="36" t="s">
        <v>690</v>
      </c>
      <c r="C568" s="504" t="s">
        <v>3353</v>
      </c>
      <c r="D568" s="42">
        <v>52528.33</v>
      </c>
      <c r="E568" s="42">
        <v>108614.75000000001</v>
      </c>
      <c r="F568" s="42">
        <v>2117993.6899999995</v>
      </c>
      <c r="G568" s="581">
        <f t="shared" si="41"/>
        <v>2279136.7699999996</v>
      </c>
      <c r="H568" s="33">
        <v>0</v>
      </c>
      <c r="I568" s="33">
        <v>0</v>
      </c>
      <c r="J568" s="33">
        <v>0</v>
      </c>
      <c r="K568" s="33">
        <f t="shared" si="43"/>
        <v>52528.33</v>
      </c>
      <c r="L568" s="33">
        <f t="shared" si="44"/>
        <v>108614.75000000001</v>
      </c>
      <c r="M568" s="33">
        <f t="shared" si="45"/>
        <v>2117993.6899999995</v>
      </c>
      <c r="N568" s="235">
        <f t="shared" si="42"/>
        <v>0</v>
      </c>
      <c r="O568" s="35" t="s">
        <v>3327</v>
      </c>
      <c r="P568" s="35"/>
      <c r="Q568" s="39">
        <f>SUMIF('Antelope Bailey Split BA'!$B$7:$B$29,B568,'Antelope Bailey Split BA'!$C$7:$C$29)</f>
        <v>0</v>
      </c>
      <c r="R568" s="39" t="str">
        <f>IF(AND(Q568=1,'Plant Total by Account'!$J$1=2),"EKWRA","")</f>
        <v/>
      </c>
    </row>
    <row r="569" spans="1:18" x14ac:dyDescent="0.2">
      <c r="A569" s="31" t="s">
        <v>3096</v>
      </c>
      <c r="B569" s="36" t="s">
        <v>691</v>
      </c>
      <c r="C569" s="504" t="s">
        <v>3353</v>
      </c>
      <c r="D569" s="42">
        <v>0</v>
      </c>
      <c r="E569" s="42">
        <v>23526.53</v>
      </c>
      <c r="F569" s="42">
        <v>1391077</v>
      </c>
      <c r="G569" s="581">
        <f t="shared" si="41"/>
        <v>1414603.53</v>
      </c>
      <c r="H569" s="33">
        <v>0</v>
      </c>
      <c r="I569" s="33">
        <v>0</v>
      </c>
      <c r="J569" s="33">
        <v>0</v>
      </c>
      <c r="K569" s="33">
        <f t="shared" si="43"/>
        <v>0</v>
      </c>
      <c r="L569" s="33">
        <f t="shared" si="44"/>
        <v>23526.53</v>
      </c>
      <c r="M569" s="33">
        <f t="shared" si="45"/>
        <v>1391077</v>
      </c>
      <c r="N569" s="235">
        <f t="shared" si="42"/>
        <v>0</v>
      </c>
      <c r="O569" s="35" t="s">
        <v>3327</v>
      </c>
      <c r="P569" s="35"/>
      <c r="Q569" s="39">
        <f>SUMIF('Antelope Bailey Split BA'!$B$7:$B$29,B569,'Antelope Bailey Split BA'!$C$7:$C$29)</f>
        <v>0</v>
      </c>
      <c r="R569" s="39" t="str">
        <f>IF(AND(Q569=1,'Plant Total by Account'!$J$1=2),"EKWRA","")</f>
        <v/>
      </c>
    </row>
    <row r="570" spans="1:18" x14ac:dyDescent="0.2">
      <c r="A570" s="31" t="s">
        <v>2474</v>
      </c>
      <c r="B570" s="36" t="s">
        <v>692</v>
      </c>
      <c r="C570" s="504" t="s">
        <v>3353</v>
      </c>
      <c r="D570" s="42">
        <v>49964.25</v>
      </c>
      <c r="E570" s="42">
        <v>303752.95</v>
      </c>
      <c r="F570" s="42">
        <v>2258482.8400000008</v>
      </c>
      <c r="G570" s="581">
        <f t="shared" si="41"/>
        <v>2612200.040000001</v>
      </c>
      <c r="H570" s="33">
        <v>0</v>
      </c>
      <c r="I570" s="33">
        <v>0</v>
      </c>
      <c r="J570" s="33">
        <v>0</v>
      </c>
      <c r="K570" s="33">
        <f t="shared" si="43"/>
        <v>49964.25</v>
      </c>
      <c r="L570" s="33">
        <f t="shared" si="44"/>
        <v>303752.95</v>
      </c>
      <c r="M570" s="33">
        <f t="shared" si="45"/>
        <v>2258482.8400000008</v>
      </c>
      <c r="N570" s="235">
        <f t="shared" si="42"/>
        <v>0</v>
      </c>
      <c r="O570" s="35" t="s">
        <v>3327</v>
      </c>
      <c r="P570" s="35"/>
      <c r="Q570" s="39">
        <f>SUMIF('Antelope Bailey Split BA'!$B$7:$B$29,B570,'Antelope Bailey Split BA'!$C$7:$C$29)</f>
        <v>0</v>
      </c>
      <c r="R570" s="39" t="str">
        <f>IF(AND(Q570=1,'Plant Total by Account'!$J$1=2),"EKWRA","")</f>
        <v/>
      </c>
    </row>
    <row r="571" spans="1:18" x14ac:dyDescent="0.2">
      <c r="A571" s="31" t="s">
        <v>3097</v>
      </c>
      <c r="B571" s="36" t="s">
        <v>693</v>
      </c>
      <c r="C571" s="504" t="s">
        <v>3352</v>
      </c>
      <c r="D571" s="42">
        <v>3772.94</v>
      </c>
      <c r="E571" s="42">
        <v>58196.41</v>
      </c>
      <c r="F571" s="42">
        <v>586586.92000000016</v>
      </c>
      <c r="G571" s="581">
        <f t="shared" si="41"/>
        <v>648556.27000000014</v>
      </c>
      <c r="H571" s="33">
        <v>0</v>
      </c>
      <c r="I571" s="33">
        <v>0</v>
      </c>
      <c r="J571" s="33">
        <v>0</v>
      </c>
      <c r="K571" s="33">
        <f t="shared" si="43"/>
        <v>3772.94</v>
      </c>
      <c r="L571" s="33">
        <f t="shared" si="44"/>
        <v>58196.41</v>
      </c>
      <c r="M571" s="33">
        <f t="shared" si="45"/>
        <v>586586.92000000016</v>
      </c>
      <c r="N571" s="235">
        <f t="shared" si="42"/>
        <v>0</v>
      </c>
      <c r="O571" s="35" t="s">
        <v>3327</v>
      </c>
      <c r="P571" s="35"/>
      <c r="Q571" s="39">
        <f>SUMIF('Antelope Bailey Split BA'!$B$7:$B$29,B571,'Antelope Bailey Split BA'!$C$7:$C$29)</f>
        <v>0</v>
      </c>
      <c r="R571" s="39" t="str">
        <f>IF(AND(Q571=1,'Plant Total by Account'!$J$1=2),"EKWRA","")</f>
        <v/>
      </c>
    </row>
    <row r="572" spans="1:18" x14ac:dyDescent="0.2">
      <c r="A572" s="31" t="s">
        <v>3098</v>
      </c>
      <c r="B572" s="36" t="s">
        <v>694</v>
      </c>
      <c r="C572" s="504" t="s">
        <v>3353</v>
      </c>
      <c r="D572" s="42">
        <v>32118.030000000002</v>
      </c>
      <c r="E572" s="42">
        <v>103187.39000000001</v>
      </c>
      <c r="F572" s="42">
        <v>2863152.9399999995</v>
      </c>
      <c r="G572" s="581">
        <f t="shared" si="41"/>
        <v>2998458.3599999994</v>
      </c>
      <c r="H572" s="33">
        <v>0</v>
      </c>
      <c r="I572" s="33">
        <v>0</v>
      </c>
      <c r="J572" s="33">
        <v>0</v>
      </c>
      <c r="K572" s="33">
        <f t="shared" si="43"/>
        <v>32118.030000000002</v>
      </c>
      <c r="L572" s="33">
        <f t="shared" si="44"/>
        <v>103187.39000000001</v>
      </c>
      <c r="M572" s="33">
        <f t="shared" si="45"/>
        <v>2863152.9399999995</v>
      </c>
      <c r="N572" s="235">
        <f t="shared" si="42"/>
        <v>0</v>
      </c>
      <c r="O572" s="35" t="s">
        <v>3327</v>
      </c>
      <c r="P572" s="35"/>
      <c r="Q572" s="39">
        <f>SUMIF('Antelope Bailey Split BA'!$B$7:$B$29,B572,'Antelope Bailey Split BA'!$C$7:$C$29)</f>
        <v>0</v>
      </c>
      <c r="R572" s="39" t="str">
        <f>IF(AND(Q572=1,'Plant Total by Account'!$J$1=2),"EKWRA","")</f>
        <v/>
      </c>
    </row>
    <row r="573" spans="1:18" x14ac:dyDescent="0.2">
      <c r="A573" s="31" t="s">
        <v>2475</v>
      </c>
      <c r="B573" s="36" t="s">
        <v>695</v>
      </c>
      <c r="C573" s="504" t="s">
        <v>3352</v>
      </c>
      <c r="D573" s="42">
        <v>4092.23</v>
      </c>
      <c r="E573" s="42">
        <v>156580.31000000003</v>
      </c>
      <c r="F573" s="42">
        <v>1034781.6900000001</v>
      </c>
      <c r="G573" s="581">
        <f t="shared" si="41"/>
        <v>1195454.23</v>
      </c>
      <c r="H573" s="33">
        <v>0</v>
      </c>
      <c r="I573" s="33">
        <v>0</v>
      </c>
      <c r="J573" s="33">
        <v>0</v>
      </c>
      <c r="K573" s="33">
        <f t="shared" si="43"/>
        <v>4092.23</v>
      </c>
      <c r="L573" s="33">
        <f t="shared" si="44"/>
        <v>156580.31000000003</v>
      </c>
      <c r="M573" s="33">
        <f t="shared" si="45"/>
        <v>1034781.6900000001</v>
      </c>
      <c r="N573" s="235">
        <f t="shared" si="42"/>
        <v>0</v>
      </c>
      <c r="O573" s="35" t="s">
        <v>3327</v>
      </c>
      <c r="P573" s="35"/>
      <c r="Q573" s="39">
        <f>SUMIF('Antelope Bailey Split BA'!$B$7:$B$29,B573,'Antelope Bailey Split BA'!$C$7:$C$29)</f>
        <v>0</v>
      </c>
      <c r="R573" s="39" t="str">
        <f>IF(AND(Q573=1,'Plant Total by Account'!$J$1=2),"EKWRA","")</f>
        <v/>
      </c>
    </row>
    <row r="574" spans="1:18" x14ac:dyDescent="0.2">
      <c r="A574" s="31" t="s">
        <v>2476</v>
      </c>
      <c r="B574" s="36" t="s">
        <v>696</v>
      </c>
      <c r="C574" s="504" t="s">
        <v>3353</v>
      </c>
      <c r="D574" s="42">
        <v>150722.83000000002</v>
      </c>
      <c r="E574" s="42">
        <v>89529.890000000014</v>
      </c>
      <c r="F574" s="42">
        <v>1860271.47</v>
      </c>
      <c r="G574" s="581">
        <f t="shared" si="41"/>
        <v>2100524.19</v>
      </c>
      <c r="H574" s="33">
        <v>0</v>
      </c>
      <c r="I574" s="33">
        <v>0</v>
      </c>
      <c r="J574" s="33">
        <v>0</v>
      </c>
      <c r="K574" s="33">
        <f t="shared" si="43"/>
        <v>150722.83000000002</v>
      </c>
      <c r="L574" s="33">
        <f t="shared" si="44"/>
        <v>89529.890000000014</v>
      </c>
      <c r="M574" s="33">
        <f t="shared" si="45"/>
        <v>1860271.47</v>
      </c>
      <c r="N574" s="235">
        <f t="shared" si="42"/>
        <v>0</v>
      </c>
      <c r="O574" s="35" t="s">
        <v>3327</v>
      </c>
      <c r="P574" s="35"/>
      <c r="Q574" s="39">
        <f>SUMIF('Antelope Bailey Split BA'!$B$7:$B$29,B574,'Antelope Bailey Split BA'!$C$7:$C$29)</f>
        <v>0</v>
      </c>
      <c r="R574" s="39" t="str">
        <f>IF(AND(Q574=1,'Plant Total by Account'!$J$1=2),"EKWRA","")</f>
        <v/>
      </c>
    </row>
    <row r="575" spans="1:18" x14ac:dyDescent="0.2">
      <c r="A575" s="31" t="s">
        <v>3099</v>
      </c>
      <c r="B575" s="36" t="s">
        <v>697</v>
      </c>
      <c r="C575" s="504" t="s">
        <v>3352</v>
      </c>
      <c r="D575" s="42">
        <v>346.83</v>
      </c>
      <c r="E575" s="42">
        <v>56507.05</v>
      </c>
      <c r="F575" s="42">
        <v>565605.19000000018</v>
      </c>
      <c r="G575" s="581">
        <f t="shared" si="41"/>
        <v>622459.07000000018</v>
      </c>
      <c r="H575" s="33">
        <v>0</v>
      </c>
      <c r="I575" s="33">
        <v>0</v>
      </c>
      <c r="J575" s="33">
        <v>0</v>
      </c>
      <c r="K575" s="33">
        <f t="shared" si="43"/>
        <v>346.83</v>
      </c>
      <c r="L575" s="33">
        <f t="shared" si="44"/>
        <v>56507.05</v>
      </c>
      <c r="M575" s="33">
        <f t="shared" si="45"/>
        <v>565605.19000000018</v>
      </c>
      <c r="N575" s="235">
        <f t="shared" si="42"/>
        <v>0</v>
      </c>
      <c r="O575" s="35" t="s">
        <v>3327</v>
      </c>
      <c r="P575" s="35"/>
      <c r="Q575" s="39">
        <f>SUMIF('Antelope Bailey Split BA'!$B$7:$B$29,B575,'Antelope Bailey Split BA'!$C$7:$C$29)</f>
        <v>0</v>
      </c>
      <c r="R575" s="39" t="str">
        <f>IF(AND(Q575=1,'Plant Total by Account'!$J$1=2),"EKWRA","")</f>
        <v/>
      </c>
    </row>
    <row r="576" spans="1:18" x14ac:dyDescent="0.2">
      <c r="A576" s="31" t="s">
        <v>3100</v>
      </c>
      <c r="B576" s="36" t="s">
        <v>698</v>
      </c>
      <c r="C576" s="504" t="s">
        <v>3353</v>
      </c>
      <c r="D576" s="42">
        <v>3676.55</v>
      </c>
      <c r="E576" s="42">
        <v>101496.45</v>
      </c>
      <c r="F576" s="42">
        <v>2226046.1199999996</v>
      </c>
      <c r="G576" s="581">
        <f t="shared" si="41"/>
        <v>2331219.1199999996</v>
      </c>
      <c r="H576" s="33">
        <v>0</v>
      </c>
      <c r="I576" s="33">
        <v>0</v>
      </c>
      <c r="J576" s="33">
        <v>0</v>
      </c>
      <c r="K576" s="33">
        <f t="shared" si="43"/>
        <v>3676.55</v>
      </c>
      <c r="L576" s="33">
        <f t="shared" si="44"/>
        <v>101496.45</v>
      </c>
      <c r="M576" s="33">
        <f t="shared" si="45"/>
        <v>2226046.1199999996</v>
      </c>
      <c r="N576" s="235">
        <f t="shared" si="42"/>
        <v>0</v>
      </c>
      <c r="O576" s="35" t="s">
        <v>3327</v>
      </c>
      <c r="P576" s="35"/>
      <c r="Q576" s="39">
        <f>SUMIF('Antelope Bailey Split BA'!$B$7:$B$29,B576,'Antelope Bailey Split BA'!$C$7:$C$29)</f>
        <v>0</v>
      </c>
      <c r="R576" s="39" t="str">
        <f>IF(AND(Q576=1,'Plant Total by Account'!$J$1=2),"EKWRA","")</f>
        <v/>
      </c>
    </row>
    <row r="577" spans="1:18" x14ac:dyDescent="0.2">
      <c r="A577" s="31" t="s">
        <v>3101</v>
      </c>
      <c r="B577" s="36" t="s">
        <v>699</v>
      </c>
      <c r="C577" s="504" t="s">
        <v>3353</v>
      </c>
      <c r="D577" s="42">
        <v>23723.8</v>
      </c>
      <c r="E577" s="42">
        <v>345755.41000000009</v>
      </c>
      <c r="F577" s="42">
        <v>4243320.59</v>
      </c>
      <c r="G577" s="581">
        <f t="shared" si="41"/>
        <v>4612799.8</v>
      </c>
      <c r="H577" s="33">
        <v>0</v>
      </c>
      <c r="I577" s="33">
        <v>0</v>
      </c>
      <c r="J577" s="33">
        <v>0</v>
      </c>
      <c r="K577" s="33">
        <f t="shared" si="43"/>
        <v>23723.8</v>
      </c>
      <c r="L577" s="33">
        <f t="shared" si="44"/>
        <v>345755.41000000009</v>
      </c>
      <c r="M577" s="33">
        <f t="shared" si="45"/>
        <v>4243320.59</v>
      </c>
      <c r="N577" s="235">
        <f t="shared" si="42"/>
        <v>0</v>
      </c>
      <c r="O577" s="35" t="s">
        <v>3327</v>
      </c>
      <c r="P577" s="35"/>
      <c r="Q577" s="39">
        <f>SUMIF('Antelope Bailey Split BA'!$B$7:$B$29,B577,'Antelope Bailey Split BA'!$C$7:$C$29)</f>
        <v>0</v>
      </c>
      <c r="R577" s="39" t="str">
        <f>IF(AND(Q577=1,'Plant Total by Account'!$J$1=2),"EKWRA","")</f>
        <v/>
      </c>
    </row>
    <row r="578" spans="1:18" x14ac:dyDescent="0.2">
      <c r="A578" s="31" t="s">
        <v>3102</v>
      </c>
      <c r="B578" s="36" t="s">
        <v>700</v>
      </c>
      <c r="C578" s="504" t="s">
        <v>3353</v>
      </c>
      <c r="D578" s="42">
        <v>3119</v>
      </c>
      <c r="E578" s="42">
        <v>7090.3099999999995</v>
      </c>
      <c r="F578" s="42">
        <v>119423.06999999999</v>
      </c>
      <c r="G578" s="581">
        <f t="shared" si="41"/>
        <v>129632.37999999999</v>
      </c>
      <c r="H578" s="33">
        <v>0</v>
      </c>
      <c r="I578" s="33">
        <v>0</v>
      </c>
      <c r="J578" s="33">
        <v>0</v>
      </c>
      <c r="K578" s="33">
        <f t="shared" si="43"/>
        <v>3119</v>
      </c>
      <c r="L578" s="33">
        <f t="shared" si="44"/>
        <v>7090.3099999999995</v>
      </c>
      <c r="M578" s="33">
        <f t="shared" si="45"/>
        <v>119423.06999999999</v>
      </c>
      <c r="N578" s="235">
        <f t="shared" si="42"/>
        <v>0</v>
      </c>
      <c r="O578" s="35" t="s">
        <v>3327</v>
      </c>
      <c r="P578" s="35"/>
      <c r="Q578" s="39">
        <f>SUMIF('Antelope Bailey Split BA'!$B$7:$B$29,B578,'Antelope Bailey Split BA'!$C$7:$C$29)</f>
        <v>0</v>
      </c>
      <c r="R578" s="39" t="str">
        <f>IF(AND(Q578=1,'Plant Total by Account'!$J$1=2),"EKWRA","")</f>
        <v/>
      </c>
    </row>
    <row r="579" spans="1:18" x14ac:dyDescent="0.2">
      <c r="A579" s="31" t="s">
        <v>3103</v>
      </c>
      <c r="B579" s="36" t="s">
        <v>701</v>
      </c>
      <c r="C579" s="504" t="s">
        <v>3353</v>
      </c>
      <c r="D579" s="42">
        <v>2403.81</v>
      </c>
      <c r="E579" s="42">
        <v>0</v>
      </c>
      <c r="F579" s="42">
        <v>0</v>
      </c>
      <c r="G579" s="581">
        <f t="shared" si="41"/>
        <v>2403.81</v>
      </c>
      <c r="H579" s="33">
        <v>0</v>
      </c>
      <c r="I579" s="33">
        <v>0</v>
      </c>
      <c r="J579" s="33">
        <v>0</v>
      </c>
      <c r="K579" s="33">
        <f t="shared" si="43"/>
        <v>2403.81</v>
      </c>
      <c r="L579" s="33">
        <f t="shared" si="44"/>
        <v>0</v>
      </c>
      <c r="M579" s="33">
        <f t="shared" si="45"/>
        <v>0</v>
      </c>
      <c r="N579" s="235">
        <f t="shared" si="42"/>
        <v>0</v>
      </c>
      <c r="O579" s="35" t="s">
        <v>3327</v>
      </c>
      <c r="P579" s="35"/>
      <c r="Q579" s="39">
        <f>SUMIF('Antelope Bailey Split BA'!$B$7:$B$29,B579,'Antelope Bailey Split BA'!$C$7:$C$29)</f>
        <v>0</v>
      </c>
      <c r="R579" s="39" t="str">
        <f>IF(AND(Q579=1,'Plant Total by Account'!$J$1=2),"EKWRA","")</f>
        <v/>
      </c>
    </row>
    <row r="580" spans="1:18" x14ac:dyDescent="0.2">
      <c r="A580" s="31" t="s">
        <v>3104</v>
      </c>
      <c r="B580" s="36" t="s">
        <v>702</v>
      </c>
      <c r="C580" s="504" t="s">
        <v>3353</v>
      </c>
      <c r="D580" s="42">
        <v>0</v>
      </c>
      <c r="E580" s="42">
        <v>12972.78</v>
      </c>
      <c r="F580" s="42">
        <v>161311.12</v>
      </c>
      <c r="G580" s="581">
        <f t="shared" si="41"/>
        <v>174283.9</v>
      </c>
      <c r="H580" s="33">
        <v>0</v>
      </c>
      <c r="I580" s="33">
        <v>0</v>
      </c>
      <c r="J580" s="33">
        <v>0</v>
      </c>
      <c r="K580" s="33">
        <f t="shared" si="43"/>
        <v>0</v>
      </c>
      <c r="L580" s="33">
        <f t="shared" si="44"/>
        <v>12972.78</v>
      </c>
      <c r="M580" s="33">
        <f t="shared" si="45"/>
        <v>161311.12</v>
      </c>
      <c r="N580" s="235">
        <f t="shared" si="42"/>
        <v>0</v>
      </c>
      <c r="O580" s="35" t="s">
        <v>3327</v>
      </c>
      <c r="P580" s="35"/>
      <c r="Q580" s="39">
        <f>SUMIF('Antelope Bailey Split BA'!$B$7:$B$29,B580,'Antelope Bailey Split BA'!$C$7:$C$29)</f>
        <v>0</v>
      </c>
      <c r="R580" s="39" t="str">
        <f>IF(AND(Q580=1,'Plant Total by Account'!$J$1=2),"EKWRA","")</f>
        <v/>
      </c>
    </row>
    <row r="581" spans="1:18" x14ac:dyDescent="0.2">
      <c r="A581" s="31" t="s">
        <v>3105</v>
      </c>
      <c r="B581" s="36" t="s">
        <v>703</v>
      </c>
      <c r="C581" s="504" t="s">
        <v>3353</v>
      </c>
      <c r="D581" s="42">
        <v>0</v>
      </c>
      <c r="E581" s="42">
        <v>10721.89</v>
      </c>
      <c r="F581" s="42">
        <v>1485073.0099999998</v>
      </c>
      <c r="G581" s="581">
        <f t="shared" si="41"/>
        <v>1495794.8999999997</v>
      </c>
      <c r="H581" s="33">
        <v>0</v>
      </c>
      <c r="I581" s="33">
        <v>0</v>
      </c>
      <c r="J581" s="33">
        <v>0</v>
      </c>
      <c r="K581" s="33">
        <f t="shared" si="43"/>
        <v>0</v>
      </c>
      <c r="L581" s="33">
        <f t="shared" si="44"/>
        <v>10721.89</v>
      </c>
      <c r="M581" s="33">
        <f t="shared" si="45"/>
        <v>1485073.0099999998</v>
      </c>
      <c r="N581" s="235">
        <f t="shared" si="42"/>
        <v>0</v>
      </c>
      <c r="O581" s="35" t="s">
        <v>3327</v>
      </c>
      <c r="P581" s="35"/>
      <c r="Q581" s="39">
        <f>SUMIF('Antelope Bailey Split BA'!$B$7:$B$29,B581,'Antelope Bailey Split BA'!$C$7:$C$29)</f>
        <v>0</v>
      </c>
      <c r="R581" s="39" t="str">
        <f>IF(AND(Q581=1,'Plant Total by Account'!$J$1=2),"EKWRA","")</f>
        <v/>
      </c>
    </row>
    <row r="582" spans="1:18" x14ac:dyDescent="0.2">
      <c r="A582" s="31" t="s">
        <v>3106</v>
      </c>
      <c r="B582" s="36" t="s">
        <v>704</v>
      </c>
      <c r="C582" s="504" t="s">
        <v>3353</v>
      </c>
      <c r="D582" s="42">
        <v>458083.12</v>
      </c>
      <c r="E582" s="42">
        <v>664567.91</v>
      </c>
      <c r="F582" s="42">
        <v>4142114.4399999995</v>
      </c>
      <c r="G582" s="581">
        <f t="shared" si="41"/>
        <v>5264765.47</v>
      </c>
      <c r="H582" s="33">
        <v>0</v>
      </c>
      <c r="I582" s="33">
        <v>0</v>
      </c>
      <c r="J582" s="33">
        <v>0</v>
      </c>
      <c r="K582" s="33">
        <f t="shared" si="43"/>
        <v>458083.12</v>
      </c>
      <c r="L582" s="33">
        <f t="shared" si="44"/>
        <v>664567.91</v>
      </c>
      <c r="M582" s="33">
        <f t="shared" si="45"/>
        <v>4142114.4399999995</v>
      </c>
      <c r="N582" s="235">
        <f t="shared" si="42"/>
        <v>0</v>
      </c>
      <c r="O582" s="35" t="s">
        <v>3327</v>
      </c>
      <c r="P582" s="35"/>
      <c r="Q582" s="39">
        <f>SUMIF('Antelope Bailey Split BA'!$B$7:$B$29,B582,'Antelope Bailey Split BA'!$C$7:$C$29)</f>
        <v>0</v>
      </c>
      <c r="R582" s="39" t="str">
        <f>IF(AND(Q582=1,'Plant Total by Account'!$J$1=2),"EKWRA","")</f>
        <v/>
      </c>
    </row>
    <row r="583" spans="1:18" x14ac:dyDescent="0.2">
      <c r="A583" s="31" t="s">
        <v>2477</v>
      </c>
      <c r="B583" s="36" t="s">
        <v>705</v>
      </c>
      <c r="C583" s="504" t="s">
        <v>3353</v>
      </c>
      <c r="D583" s="42">
        <v>1888137.5599999998</v>
      </c>
      <c r="E583" s="42">
        <v>1017612.7699999999</v>
      </c>
      <c r="F583" s="42">
        <v>3312142.6099999985</v>
      </c>
      <c r="G583" s="581">
        <f t="shared" si="41"/>
        <v>6217892.9399999976</v>
      </c>
      <c r="H583" s="33">
        <v>0</v>
      </c>
      <c r="I583" s="33">
        <v>0</v>
      </c>
      <c r="J583" s="33">
        <v>0</v>
      </c>
      <c r="K583" s="33">
        <f t="shared" si="43"/>
        <v>1888137.5599999998</v>
      </c>
      <c r="L583" s="33">
        <f t="shared" si="44"/>
        <v>1017612.7699999999</v>
      </c>
      <c r="M583" s="33">
        <f t="shared" si="45"/>
        <v>3312142.6099999985</v>
      </c>
      <c r="N583" s="235">
        <f t="shared" si="42"/>
        <v>0</v>
      </c>
      <c r="O583" s="35" t="s">
        <v>3327</v>
      </c>
      <c r="P583" s="35"/>
      <c r="Q583" s="39">
        <f>SUMIF('Antelope Bailey Split BA'!$B$7:$B$29,B583,'Antelope Bailey Split BA'!$C$7:$C$29)</f>
        <v>0</v>
      </c>
      <c r="R583" s="39" t="str">
        <f>IF(AND(Q583=1,'Plant Total by Account'!$J$1=2),"EKWRA","")</f>
        <v/>
      </c>
    </row>
    <row r="584" spans="1:18" x14ac:dyDescent="0.2">
      <c r="A584" s="31" t="s">
        <v>3107</v>
      </c>
      <c r="B584" s="36" t="s">
        <v>706</v>
      </c>
      <c r="C584" s="504" t="s">
        <v>3353</v>
      </c>
      <c r="D584" s="42">
        <v>0</v>
      </c>
      <c r="E584" s="42">
        <v>18899.080000000002</v>
      </c>
      <c r="F584" s="42">
        <v>466645.91000000003</v>
      </c>
      <c r="G584" s="581">
        <f t="shared" si="41"/>
        <v>485544.99000000005</v>
      </c>
      <c r="H584" s="33">
        <v>0</v>
      </c>
      <c r="I584" s="33">
        <v>0</v>
      </c>
      <c r="J584" s="33">
        <v>0</v>
      </c>
      <c r="K584" s="33">
        <f t="shared" si="43"/>
        <v>0</v>
      </c>
      <c r="L584" s="33">
        <f t="shared" si="44"/>
        <v>18899.080000000002</v>
      </c>
      <c r="M584" s="33">
        <f t="shared" si="45"/>
        <v>466645.91000000003</v>
      </c>
      <c r="N584" s="235">
        <f t="shared" si="42"/>
        <v>0</v>
      </c>
      <c r="O584" s="35" t="s">
        <v>3327</v>
      </c>
      <c r="P584" s="35"/>
      <c r="Q584" s="39">
        <f>SUMIF('Antelope Bailey Split BA'!$B$7:$B$29,B584,'Antelope Bailey Split BA'!$C$7:$C$29)</f>
        <v>0</v>
      </c>
      <c r="R584" s="39" t="str">
        <f>IF(AND(Q584=1,'Plant Total by Account'!$J$1=2),"EKWRA","")</f>
        <v/>
      </c>
    </row>
    <row r="585" spans="1:18" x14ac:dyDescent="0.2">
      <c r="A585" s="31" t="s">
        <v>3108</v>
      </c>
      <c r="B585" s="36" t="s">
        <v>707</v>
      </c>
      <c r="C585" s="504" t="s">
        <v>2629</v>
      </c>
      <c r="D585" s="42">
        <v>0</v>
      </c>
      <c r="E585" s="42">
        <v>0</v>
      </c>
      <c r="F585" s="42">
        <v>69255.509999999995</v>
      </c>
      <c r="G585" s="581">
        <f t="shared" si="41"/>
        <v>69255.509999999995</v>
      </c>
      <c r="H585" s="33">
        <v>0</v>
      </c>
      <c r="I585" s="33">
        <v>0</v>
      </c>
      <c r="J585" s="33">
        <v>0</v>
      </c>
      <c r="K585" s="33">
        <f t="shared" si="43"/>
        <v>0</v>
      </c>
      <c r="L585" s="33">
        <f t="shared" si="44"/>
        <v>0</v>
      </c>
      <c r="M585" s="33">
        <f t="shared" si="45"/>
        <v>69255.509999999995</v>
      </c>
      <c r="N585" s="235">
        <f t="shared" si="42"/>
        <v>0</v>
      </c>
      <c r="O585" s="35" t="s">
        <v>3327</v>
      </c>
      <c r="P585" s="35"/>
      <c r="Q585" s="39">
        <f>SUMIF('Antelope Bailey Split BA'!$B$7:$B$29,B585,'Antelope Bailey Split BA'!$C$7:$C$29)</f>
        <v>0</v>
      </c>
      <c r="R585" s="39" t="str">
        <f>IF(AND(Q585=1,'Plant Total by Account'!$J$1=2),"EKWRA","")</f>
        <v/>
      </c>
    </row>
    <row r="586" spans="1:18" x14ac:dyDescent="0.2">
      <c r="A586" s="31" t="s">
        <v>3109</v>
      </c>
      <c r="B586" s="36" t="s">
        <v>708</v>
      </c>
      <c r="C586" s="504" t="s">
        <v>3353</v>
      </c>
      <c r="D586" s="42">
        <v>50895.86</v>
      </c>
      <c r="E586" s="42">
        <v>75809.62</v>
      </c>
      <c r="F586" s="42">
        <v>1575344.5899999999</v>
      </c>
      <c r="G586" s="581">
        <f t="shared" si="41"/>
        <v>1702050.0699999998</v>
      </c>
      <c r="H586" s="33">
        <v>0</v>
      </c>
      <c r="I586" s="33">
        <v>0</v>
      </c>
      <c r="J586" s="33">
        <v>0</v>
      </c>
      <c r="K586" s="33">
        <f t="shared" si="43"/>
        <v>50895.86</v>
      </c>
      <c r="L586" s="33">
        <f t="shared" si="44"/>
        <v>75809.62</v>
      </c>
      <c r="M586" s="33">
        <f t="shared" si="45"/>
        <v>1575344.5899999999</v>
      </c>
      <c r="N586" s="235">
        <f t="shared" si="42"/>
        <v>0</v>
      </c>
      <c r="O586" s="35" t="s">
        <v>3327</v>
      </c>
      <c r="P586" s="35"/>
      <c r="Q586" s="39">
        <f>SUMIF('Antelope Bailey Split BA'!$B$7:$B$29,B586,'Antelope Bailey Split BA'!$C$7:$C$29)</f>
        <v>0</v>
      </c>
      <c r="R586" s="39" t="str">
        <f>IF(AND(Q586=1,'Plant Total by Account'!$J$1=2),"EKWRA","")</f>
        <v/>
      </c>
    </row>
    <row r="587" spans="1:18" x14ac:dyDescent="0.2">
      <c r="A587" s="31" t="s">
        <v>3110</v>
      </c>
      <c r="B587" s="36" t="s">
        <v>709</v>
      </c>
      <c r="C587" s="504" t="s">
        <v>3353</v>
      </c>
      <c r="D587" s="42">
        <v>31251.65</v>
      </c>
      <c r="E587" s="42">
        <v>399522.1</v>
      </c>
      <c r="F587" s="42">
        <v>5548422.7200000053</v>
      </c>
      <c r="G587" s="581">
        <f t="shared" ref="G587:G650" si="46">SUM(D587:F587)</f>
        <v>5979196.4700000053</v>
      </c>
      <c r="H587" s="33">
        <v>0</v>
      </c>
      <c r="I587" s="33">
        <v>0</v>
      </c>
      <c r="J587" s="33">
        <v>0</v>
      </c>
      <c r="K587" s="33">
        <f t="shared" si="43"/>
        <v>31251.65</v>
      </c>
      <c r="L587" s="33">
        <f t="shared" si="44"/>
        <v>399522.1</v>
      </c>
      <c r="M587" s="33">
        <f t="shared" si="45"/>
        <v>5548422.7200000053</v>
      </c>
      <c r="N587" s="235">
        <f t="shared" ref="N587:N650" si="47">G587-SUM(H587:M587)</f>
        <v>0</v>
      </c>
      <c r="O587" s="35" t="s">
        <v>3327</v>
      </c>
      <c r="P587" s="35"/>
      <c r="Q587" s="39">
        <f>SUMIF('Antelope Bailey Split BA'!$B$7:$B$29,B587,'Antelope Bailey Split BA'!$C$7:$C$29)</f>
        <v>0</v>
      </c>
      <c r="R587" s="39" t="str">
        <f>IF(AND(Q587=1,'Plant Total by Account'!$J$1=2),"EKWRA","")</f>
        <v/>
      </c>
    </row>
    <row r="588" spans="1:18" x14ac:dyDescent="0.2">
      <c r="A588" s="31" t="s">
        <v>3111</v>
      </c>
      <c r="B588" s="36" t="s">
        <v>710</v>
      </c>
      <c r="C588" s="504" t="s">
        <v>3353</v>
      </c>
      <c r="D588" s="42">
        <v>5082.09</v>
      </c>
      <c r="E588" s="42">
        <v>0</v>
      </c>
      <c r="F588" s="42">
        <v>0</v>
      </c>
      <c r="G588" s="581">
        <f t="shared" si="46"/>
        <v>5082.09</v>
      </c>
      <c r="H588" s="33">
        <v>0</v>
      </c>
      <c r="I588" s="33">
        <v>0</v>
      </c>
      <c r="J588" s="33">
        <v>0</v>
      </c>
      <c r="K588" s="33">
        <f t="shared" si="43"/>
        <v>5082.09</v>
      </c>
      <c r="L588" s="33">
        <f t="shared" si="44"/>
        <v>0</v>
      </c>
      <c r="M588" s="33">
        <f t="shared" si="45"/>
        <v>0</v>
      </c>
      <c r="N588" s="235">
        <f t="shared" si="47"/>
        <v>0</v>
      </c>
      <c r="O588" s="35" t="s">
        <v>3327</v>
      </c>
      <c r="P588" s="35"/>
      <c r="Q588" s="39">
        <f>SUMIF('Antelope Bailey Split BA'!$B$7:$B$29,B588,'Antelope Bailey Split BA'!$C$7:$C$29)</f>
        <v>0</v>
      </c>
      <c r="R588" s="39" t="str">
        <f>IF(AND(Q588=1,'Plant Total by Account'!$J$1=2),"EKWRA","")</f>
        <v/>
      </c>
    </row>
    <row r="589" spans="1:18" x14ac:dyDescent="0.2">
      <c r="A589" s="31" t="s">
        <v>3112</v>
      </c>
      <c r="B589" s="36" t="s">
        <v>711</v>
      </c>
      <c r="C589" s="504" t="s">
        <v>3353</v>
      </c>
      <c r="D589" s="42">
        <v>9421.65</v>
      </c>
      <c r="E589" s="42">
        <v>159736.68</v>
      </c>
      <c r="F589" s="42">
        <v>3208083.9700000011</v>
      </c>
      <c r="G589" s="581">
        <f t="shared" si="46"/>
        <v>3377242.3000000012</v>
      </c>
      <c r="H589" s="33">
        <v>0</v>
      </c>
      <c r="I589" s="33">
        <v>0</v>
      </c>
      <c r="J589" s="33">
        <v>0</v>
      </c>
      <c r="K589" s="33">
        <f t="shared" si="43"/>
        <v>9421.65</v>
      </c>
      <c r="L589" s="33">
        <f t="shared" si="44"/>
        <v>159736.68</v>
      </c>
      <c r="M589" s="33">
        <f t="shared" si="45"/>
        <v>3208083.9700000011</v>
      </c>
      <c r="N589" s="235">
        <f t="shared" si="47"/>
        <v>0</v>
      </c>
      <c r="O589" s="35" t="s">
        <v>3327</v>
      </c>
      <c r="P589" s="35"/>
      <c r="Q589" s="39">
        <f>SUMIF('Antelope Bailey Split BA'!$B$7:$B$29,B589,'Antelope Bailey Split BA'!$C$7:$C$29)</f>
        <v>0</v>
      </c>
      <c r="R589" s="39" t="str">
        <f>IF(AND(Q589=1,'Plant Total by Account'!$J$1=2),"EKWRA","")</f>
        <v/>
      </c>
    </row>
    <row r="590" spans="1:18" x14ac:dyDescent="0.2">
      <c r="A590" s="31" t="s">
        <v>2478</v>
      </c>
      <c r="B590" s="36" t="s">
        <v>712</v>
      </c>
      <c r="C590" s="504" t="s">
        <v>3353</v>
      </c>
      <c r="D590" s="42">
        <v>44427.689999999995</v>
      </c>
      <c r="E590" s="42">
        <v>52243.740000000005</v>
      </c>
      <c r="F590" s="42">
        <v>4678992.0600000033</v>
      </c>
      <c r="G590" s="581">
        <f t="shared" si="46"/>
        <v>4775663.490000003</v>
      </c>
      <c r="H590" s="33">
        <v>0</v>
      </c>
      <c r="I590" s="33">
        <v>0</v>
      </c>
      <c r="J590" s="33">
        <v>0</v>
      </c>
      <c r="K590" s="33">
        <f t="shared" si="43"/>
        <v>44427.689999999995</v>
      </c>
      <c r="L590" s="33">
        <f t="shared" si="44"/>
        <v>52243.740000000005</v>
      </c>
      <c r="M590" s="33">
        <f t="shared" si="45"/>
        <v>4678992.0600000033</v>
      </c>
      <c r="N590" s="235">
        <f t="shared" si="47"/>
        <v>0</v>
      </c>
      <c r="O590" s="35" t="s">
        <v>3327</v>
      </c>
      <c r="P590" s="35"/>
      <c r="Q590" s="39">
        <f>SUMIF('Antelope Bailey Split BA'!$B$7:$B$29,B590,'Antelope Bailey Split BA'!$C$7:$C$29)</f>
        <v>0</v>
      </c>
      <c r="R590" s="39" t="str">
        <f>IF(AND(Q590=1,'Plant Total by Account'!$J$1=2),"EKWRA","")</f>
        <v/>
      </c>
    </row>
    <row r="591" spans="1:18" x14ac:dyDescent="0.2">
      <c r="A591" s="31" t="s">
        <v>3113</v>
      </c>
      <c r="B591" s="36" t="s">
        <v>713</v>
      </c>
      <c r="C591" s="504" t="s">
        <v>3353</v>
      </c>
      <c r="D591" s="42">
        <v>596.93000000000006</v>
      </c>
      <c r="E591" s="42">
        <v>12898.720000000001</v>
      </c>
      <c r="F591" s="42">
        <v>1076896.49</v>
      </c>
      <c r="G591" s="581">
        <f t="shared" si="46"/>
        <v>1090392.1399999999</v>
      </c>
      <c r="H591" s="33">
        <v>0</v>
      </c>
      <c r="I591" s="33">
        <v>0</v>
      </c>
      <c r="J591" s="33">
        <v>0</v>
      </c>
      <c r="K591" s="33">
        <f t="shared" ref="K591:K654" si="48">D591</f>
        <v>596.93000000000006</v>
      </c>
      <c r="L591" s="33">
        <f t="shared" ref="L591:L654" si="49">E591</f>
        <v>12898.720000000001</v>
      </c>
      <c r="M591" s="33">
        <f t="shared" ref="M591:M654" si="50">F591</f>
        <v>1076896.49</v>
      </c>
      <c r="N591" s="235">
        <f t="shared" si="47"/>
        <v>0</v>
      </c>
      <c r="O591" s="35" t="s">
        <v>3327</v>
      </c>
      <c r="P591" s="35"/>
      <c r="Q591" s="39">
        <f>SUMIF('Antelope Bailey Split BA'!$B$7:$B$29,B591,'Antelope Bailey Split BA'!$C$7:$C$29)</f>
        <v>0</v>
      </c>
      <c r="R591" s="39" t="str">
        <f>IF(AND(Q591=1,'Plant Total by Account'!$J$1=2),"EKWRA","")</f>
        <v/>
      </c>
    </row>
    <row r="592" spans="1:18" x14ac:dyDescent="0.2">
      <c r="A592" s="31" t="s">
        <v>3114</v>
      </c>
      <c r="B592" s="36" t="s">
        <v>714</v>
      </c>
      <c r="C592" s="504" t="s">
        <v>3353</v>
      </c>
      <c r="D592" s="42">
        <v>34045.910000000003</v>
      </c>
      <c r="E592" s="42">
        <v>47744.69</v>
      </c>
      <c r="F592" s="42">
        <v>2992175.5299999984</v>
      </c>
      <c r="G592" s="581">
        <f t="shared" si="46"/>
        <v>3073966.1299999985</v>
      </c>
      <c r="H592" s="33">
        <v>0</v>
      </c>
      <c r="I592" s="33">
        <v>0</v>
      </c>
      <c r="J592" s="33">
        <v>0</v>
      </c>
      <c r="K592" s="33">
        <f t="shared" si="48"/>
        <v>34045.910000000003</v>
      </c>
      <c r="L592" s="33">
        <f t="shared" si="49"/>
        <v>47744.69</v>
      </c>
      <c r="M592" s="33">
        <f t="shared" si="50"/>
        <v>2992175.5299999984</v>
      </c>
      <c r="N592" s="235">
        <f t="shared" si="47"/>
        <v>0</v>
      </c>
      <c r="O592" s="35" t="s">
        <v>3327</v>
      </c>
      <c r="P592" s="35"/>
      <c r="Q592" s="39">
        <f>SUMIF('Antelope Bailey Split BA'!$B$7:$B$29,B592,'Antelope Bailey Split BA'!$C$7:$C$29)</f>
        <v>0</v>
      </c>
      <c r="R592" s="39" t="str">
        <f>IF(AND(Q592=1,'Plant Total by Account'!$J$1=2),"EKWRA","")</f>
        <v/>
      </c>
    </row>
    <row r="593" spans="1:18" x14ac:dyDescent="0.2">
      <c r="A593" s="31" t="s">
        <v>3115</v>
      </c>
      <c r="B593" s="36" t="s">
        <v>715</v>
      </c>
      <c r="C593" s="504" t="s">
        <v>3353</v>
      </c>
      <c r="D593" s="42">
        <v>14864.98</v>
      </c>
      <c r="E593" s="42">
        <v>122090.66</v>
      </c>
      <c r="F593" s="42">
        <v>7480861.5399999963</v>
      </c>
      <c r="G593" s="581">
        <f t="shared" si="46"/>
        <v>7617817.179999996</v>
      </c>
      <c r="H593" s="33">
        <v>0</v>
      </c>
      <c r="I593" s="33">
        <v>0</v>
      </c>
      <c r="J593" s="33">
        <v>0</v>
      </c>
      <c r="K593" s="33">
        <f t="shared" si="48"/>
        <v>14864.98</v>
      </c>
      <c r="L593" s="33">
        <f t="shared" si="49"/>
        <v>122090.66</v>
      </c>
      <c r="M593" s="33">
        <f t="shared" si="50"/>
        <v>7480861.5399999963</v>
      </c>
      <c r="N593" s="235">
        <f t="shared" si="47"/>
        <v>0</v>
      </c>
      <c r="O593" s="35" t="s">
        <v>3327</v>
      </c>
      <c r="P593" s="35"/>
      <c r="Q593" s="39">
        <f>SUMIF('Antelope Bailey Split BA'!$B$7:$B$29,B593,'Antelope Bailey Split BA'!$C$7:$C$29)</f>
        <v>0</v>
      </c>
      <c r="R593" s="39" t="str">
        <f>IF(AND(Q593=1,'Plant Total by Account'!$J$1=2),"EKWRA","")</f>
        <v/>
      </c>
    </row>
    <row r="594" spans="1:18" x14ac:dyDescent="0.2">
      <c r="A594" s="31" t="s">
        <v>3116</v>
      </c>
      <c r="B594" s="36" t="s">
        <v>716</v>
      </c>
      <c r="C594" s="504" t="s">
        <v>3353</v>
      </c>
      <c r="D594" s="42">
        <v>75818.17</v>
      </c>
      <c r="E594" s="42">
        <v>308060.37</v>
      </c>
      <c r="F594" s="42">
        <v>4357713.1100000031</v>
      </c>
      <c r="G594" s="581">
        <f t="shared" si="46"/>
        <v>4741591.6500000032</v>
      </c>
      <c r="H594" s="33">
        <v>0</v>
      </c>
      <c r="I594" s="33">
        <v>0</v>
      </c>
      <c r="J594" s="33">
        <v>0</v>
      </c>
      <c r="K594" s="33">
        <f t="shared" si="48"/>
        <v>75818.17</v>
      </c>
      <c r="L594" s="33">
        <f t="shared" si="49"/>
        <v>308060.37</v>
      </c>
      <c r="M594" s="33">
        <f t="shared" si="50"/>
        <v>4357713.1100000031</v>
      </c>
      <c r="N594" s="235">
        <f t="shared" si="47"/>
        <v>0</v>
      </c>
      <c r="O594" s="35" t="s">
        <v>3327</v>
      </c>
      <c r="P594" s="35"/>
      <c r="Q594" s="39">
        <f>SUMIF('Antelope Bailey Split BA'!$B$7:$B$29,B594,'Antelope Bailey Split BA'!$C$7:$C$29)</f>
        <v>0</v>
      </c>
      <c r="R594" s="39" t="str">
        <f>IF(AND(Q594=1,'Plant Total by Account'!$J$1=2),"EKWRA","")</f>
        <v/>
      </c>
    </row>
    <row r="595" spans="1:18" x14ac:dyDescent="0.2">
      <c r="A595" s="31" t="s">
        <v>3117</v>
      </c>
      <c r="B595" s="36" t="s">
        <v>717</v>
      </c>
      <c r="C595" s="504" t="s">
        <v>3352</v>
      </c>
      <c r="D595" s="42">
        <v>2148.5300000000002</v>
      </c>
      <c r="E595" s="42">
        <v>9955.0400000000009</v>
      </c>
      <c r="F595" s="42">
        <v>457135.48000000004</v>
      </c>
      <c r="G595" s="581">
        <f t="shared" si="46"/>
        <v>469239.05000000005</v>
      </c>
      <c r="H595" s="33">
        <v>0</v>
      </c>
      <c r="I595" s="33">
        <v>0</v>
      </c>
      <c r="J595" s="33">
        <v>0</v>
      </c>
      <c r="K595" s="33">
        <f t="shared" si="48"/>
        <v>2148.5300000000002</v>
      </c>
      <c r="L595" s="33">
        <f t="shared" si="49"/>
        <v>9955.0400000000009</v>
      </c>
      <c r="M595" s="33">
        <f t="shared" si="50"/>
        <v>457135.48000000004</v>
      </c>
      <c r="N595" s="235">
        <f t="shared" si="47"/>
        <v>0</v>
      </c>
      <c r="O595" s="35" t="s">
        <v>3327</v>
      </c>
      <c r="P595" s="35"/>
      <c r="Q595" s="39">
        <f>SUMIF('Antelope Bailey Split BA'!$B$7:$B$29,B595,'Antelope Bailey Split BA'!$C$7:$C$29)</f>
        <v>0</v>
      </c>
      <c r="R595" s="39" t="str">
        <f>IF(AND(Q595=1,'Plant Total by Account'!$J$1=2),"EKWRA","")</f>
        <v/>
      </c>
    </row>
    <row r="596" spans="1:18" x14ac:dyDescent="0.2">
      <c r="A596" s="31" t="s">
        <v>3118</v>
      </c>
      <c r="B596" s="36" t="s">
        <v>718</v>
      </c>
      <c r="C596" s="504" t="s">
        <v>3353</v>
      </c>
      <c r="D596" s="42">
        <v>648505.84</v>
      </c>
      <c r="E596" s="42">
        <v>566458.20000000007</v>
      </c>
      <c r="F596" s="42">
        <v>7614847.4300000025</v>
      </c>
      <c r="G596" s="581">
        <f t="shared" si="46"/>
        <v>8829811.4700000025</v>
      </c>
      <c r="H596" s="33">
        <v>0</v>
      </c>
      <c r="I596" s="33">
        <v>0</v>
      </c>
      <c r="J596" s="33">
        <v>0</v>
      </c>
      <c r="K596" s="33">
        <f t="shared" si="48"/>
        <v>648505.84</v>
      </c>
      <c r="L596" s="33">
        <f t="shared" si="49"/>
        <v>566458.20000000007</v>
      </c>
      <c r="M596" s="33">
        <f t="shared" si="50"/>
        <v>7614847.4300000025</v>
      </c>
      <c r="N596" s="235">
        <f t="shared" si="47"/>
        <v>0</v>
      </c>
      <c r="O596" s="35" t="s">
        <v>3327</v>
      </c>
      <c r="P596" s="35"/>
      <c r="Q596" s="39">
        <f>SUMIF('Antelope Bailey Split BA'!$B$7:$B$29,B596,'Antelope Bailey Split BA'!$C$7:$C$29)</f>
        <v>0</v>
      </c>
      <c r="R596" s="39" t="str">
        <f>IF(AND(Q596=1,'Plant Total by Account'!$J$1=2),"EKWRA","")</f>
        <v/>
      </c>
    </row>
    <row r="597" spans="1:18" x14ac:dyDescent="0.2">
      <c r="A597" s="31" t="s">
        <v>3119</v>
      </c>
      <c r="B597" s="36" t="s">
        <v>719</v>
      </c>
      <c r="C597" s="504" t="s">
        <v>3353</v>
      </c>
      <c r="D597" s="42">
        <v>61155.360000000001</v>
      </c>
      <c r="E597" s="42">
        <v>42050.959999999992</v>
      </c>
      <c r="F597" s="42">
        <v>1168439.9700000002</v>
      </c>
      <c r="G597" s="581">
        <f t="shared" si="46"/>
        <v>1271646.2900000003</v>
      </c>
      <c r="H597" s="33">
        <v>0</v>
      </c>
      <c r="I597" s="33">
        <v>0</v>
      </c>
      <c r="J597" s="33">
        <v>0</v>
      </c>
      <c r="K597" s="33">
        <f t="shared" si="48"/>
        <v>61155.360000000001</v>
      </c>
      <c r="L597" s="33">
        <f t="shared" si="49"/>
        <v>42050.959999999992</v>
      </c>
      <c r="M597" s="33">
        <f t="shared" si="50"/>
        <v>1168439.9700000002</v>
      </c>
      <c r="N597" s="235">
        <f t="shared" si="47"/>
        <v>0</v>
      </c>
      <c r="O597" s="35" t="s">
        <v>3327</v>
      </c>
      <c r="P597" s="35"/>
      <c r="Q597" s="39">
        <f>SUMIF('Antelope Bailey Split BA'!$B$7:$B$29,B597,'Antelope Bailey Split BA'!$C$7:$C$29)</f>
        <v>0</v>
      </c>
      <c r="R597" s="39" t="str">
        <f>IF(AND(Q597=1,'Plant Total by Account'!$J$1=2),"EKWRA","")</f>
        <v/>
      </c>
    </row>
    <row r="598" spans="1:18" x14ac:dyDescent="0.2">
      <c r="A598" s="31" t="s">
        <v>3120</v>
      </c>
      <c r="B598" s="36" t="s">
        <v>720</v>
      </c>
      <c r="C598" s="504" t="s">
        <v>3353</v>
      </c>
      <c r="D598" s="42">
        <v>31263.46</v>
      </c>
      <c r="E598" s="42">
        <v>136884.75</v>
      </c>
      <c r="F598" s="42">
        <v>4339875.0499999989</v>
      </c>
      <c r="G598" s="581">
        <f t="shared" si="46"/>
        <v>4508023.2599999988</v>
      </c>
      <c r="H598" s="33">
        <v>0</v>
      </c>
      <c r="I598" s="33">
        <v>0</v>
      </c>
      <c r="J598" s="33">
        <v>0</v>
      </c>
      <c r="K598" s="33">
        <f t="shared" si="48"/>
        <v>31263.46</v>
      </c>
      <c r="L598" s="33">
        <f t="shared" si="49"/>
        <v>136884.75</v>
      </c>
      <c r="M598" s="33">
        <f t="shared" si="50"/>
        <v>4339875.0499999989</v>
      </c>
      <c r="N598" s="235">
        <f t="shared" si="47"/>
        <v>0</v>
      </c>
      <c r="O598" s="35" t="s">
        <v>3327</v>
      </c>
      <c r="P598" s="35"/>
      <c r="Q598" s="39">
        <f>SUMIF('Antelope Bailey Split BA'!$B$7:$B$29,B598,'Antelope Bailey Split BA'!$C$7:$C$29)</f>
        <v>0</v>
      </c>
      <c r="R598" s="39" t="str">
        <f>IF(AND(Q598=1,'Plant Total by Account'!$J$1=2),"EKWRA","")</f>
        <v/>
      </c>
    </row>
    <row r="599" spans="1:18" x14ac:dyDescent="0.2">
      <c r="A599" s="31" t="s">
        <v>2479</v>
      </c>
      <c r="B599" s="36" t="s">
        <v>721</v>
      </c>
      <c r="C599" s="504" t="s">
        <v>3353</v>
      </c>
      <c r="D599" s="42">
        <v>6615.51</v>
      </c>
      <c r="E599" s="42">
        <v>493616.01999999996</v>
      </c>
      <c r="F599" s="42">
        <v>7307900.5700000031</v>
      </c>
      <c r="G599" s="581">
        <f t="shared" si="46"/>
        <v>7808132.1000000034</v>
      </c>
      <c r="H599" s="33">
        <v>0</v>
      </c>
      <c r="I599" s="33">
        <v>0</v>
      </c>
      <c r="J599" s="33">
        <v>0</v>
      </c>
      <c r="K599" s="33">
        <f t="shared" si="48"/>
        <v>6615.51</v>
      </c>
      <c r="L599" s="33">
        <f t="shared" si="49"/>
        <v>493616.01999999996</v>
      </c>
      <c r="M599" s="33">
        <f t="shared" si="50"/>
        <v>7307900.5700000031</v>
      </c>
      <c r="N599" s="235">
        <f t="shared" si="47"/>
        <v>0</v>
      </c>
      <c r="O599" s="35" t="s">
        <v>3327</v>
      </c>
      <c r="P599" s="35"/>
      <c r="Q599" s="39">
        <f>SUMIF('Antelope Bailey Split BA'!$B$7:$B$29,B599,'Antelope Bailey Split BA'!$C$7:$C$29)</f>
        <v>0</v>
      </c>
      <c r="R599" s="39" t="str">
        <f>IF(AND(Q599=1,'Plant Total by Account'!$J$1=2),"EKWRA","")</f>
        <v/>
      </c>
    </row>
    <row r="600" spans="1:18" x14ac:dyDescent="0.2">
      <c r="A600" s="31" t="s">
        <v>3121</v>
      </c>
      <c r="B600" s="36" t="s">
        <v>722</v>
      </c>
      <c r="C600" s="504" t="s">
        <v>3353</v>
      </c>
      <c r="D600" s="42">
        <v>1488.29</v>
      </c>
      <c r="E600" s="42">
        <v>10364.84</v>
      </c>
      <c r="F600" s="42">
        <v>440083.02</v>
      </c>
      <c r="G600" s="581">
        <f t="shared" si="46"/>
        <v>451936.15</v>
      </c>
      <c r="H600" s="33">
        <v>0</v>
      </c>
      <c r="I600" s="33">
        <v>0</v>
      </c>
      <c r="J600" s="33">
        <v>0</v>
      </c>
      <c r="K600" s="33">
        <f t="shared" si="48"/>
        <v>1488.29</v>
      </c>
      <c r="L600" s="33">
        <f t="shared" si="49"/>
        <v>10364.84</v>
      </c>
      <c r="M600" s="33">
        <f t="shared" si="50"/>
        <v>440083.02</v>
      </c>
      <c r="N600" s="235">
        <f t="shared" si="47"/>
        <v>0</v>
      </c>
      <c r="O600" s="35" t="s">
        <v>3327</v>
      </c>
      <c r="P600" s="35"/>
      <c r="Q600" s="39">
        <f>SUMIF('Antelope Bailey Split BA'!$B$7:$B$29,B600,'Antelope Bailey Split BA'!$C$7:$C$29)</f>
        <v>0</v>
      </c>
      <c r="R600" s="39" t="str">
        <f>IF(AND(Q600=1,'Plant Total by Account'!$J$1=2),"EKWRA","")</f>
        <v/>
      </c>
    </row>
    <row r="601" spans="1:18" x14ac:dyDescent="0.2">
      <c r="A601" s="31" t="s">
        <v>2480</v>
      </c>
      <c r="B601" s="36" t="s">
        <v>723</v>
      </c>
      <c r="C601" s="504" t="s">
        <v>3353</v>
      </c>
      <c r="D601" s="42">
        <v>58054.76</v>
      </c>
      <c r="E601" s="42">
        <v>118690.79000000001</v>
      </c>
      <c r="F601" s="42">
        <v>4566366.3199999975</v>
      </c>
      <c r="G601" s="581">
        <f t="shared" si="46"/>
        <v>4743111.8699999973</v>
      </c>
      <c r="H601" s="33">
        <v>0</v>
      </c>
      <c r="I601" s="33">
        <v>0</v>
      </c>
      <c r="J601" s="33">
        <v>0</v>
      </c>
      <c r="K601" s="33">
        <f t="shared" si="48"/>
        <v>58054.76</v>
      </c>
      <c r="L601" s="33">
        <f t="shared" si="49"/>
        <v>118690.79000000001</v>
      </c>
      <c r="M601" s="33">
        <f t="shared" si="50"/>
        <v>4566366.3199999975</v>
      </c>
      <c r="N601" s="235">
        <f t="shared" si="47"/>
        <v>0</v>
      </c>
      <c r="O601" s="35" t="s">
        <v>3327</v>
      </c>
      <c r="P601" s="35"/>
      <c r="Q601" s="39">
        <f>SUMIF('Antelope Bailey Split BA'!$B$7:$B$29,B601,'Antelope Bailey Split BA'!$C$7:$C$29)</f>
        <v>0</v>
      </c>
      <c r="R601" s="39" t="str">
        <f>IF(AND(Q601=1,'Plant Total by Account'!$J$1=2),"EKWRA","")</f>
        <v/>
      </c>
    </row>
    <row r="602" spans="1:18" x14ac:dyDescent="0.2">
      <c r="A602" s="31" t="s">
        <v>3122</v>
      </c>
      <c r="B602" s="36" t="s">
        <v>724</v>
      </c>
      <c r="C602" s="504" t="s">
        <v>3352</v>
      </c>
      <c r="D602" s="42">
        <v>4078.3</v>
      </c>
      <c r="E602" s="42">
        <v>165475.63</v>
      </c>
      <c r="F602" s="42">
        <v>1405697.8399999989</v>
      </c>
      <c r="G602" s="581">
        <f t="shared" si="46"/>
        <v>1575251.7699999989</v>
      </c>
      <c r="H602" s="33">
        <v>0</v>
      </c>
      <c r="I602" s="33">
        <v>0</v>
      </c>
      <c r="J602" s="33">
        <v>0</v>
      </c>
      <c r="K602" s="33">
        <f t="shared" si="48"/>
        <v>4078.3</v>
      </c>
      <c r="L602" s="33">
        <f t="shared" si="49"/>
        <v>165475.63</v>
      </c>
      <c r="M602" s="33">
        <f t="shared" si="50"/>
        <v>1405697.8399999989</v>
      </c>
      <c r="N602" s="235">
        <f t="shared" si="47"/>
        <v>0</v>
      </c>
      <c r="O602" s="35" t="s">
        <v>3327</v>
      </c>
      <c r="P602" s="35"/>
      <c r="Q602" s="39">
        <f>SUMIF('Antelope Bailey Split BA'!$B$7:$B$29,B602,'Antelope Bailey Split BA'!$C$7:$C$29)</f>
        <v>0</v>
      </c>
      <c r="R602" s="39" t="str">
        <f>IF(AND(Q602=1,'Plant Total by Account'!$J$1=2),"EKWRA","")</f>
        <v/>
      </c>
    </row>
    <row r="603" spans="1:18" x14ac:dyDescent="0.2">
      <c r="A603" s="31" t="s">
        <v>3123</v>
      </c>
      <c r="B603" s="36" t="s">
        <v>725</v>
      </c>
      <c r="C603" s="504" t="s">
        <v>3353</v>
      </c>
      <c r="D603" s="42">
        <v>57928.73</v>
      </c>
      <c r="E603" s="42">
        <v>226271.78999999998</v>
      </c>
      <c r="F603" s="42">
        <v>7297227.4500000039</v>
      </c>
      <c r="G603" s="581">
        <f t="shared" si="46"/>
        <v>7581427.9700000035</v>
      </c>
      <c r="H603" s="33">
        <v>0</v>
      </c>
      <c r="I603" s="33">
        <v>0</v>
      </c>
      <c r="J603" s="33">
        <v>0</v>
      </c>
      <c r="K603" s="33">
        <f t="shared" si="48"/>
        <v>57928.73</v>
      </c>
      <c r="L603" s="33">
        <f t="shared" si="49"/>
        <v>226271.78999999998</v>
      </c>
      <c r="M603" s="33">
        <f t="shared" si="50"/>
        <v>7297227.4500000039</v>
      </c>
      <c r="N603" s="235">
        <f t="shared" si="47"/>
        <v>0</v>
      </c>
      <c r="O603" s="35" t="s">
        <v>3327</v>
      </c>
      <c r="P603" s="35"/>
      <c r="Q603" s="39">
        <f>SUMIF('Antelope Bailey Split BA'!$B$7:$B$29,B603,'Antelope Bailey Split BA'!$C$7:$C$29)</f>
        <v>0</v>
      </c>
      <c r="R603" s="39" t="str">
        <f>IF(AND(Q603=1,'Plant Total by Account'!$J$1=2),"EKWRA","")</f>
        <v/>
      </c>
    </row>
    <row r="604" spans="1:18" x14ac:dyDescent="0.2">
      <c r="A604" s="31" t="s">
        <v>3124</v>
      </c>
      <c r="B604" s="36" t="s">
        <v>726</v>
      </c>
      <c r="C604" s="504" t="s">
        <v>3353</v>
      </c>
      <c r="D604" s="42">
        <v>52169.91</v>
      </c>
      <c r="E604" s="42">
        <v>48956.569999999992</v>
      </c>
      <c r="F604" s="42">
        <v>1950996.3099999991</v>
      </c>
      <c r="G604" s="581">
        <f t="shared" si="46"/>
        <v>2052122.7899999991</v>
      </c>
      <c r="H604" s="33">
        <v>0</v>
      </c>
      <c r="I604" s="33">
        <v>0</v>
      </c>
      <c r="J604" s="33">
        <v>0</v>
      </c>
      <c r="K604" s="33">
        <f t="shared" si="48"/>
        <v>52169.91</v>
      </c>
      <c r="L604" s="33">
        <f t="shared" si="49"/>
        <v>48956.569999999992</v>
      </c>
      <c r="M604" s="33">
        <f t="shared" si="50"/>
        <v>1950996.3099999991</v>
      </c>
      <c r="N604" s="235">
        <f t="shared" si="47"/>
        <v>0</v>
      </c>
      <c r="O604" s="35" t="s">
        <v>3327</v>
      </c>
      <c r="P604" s="35"/>
      <c r="Q604" s="39">
        <f>SUMIF('Antelope Bailey Split BA'!$B$7:$B$29,B604,'Antelope Bailey Split BA'!$C$7:$C$29)</f>
        <v>0</v>
      </c>
      <c r="R604" s="39" t="str">
        <f>IF(AND(Q604=1,'Plant Total by Account'!$J$1=2),"EKWRA","")</f>
        <v/>
      </c>
    </row>
    <row r="605" spans="1:18" x14ac:dyDescent="0.2">
      <c r="A605" s="31" t="s">
        <v>3125</v>
      </c>
      <c r="B605" s="36" t="s">
        <v>727</v>
      </c>
      <c r="C605" s="504" t="s">
        <v>3352</v>
      </c>
      <c r="D605" s="42">
        <v>8032.89</v>
      </c>
      <c r="E605" s="42">
        <v>22467.15</v>
      </c>
      <c r="F605" s="42">
        <v>480950.84000000008</v>
      </c>
      <c r="G605" s="581">
        <f t="shared" si="46"/>
        <v>511450.88000000006</v>
      </c>
      <c r="H605" s="33">
        <v>0</v>
      </c>
      <c r="I605" s="33">
        <v>0</v>
      </c>
      <c r="J605" s="33">
        <v>0</v>
      </c>
      <c r="K605" s="33">
        <f t="shared" si="48"/>
        <v>8032.89</v>
      </c>
      <c r="L605" s="33">
        <f t="shared" si="49"/>
        <v>22467.15</v>
      </c>
      <c r="M605" s="33">
        <f t="shared" si="50"/>
        <v>480950.84000000008</v>
      </c>
      <c r="N605" s="235">
        <f t="shared" si="47"/>
        <v>0</v>
      </c>
      <c r="O605" s="35" t="s">
        <v>3327</v>
      </c>
      <c r="P605" s="35"/>
      <c r="Q605" s="39">
        <f>SUMIF('Antelope Bailey Split BA'!$B$7:$B$29,B605,'Antelope Bailey Split BA'!$C$7:$C$29)</f>
        <v>0</v>
      </c>
      <c r="R605" s="39" t="str">
        <f>IF(AND(Q605=1,'Plant Total by Account'!$J$1=2),"EKWRA","")</f>
        <v/>
      </c>
    </row>
    <row r="606" spans="1:18" x14ac:dyDescent="0.2">
      <c r="A606" s="31" t="s">
        <v>3126</v>
      </c>
      <c r="B606" s="36" t="s">
        <v>728</v>
      </c>
      <c r="C606" s="504" t="s">
        <v>3353</v>
      </c>
      <c r="D606" s="42">
        <v>1818.22</v>
      </c>
      <c r="E606" s="42">
        <v>217531.36</v>
      </c>
      <c r="F606" s="42">
        <v>7579562.2499999991</v>
      </c>
      <c r="G606" s="581">
        <f t="shared" si="46"/>
        <v>7798911.8299999991</v>
      </c>
      <c r="H606" s="33">
        <v>0</v>
      </c>
      <c r="I606" s="33">
        <v>0</v>
      </c>
      <c r="J606" s="33">
        <v>0</v>
      </c>
      <c r="K606" s="33">
        <f t="shared" si="48"/>
        <v>1818.22</v>
      </c>
      <c r="L606" s="33">
        <f t="shared" si="49"/>
        <v>217531.36</v>
      </c>
      <c r="M606" s="33">
        <f t="shared" si="50"/>
        <v>7579562.2499999991</v>
      </c>
      <c r="N606" s="235">
        <f t="shared" si="47"/>
        <v>0</v>
      </c>
      <c r="O606" s="35" t="s">
        <v>3327</v>
      </c>
      <c r="P606" s="35"/>
      <c r="Q606" s="39">
        <f>SUMIF('Antelope Bailey Split BA'!$B$7:$B$29,B606,'Antelope Bailey Split BA'!$C$7:$C$29)</f>
        <v>0</v>
      </c>
      <c r="R606" s="39" t="str">
        <f>IF(AND(Q606=1,'Plant Total by Account'!$J$1=2),"EKWRA","")</f>
        <v/>
      </c>
    </row>
    <row r="607" spans="1:18" x14ac:dyDescent="0.2">
      <c r="A607" s="31" t="s">
        <v>3127</v>
      </c>
      <c r="B607" s="36" t="s">
        <v>729</v>
      </c>
      <c r="C607" s="504" t="s">
        <v>3353</v>
      </c>
      <c r="D607" s="42">
        <v>20431.71</v>
      </c>
      <c r="E607" s="42">
        <v>32012.58</v>
      </c>
      <c r="F607" s="42">
        <v>3559586.7200000021</v>
      </c>
      <c r="G607" s="581">
        <f t="shared" si="46"/>
        <v>3612031.0100000021</v>
      </c>
      <c r="H607" s="33">
        <v>0</v>
      </c>
      <c r="I607" s="33">
        <v>0</v>
      </c>
      <c r="J607" s="33">
        <v>0</v>
      </c>
      <c r="K607" s="33">
        <f t="shared" si="48"/>
        <v>20431.71</v>
      </c>
      <c r="L607" s="33">
        <f t="shared" si="49"/>
        <v>32012.58</v>
      </c>
      <c r="M607" s="33">
        <f t="shared" si="50"/>
        <v>3559586.7200000021</v>
      </c>
      <c r="N607" s="235">
        <f t="shared" si="47"/>
        <v>0</v>
      </c>
      <c r="O607" s="35" t="s">
        <v>3327</v>
      </c>
      <c r="P607" s="35"/>
      <c r="Q607" s="39">
        <f>SUMIF('Antelope Bailey Split BA'!$B$7:$B$29,B607,'Antelope Bailey Split BA'!$C$7:$C$29)</f>
        <v>0</v>
      </c>
      <c r="R607" s="39" t="str">
        <f>IF(AND(Q607=1,'Plant Total by Account'!$J$1=2),"EKWRA","")</f>
        <v/>
      </c>
    </row>
    <row r="608" spans="1:18" x14ac:dyDescent="0.2">
      <c r="A608" s="31" t="s">
        <v>3128</v>
      </c>
      <c r="B608" s="36" t="s">
        <v>730</v>
      </c>
      <c r="C608" s="504" t="s">
        <v>3353</v>
      </c>
      <c r="D608" s="42">
        <v>19042.07</v>
      </c>
      <c r="E608" s="42">
        <v>29012.82</v>
      </c>
      <c r="F608" s="42">
        <v>2082680.4799999995</v>
      </c>
      <c r="G608" s="581">
        <f t="shared" si="46"/>
        <v>2130735.3699999996</v>
      </c>
      <c r="H608" s="33">
        <v>0</v>
      </c>
      <c r="I608" s="33">
        <v>0</v>
      </c>
      <c r="J608" s="33">
        <v>0</v>
      </c>
      <c r="K608" s="33">
        <f t="shared" si="48"/>
        <v>19042.07</v>
      </c>
      <c r="L608" s="33">
        <f t="shared" si="49"/>
        <v>29012.82</v>
      </c>
      <c r="M608" s="33">
        <f t="shared" si="50"/>
        <v>2082680.4799999995</v>
      </c>
      <c r="N608" s="235">
        <f t="shared" si="47"/>
        <v>0</v>
      </c>
      <c r="O608" s="35" t="s">
        <v>3327</v>
      </c>
      <c r="P608" s="35"/>
      <c r="Q608" s="39">
        <f>SUMIF('Antelope Bailey Split BA'!$B$7:$B$29,B608,'Antelope Bailey Split BA'!$C$7:$C$29)</f>
        <v>0</v>
      </c>
      <c r="R608" s="39" t="str">
        <f>IF(AND(Q608=1,'Plant Total by Account'!$J$1=2),"EKWRA","")</f>
        <v/>
      </c>
    </row>
    <row r="609" spans="1:18" x14ac:dyDescent="0.2">
      <c r="A609" s="31" t="s">
        <v>3129</v>
      </c>
      <c r="B609" s="36" t="s">
        <v>731</v>
      </c>
      <c r="C609" s="504" t="s">
        <v>3353</v>
      </c>
      <c r="D609" s="42">
        <v>0</v>
      </c>
      <c r="E609" s="42">
        <v>0</v>
      </c>
      <c r="F609" s="42">
        <v>75.02</v>
      </c>
      <c r="G609" s="581">
        <f t="shared" si="46"/>
        <v>75.02</v>
      </c>
      <c r="H609" s="33">
        <v>0</v>
      </c>
      <c r="I609" s="33">
        <v>0</v>
      </c>
      <c r="J609" s="33">
        <v>0</v>
      </c>
      <c r="K609" s="33">
        <f t="shared" si="48"/>
        <v>0</v>
      </c>
      <c r="L609" s="33">
        <f t="shared" si="49"/>
        <v>0</v>
      </c>
      <c r="M609" s="33">
        <f t="shared" si="50"/>
        <v>75.02</v>
      </c>
      <c r="N609" s="235">
        <f t="shared" si="47"/>
        <v>0</v>
      </c>
      <c r="O609" s="35" t="s">
        <v>3327</v>
      </c>
      <c r="P609" s="35"/>
      <c r="Q609" s="39">
        <f>SUMIF('Antelope Bailey Split BA'!$B$7:$B$29,B609,'Antelope Bailey Split BA'!$C$7:$C$29)</f>
        <v>0</v>
      </c>
      <c r="R609" s="39" t="str">
        <f>IF(AND(Q609=1,'Plant Total by Account'!$J$1=2),"EKWRA","")</f>
        <v/>
      </c>
    </row>
    <row r="610" spans="1:18" x14ac:dyDescent="0.2">
      <c r="A610" s="31" t="s">
        <v>3130</v>
      </c>
      <c r="B610" s="36" t="s">
        <v>732</v>
      </c>
      <c r="C610" s="504" t="s">
        <v>3353</v>
      </c>
      <c r="D610" s="42">
        <v>11052.84</v>
      </c>
      <c r="E610" s="42">
        <v>331210.49000000011</v>
      </c>
      <c r="F610" s="42">
        <v>5823045.5299999947</v>
      </c>
      <c r="G610" s="581">
        <f t="shared" si="46"/>
        <v>6165308.8599999947</v>
      </c>
      <c r="H610" s="33">
        <v>0</v>
      </c>
      <c r="I610" s="33">
        <v>0</v>
      </c>
      <c r="J610" s="33">
        <v>0</v>
      </c>
      <c r="K610" s="33">
        <f t="shared" si="48"/>
        <v>11052.84</v>
      </c>
      <c r="L610" s="33">
        <f t="shared" si="49"/>
        <v>331210.49000000011</v>
      </c>
      <c r="M610" s="33">
        <f t="shared" si="50"/>
        <v>5823045.5299999947</v>
      </c>
      <c r="N610" s="235">
        <f t="shared" si="47"/>
        <v>0</v>
      </c>
      <c r="O610" s="35" t="s">
        <v>3327</v>
      </c>
      <c r="P610" s="35"/>
      <c r="Q610" s="39">
        <f>SUMIF('Antelope Bailey Split BA'!$B$7:$B$29,B610,'Antelope Bailey Split BA'!$C$7:$C$29)</f>
        <v>0</v>
      </c>
      <c r="R610" s="39" t="str">
        <f>IF(AND(Q610=1,'Plant Total by Account'!$J$1=2),"EKWRA","")</f>
        <v/>
      </c>
    </row>
    <row r="611" spans="1:18" x14ac:dyDescent="0.2">
      <c r="A611" s="31" t="s">
        <v>3131</v>
      </c>
      <c r="B611" s="36" t="s">
        <v>733</v>
      </c>
      <c r="C611" s="504" t="s">
        <v>3353</v>
      </c>
      <c r="D611" s="42">
        <v>183449.09</v>
      </c>
      <c r="E611" s="42">
        <v>203209.93</v>
      </c>
      <c r="F611" s="42">
        <v>2869604.0900000003</v>
      </c>
      <c r="G611" s="581">
        <f t="shared" si="46"/>
        <v>3256263.1100000003</v>
      </c>
      <c r="H611" s="33">
        <v>0</v>
      </c>
      <c r="I611" s="33">
        <v>0</v>
      </c>
      <c r="J611" s="33">
        <v>0</v>
      </c>
      <c r="K611" s="33">
        <f t="shared" si="48"/>
        <v>183449.09</v>
      </c>
      <c r="L611" s="33">
        <f t="shared" si="49"/>
        <v>203209.93</v>
      </c>
      <c r="M611" s="33">
        <f t="shared" si="50"/>
        <v>2869604.0900000003</v>
      </c>
      <c r="N611" s="235">
        <f t="shared" si="47"/>
        <v>0</v>
      </c>
      <c r="O611" s="35" t="s">
        <v>3327</v>
      </c>
      <c r="P611" s="35"/>
      <c r="Q611" s="39">
        <f>SUMIF('Antelope Bailey Split BA'!$B$7:$B$29,B611,'Antelope Bailey Split BA'!$C$7:$C$29)</f>
        <v>0</v>
      </c>
      <c r="R611" s="39" t="str">
        <f>IF(AND(Q611=1,'Plant Total by Account'!$J$1=2),"EKWRA","")</f>
        <v/>
      </c>
    </row>
    <row r="612" spans="1:18" x14ac:dyDescent="0.2">
      <c r="A612" s="31" t="s">
        <v>2481</v>
      </c>
      <c r="B612" s="36" t="s">
        <v>734</v>
      </c>
      <c r="C612" s="504" t="s">
        <v>3353</v>
      </c>
      <c r="D612" s="42">
        <v>1978.24</v>
      </c>
      <c r="E612" s="42">
        <v>156049.66999999998</v>
      </c>
      <c r="F612" s="42">
        <v>2075575.4300000011</v>
      </c>
      <c r="G612" s="581">
        <f t="shared" si="46"/>
        <v>2233603.3400000012</v>
      </c>
      <c r="H612" s="33">
        <v>0</v>
      </c>
      <c r="I612" s="33">
        <v>0</v>
      </c>
      <c r="J612" s="33">
        <v>0</v>
      </c>
      <c r="K612" s="33">
        <f t="shared" si="48"/>
        <v>1978.24</v>
      </c>
      <c r="L612" s="33">
        <f t="shared" si="49"/>
        <v>156049.66999999998</v>
      </c>
      <c r="M612" s="33">
        <f t="shared" si="50"/>
        <v>2075575.4300000011</v>
      </c>
      <c r="N612" s="235">
        <f t="shared" si="47"/>
        <v>0</v>
      </c>
      <c r="O612" s="35" t="s">
        <v>3327</v>
      </c>
      <c r="P612" s="35"/>
      <c r="Q612" s="39">
        <f>SUMIF('Antelope Bailey Split BA'!$B$7:$B$29,B612,'Antelope Bailey Split BA'!$C$7:$C$29)</f>
        <v>0</v>
      </c>
      <c r="R612" s="39" t="str">
        <f>IF(AND(Q612=1,'Plant Total by Account'!$J$1=2),"EKWRA","")</f>
        <v/>
      </c>
    </row>
    <row r="613" spans="1:18" x14ac:dyDescent="0.2">
      <c r="A613" s="31" t="s">
        <v>3132</v>
      </c>
      <c r="B613" s="36" t="s">
        <v>735</v>
      </c>
      <c r="C613" s="504" t="s">
        <v>3353</v>
      </c>
      <c r="D613" s="42">
        <v>2643.32</v>
      </c>
      <c r="E613" s="42">
        <v>326159.12</v>
      </c>
      <c r="F613" s="42">
        <v>9572923.1399999987</v>
      </c>
      <c r="G613" s="581">
        <f t="shared" si="46"/>
        <v>9901725.5799999982</v>
      </c>
      <c r="H613" s="33">
        <v>0</v>
      </c>
      <c r="I613" s="33">
        <v>0</v>
      </c>
      <c r="J613" s="33">
        <v>0</v>
      </c>
      <c r="K613" s="33">
        <f t="shared" si="48"/>
        <v>2643.32</v>
      </c>
      <c r="L613" s="33">
        <f t="shared" si="49"/>
        <v>326159.12</v>
      </c>
      <c r="M613" s="33">
        <f t="shared" si="50"/>
        <v>9572923.1399999987</v>
      </c>
      <c r="N613" s="235">
        <f t="shared" si="47"/>
        <v>0</v>
      </c>
      <c r="O613" s="35" t="s">
        <v>3327</v>
      </c>
      <c r="P613" s="35"/>
      <c r="Q613" s="39">
        <f>SUMIF('Antelope Bailey Split BA'!$B$7:$B$29,B613,'Antelope Bailey Split BA'!$C$7:$C$29)</f>
        <v>0</v>
      </c>
      <c r="R613" s="39" t="str">
        <f>IF(AND(Q613=1,'Plant Total by Account'!$J$1=2),"EKWRA","")</f>
        <v/>
      </c>
    </row>
    <row r="614" spans="1:18" x14ac:dyDescent="0.2">
      <c r="A614" s="31" t="s">
        <v>3133</v>
      </c>
      <c r="B614" s="36" t="s">
        <v>736</v>
      </c>
      <c r="C614" s="504" t="s">
        <v>3353</v>
      </c>
      <c r="D614" s="42">
        <v>0</v>
      </c>
      <c r="E614" s="42">
        <v>14413.470000000001</v>
      </c>
      <c r="F614" s="42">
        <v>135771.34</v>
      </c>
      <c r="G614" s="581">
        <f t="shared" si="46"/>
        <v>150184.81</v>
      </c>
      <c r="H614" s="33">
        <v>0</v>
      </c>
      <c r="I614" s="33">
        <v>0</v>
      </c>
      <c r="J614" s="33">
        <v>0</v>
      </c>
      <c r="K614" s="33">
        <f t="shared" si="48"/>
        <v>0</v>
      </c>
      <c r="L614" s="33">
        <f t="shared" si="49"/>
        <v>14413.470000000001</v>
      </c>
      <c r="M614" s="33">
        <f t="shared" si="50"/>
        <v>135771.34</v>
      </c>
      <c r="N614" s="235">
        <f t="shared" si="47"/>
        <v>0</v>
      </c>
      <c r="O614" s="35" t="s">
        <v>3327</v>
      </c>
      <c r="P614" s="35"/>
      <c r="Q614" s="39">
        <f>SUMIF('Antelope Bailey Split BA'!$B$7:$B$29,B614,'Antelope Bailey Split BA'!$C$7:$C$29)</f>
        <v>0</v>
      </c>
      <c r="R614" s="39" t="str">
        <f>IF(AND(Q614=1,'Plant Total by Account'!$J$1=2),"EKWRA","")</f>
        <v/>
      </c>
    </row>
    <row r="615" spans="1:18" x14ac:dyDescent="0.2">
      <c r="A615" s="31" t="s">
        <v>2482</v>
      </c>
      <c r="B615" s="36" t="s">
        <v>737</v>
      </c>
      <c r="C615" s="504" t="s">
        <v>3353</v>
      </c>
      <c r="D615" s="42">
        <v>916.07</v>
      </c>
      <c r="E615" s="42">
        <v>281913.49</v>
      </c>
      <c r="F615" s="42">
        <v>2306476.4299999997</v>
      </c>
      <c r="G615" s="581">
        <f t="shared" si="46"/>
        <v>2589305.9899999998</v>
      </c>
      <c r="H615" s="33">
        <v>0</v>
      </c>
      <c r="I615" s="33">
        <v>0</v>
      </c>
      <c r="J615" s="33">
        <v>0</v>
      </c>
      <c r="K615" s="33">
        <f t="shared" si="48"/>
        <v>916.07</v>
      </c>
      <c r="L615" s="33">
        <f t="shared" si="49"/>
        <v>281913.49</v>
      </c>
      <c r="M615" s="33">
        <f t="shared" si="50"/>
        <v>2306476.4299999997</v>
      </c>
      <c r="N615" s="235">
        <f t="shared" si="47"/>
        <v>0</v>
      </c>
      <c r="O615" s="35" t="s">
        <v>3327</v>
      </c>
      <c r="P615" s="35"/>
      <c r="Q615" s="39">
        <f>SUMIF('Antelope Bailey Split BA'!$B$7:$B$29,B615,'Antelope Bailey Split BA'!$C$7:$C$29)</f>
        <v>0</v>
      </c>
      <c r="R615" s="39" t="str">
        <f>IF(AND(Q615=1,'Plant Total by Account'!$J$1=2),"EKWRA","")</f>
        <v/>
      </c>
    </row>
    <row r="616" spans="1:18" x14ac:dyDescent="0.2">
      <c r="A616" s="31" t="s">
        <v>3134</v>
      </c>
      <c r="B616" s="36" t="s">
        <v>738</v>
      </c>
      <c r="C616" s="504" t="s">
        <v>3353</v>
      </c>
      <c r="D616" s="42">
        <v>42323.72</v>
      </c>
      <c r="E616" s="42">
        <v>67547.22</v>
      </c>
      <c r="F616" s="42">
        <v>3686406.7600000026</v>
      </c>
      <c r="G616" s="581">
        <f t="shared" si="46"/>
        <v>3796277.7000000025</v>
      </c>
      <c r="H616" s="33">
        <v>0</v>
      </c>
      <c r="I616" s="33">
        <v>0</v>
      </c>
      <c r="J616" s="33">
        <v>0</v>
      </c>
      <c r="K616" s="33">
        <f t="shared" si="48"/>
        <v>42323.72</v>
      </c>
      <c r="L616" s="33">
        <f t="shared" si="49"/>
        <v>67547.22</v>
      </c>
      <c r="M616" s="33">
        <f t="shared" si="50"/>
        <v>3686406.7600000026</v>
      </c>
      <c r="N616" s="235">
        <f t="shared" si="47"/>
        <v>0</v>
      </c>
      <c r="O616" s="35" t="s">
        <v>3327</v>
      </c>
      <c r="P616" s="35"/>
      <c r="Q616" s="39">
        <f>SUMIF('Antelope Bailey Split BA'!$B$7:$B$29,B616,'Antelope Bailey Split BA'!$C$7:$C$29)</f>
        <v>0</v>
      </c>
      <c r="R616" s="39" t="str">
        <f>IF(AND(Q616=1,'Plant Total by Account'!$J$1=2),"EKWRA","")</f>
        <v/>
      </c>
    </row>
    <row r="617" spans="1:18" x14ac:dyDescent="0.2">
      <c r="A617" s="31" t="s">
        <v>3135</v>
      </c>
      <c r="B617" s="36" t="s">
        <v>739</v>
      </c>
      <c r="C617" s="504" t="s">
        <v>3353</v>
      </c>
      <c r="D617" s="42">
        <v>52555.39</v>
      </c>
      <c r="E617" s="42">
        <v>100598.00000000001</v>
      </c>
      <c r="F617" s="42">
        <v>1933292.5400000003</v>
      </c>
      <c r="G617" s="581">
        <f t="shared" si="46"/>
        <v>2086445.9300000002</v>
      </c>
      <c r="H617" s="33">
        <v>0</v>
      </c>
      <c r="I617" s="33">
        <v>0</v>
      </c>
      <c r="J617" s="33">
        <v>0</v>
      </c>
      <c r="K617" s="33">
        <f t="shared" si="48"/>
        <v>52555.39</v>
      </c>
      <c r="L617" s="33">
        <f t="shared" si="49"/>
        <v>100598.00000000001</v>
      </c>
      <c r="M617" s="33">
        <f t="shared" si="50"/>
        <v>1933292.5400000003</v>
      </c>
      <c r="N617" s="235">
        <f t="shared" si="47"/>
        <v>0</v>
      </c>
      <c r="O617" s="35" t="s">
        <v>3327</v>
      </c>
      <c r="P617" s="35"/>
      <c r="Q617" s="39">
        <f>SUMIF('Antelope Bailey Split BA'!$B$7:$B$29,B617,'Antelope Bailey Split BA'!$C$7:$C$29)</f>
        <v>0</v>
      </c>
      <c r="R617" s="39" t="str">
        <f>IF(AND(Q617=1,'Plant Total by Account'!$J$1=2),"EKWRA","")</f>
        <v/>
      </c>
    </row>
    <row r="618" spans="1:18" x14ac:dyDescent="0.2">
      <c r="A618" s="31" t="s">
        <v>3136</v>
      </c>
      <c r="B618" s="36" t="s">
        <v>740</v>
      </c>
      <c r="C618" s="504" t="s">
        <v>3353</v>
      </c>
      <c r="D618" s="42">
        <v>77254.350000000006</v>
      </c>
      <c r="E618" s="42">
        <v>78220.78</v>
      </c>
      <c r="F618" s="42">
        <v>5126566.790000001</v>
      </c>
      <c r="G618" s="581">
        <f t="shared" si="46"/>
        <v>5282041.9200000009</v>
      </c>
      <c r="H618" s="33">
        <v>0</v>
      </c>
      <c r="I618" s="33">
        <v>0</v>
      </c>
      <c r="J618" s="33">
        <v>0</v>
      </c>
      <c r="K618" s="33">
        <f t="shared" si="48"/>
        <v>77254.350000000006</v>
      </c>
      <c r="L618" s="33">
        <f t="shared" si="49"/>
        <v>78220.78</v>
      </c>
      <c r="M618" s="33">
        <f t="shared" si="50"/>
        <v>5126566.790000001</v>
      </c>
      <c r="N618" s="235">
        <f t="shared" si="47"/>
        <v>0</v>
      </c>
      <c r="O618" s="35" t="s">
        <v>3327</v>
      </c>
      <c r="P618" s="35"/>
      <c r="Q618" s="39">
        <f>SUMIF('Antelope Bailey Split BA'!$B$7:$B$29,B618,'Antelope Bailey Split BA'!$C$7:$C$29)</f>
        <v>0</v>
      </c>
      <c r="R618" s="39" t="str">
        <f>IF(AND(Q618=1,'Plant Total by Account'!$J$1=2),"EKWRA","")</f>
        <v/>
      </c>
    </row>
    <row r="619" spans="1:18" x14ac:dyDescent="0.2">
      <c r="A619" s="31" t="s">
        <v>3137</v>
      </c>
      <c r="B619" s="36" t="s">
        <v>741</v>
      </c>
      <c r="C619" s="504" t="s">
        <v>3353</v>
      </c>
      <c r="D619" s="42">
        <v>20035.87</v>
      </c>
      <c r="E619" s="42">
        <v>155013.84000000005</v>
      </c>
      <c r="F619" s="42">
        <v>5089088.3800000018</v>
      </c>
      <c r="G619" s="581">
        <f t="shared" si="46"/>
        <v>5264138.0900000017</v>
      </c>
      <c r="H619" s="33">
        <v>0</v>
      </c>
      <c r="I619" s="33">
        <v>0</v>
      </c>
      <c r="J619" s="33">
        <v>0</v>
      </c>
      <c r="K619" s="33">
        <f t="shared" si="48"/>
        <v>20035.87</v>
      </c>
      <c r="L619" s="33">
        <f t="shared" si="49"/>
        <v>155013.84000000005</v>
      </c>
      <c r="M619" s="33">
        <f t="shared" si="50"/>
        <v>5089088.3800000018</v>
      </c>
      <c r="N619" s="235">
        <f t="shared" si="47"/>
        <v>0</v>
      </c>
      <c r="O619" s="35" t="s">
        <v>3327</v>
      </c>
      <c r="P619" s="35"/>
      <c r="Q619" s="39">
        <f>SUMIF('Antelope Bailey Split BA'!$B$7:$B$29,B619,'Antelope Bailey Split BA'!$C$7:$C$29)</f>
        <v>0</v>
      </c>
      <c r="R619" s="39" t="str">
        <f>IF(AND(Q619=1,'Plant Total by Account'!$J$1=2),"EKWRA","")</f>
        <v/>
      </c>
    </row>
    <row r="620" spans="1:18" x14ac:dyDescent="0.2">
      <c r="A620" s="31" t="s">
        <v>3138</v>
      </c>
      <c r="B620" s="36" t="s">
        <v>742</v>
      </c>
      <c r="C620" s="504" t="s">
        <v>3353</v>
      </c>
      <c r="D620" s="42">
        <v>25204.38</v>
      </c>
      <c r="E620" s="42">
        <v>344347.48000000004</v>
      </c>
      <c r="F620" s="42">
        <v>7454844.830000001</v>
      </c>
      <c r="G620" s="581">
        <f t="shared" si="46"/>
        <v>7824396.6900000013</v>
      </c>
      <c r="H620" s="33">
        <v>0</v>
      </c>
      <c r="I620" s="33">
        <v>0</v>
      </c>
      <c r="J620" s="33">
        <v>0</v>
      </c>
      <c r="K620" s="33">
        <f t="shared" si="48"/>
        <v>25204.38</v>
      </c>
      <c r="L620" s="33">
        <f t="shared" si="49"/>
        <v>344347.48000000004</v>
      </c>
      <c r="M620" s="33">
        <f t="shared" si="50"/>
        <v>7454844.830000001</v>
      </c>
      <c r="N620" s="235">
        <f t="shared" si="47"/>
        <v>0</v>
      </c>
      <c r="O620" s="35" t="s">
        <v>3327</v>
      </c>
      <c r="P620" s="35"/>
      <c r="Q620" s="39">
        <f>SUMIF('Antelope Bailey Split BA'!$B$7:$B$29,B620,'Antelope Bailey Split BA'!$C$7:$C$29)</f>
        <v>0</v>
      </c>
      <c r="R620" s="39" t="str">
        <f>IF(AND(Q620=1,'Plant Total by Account'!$J$1=2),"EKWRA","")</f>
        <v/>
      </c>
    </row>
    <row r="621" spans="1:18" x14ac:dyDescent="0.2">
      <c r="A621" s="31" t="s">
        <v>3139</v>
      </c>
      <c r="B621" s="36" t="s">
        <v>743</v>
      </c>
      <c r="C621" s="504" t="s">
        <v>3353</v>
      </c>
      <c r="D621" s="42">
        <v>30474.36</v>
      </c>
      <c r="E621" s="42">
        <v>193416.15</v>
      </c>
      <c r="F621" s="42">
        <v>5900284.3600000003</v>
      </c>
      <c r="G621" s="581">
        <f t="shared" si="46"/>
        <v>6124174.8700000001</v>
      </c>
      <c r="H621" s="33">
        <v>0</v>
      </c>
      <c r="I621" s="33">
        <v>0</v>
      </c>
      <c r="J621" s="33">
        <v>0</v>
      </c>
      <c r="K621" s="33">
        <f t="shared" si="48"/>
        <v>30474.36</v>
      </c>
      <c r="L621" s="33">
        <f t="shared" si="49"/>
        <v>193416.15</v>
      </c>
      <c r="M621" s="33">
        <f t="shared" si="50"/>
        <v>5900284.3600000003</v>
      </c>
      <c r="N621" s="235">
        <f t="shared" si="47"/>
        <v>0</v>
      </c>
      <c r="O621" s="35" t="s">
        <v>3327</v>
      </c>
      <c r="P621" s="35"/>
      <c r="Q621" s="39">
        <f>SUMIF('Antelope Bailey Split BA'!$B$7:$B$29,B621,'Antelope Bailey Split BA'!$C$7:$C$29)</f>
        <v>0</v>
      </c>
      <c r="R621" s="39" t="str">
        <f>IF(AND(Q621=1,'Plant Total by Account'!$J$1=2),"EKWRA","")</f>
        <v/>
      </c>
    </row>
    <row r="622" spans="1:18" x14ac:dyDescent="0.2">
      <c r="A622" s="31" t="s">
        <v>3140</v>
      </c>
      <c r="B622" s="36" t="s">
        <v>744</v>
      </c>
      <c r="C622" s="504" t="s">
        <v>3353</v>
      </c>
      <c r="D622" s="42">
        <v>0</v>
      </c>
      <c r="E622" s="42">
        <v>6259.75</v>
      </c>
      <c r="F622" s="42">
        <v>267657.32</v>
      </c>
      <c r="G622" s="581">
        <f t="shared" si="46"/>
        <v>273917.07</v>
      </c>
      <c r="H622" s="33">
        <v>0</v>
      </c>
      <c r="I622" s="33">
        <v>0</v>
      </c>
      <c r="J622" s="33">
        <v>0</v>
      </c>
      <c r="K622" s="33">
        <f t="shared" si="48"/>
        <v>0</v>
      </c>
      <c r="L622" s="33">
        <f t="shared" si="49"/>
        <v>6259.75</v>
      </c>
      <c r="M622" s="33">
        <f t="shared" si="50"/>
        <v>267657.32</v>
      </c>
      <c r="N622" s="235">
        <f t="shared" si="47"/>
        <v>0</v>
      </c>
      <c r="O622" s="35" t="s">
        <v>3327</v>
      </c>
      <c r="P622" s="35"/>
      <c r="Q622" s="39">
        <f>SUMIF('Antelope Bailey Split BA'!$B$7:$B$29,B622,'Antelope Bailey Split BA'!$C$7:$C$29)</f>
        <v>0</v>
      </c>
      <c r="R622" s="39" t="str">
        <f>IF(AND(Q622=1,'Plant Total by Account'!$J$1=2),"EKWRA","")</f>
        <v/>
      </c>
    </row>
    <row r="623" spans="1:18" x14ac:dyDescent="0.2">
      <c r="A623" s="31" t="s">
        <v>3141</v>
      </c>
      <c r="B623" s="36" t="s">
        <v>745</v>
      </c>
      <c r="C623" s="504" t="s">
        <v>3353</v>
      </c>
      <c r="D623" s="42">
        <v>0</v>
      </c>
      <c r="E623" s="42">
        <v>466740.98</v>
      </c>
      <c r="F623" s="42">
        <v>0</v>
      </c>
      <c r="G623" s="581">
        <f t="shared" si="46"/>
        <v>466740.98</v>
      </c>
      <c r="H623" s="33">
        <v>0</v>
      </c>
      <c r="I623" s="33">
        <v>0</v>
      </c>
      <c r="J623" s="33">
        <v>0</v>
      </c>
      <c r="K623" s="33">
        <f t="shared" si="48"/>
        <v>0</v>
      </c>
      <c r="L623" s="33">
        <f t="shared" si="49"/>
        <v>466740.98</v>
      </c>
      <c r="M623" s="33">
        <f t="shared" si="50"/>
        <v>0</v>
      </c>
      <c r="N623" s="235">
        <f t="shared" si="47"/>
        <v>0</v>
      </c>
      <c r="O623" s="35" t="s">
        <v>3327</v>
      </c>
      <c r="P623" s="35"/>
      <c r="Q623" s="39">
        <f>SUMIF('Antelope Bailey Split BA'!$B$7:$B$29,B623,'Antelope Bailey Split BA'!$C$7:$C$29)</f>
        <v>0</v>
      </c>
      <c r="R623" s="39" t="str">
        <f>IF(AND(Q623=1,'Plant Total by Account'!$J$1=2),"EKWRA","")</f>
        <v/>
      </c>
    </row>
    <row r="624" spans="1:18" x14ac:dyDescent="0.2">
      <c r="A624" s="31" t="s">
        <v>2483</v>
      </c>
      <c r="B624" s="36" t="s">
        <v>746</v>
      </c>
      <c r="C624" s="504" t="s">
        <v>3353</v>
      </c>
      <c r="D624" s="42">
        <v>6908.91</v>
      </c>
      <c r="E624" s="42">
        <v>361409.03999999992</v>
      </c>
      <c r="F624" s="42">
        <v>7469089.6500000013</v>
      </c>
      <c r="G624" s="581">
        <f t="shared" si="46"/>
        <v>7837407.6000000015</v>
      </c>
      <c r="H624" s="33">
        <v>0</v>
      </c>
      <c r="I624" s="33">
        <v>0</v>
      </c>
      <c r="J624" s="33">
        <v>0</v>
      </c>
      <c r="K624" s="33">
        <f t="shared" si="48"/>
        <v>6908.91</v>
      </c>
      <c r="L624" s="33">
        <f t="shared" si="49"/>
        <v>361409.03999999992</v>
      </c>
      <c r="M624" s="33">
        <f t="shared" si="50"/>
        <v>7469089.6500000013</v>
      </c>
      <c r="N624" s="235">
        <f t="shared" si="47"/>
        <v>0</v>
      </c>
      <c r="O624" s="35" t="s">
        <v>3327</v>
      </c>
      <c r="P624" s="35"/>
      <c r="Q624" s="39">
        <f>SUMIF('Antelope Bailey Split BA'!$B$7:$B$29,B624,'Antelope Bailey Split BA'!$C$7:$C$29)</f>
        <v>0</v>
      </c>
      <c r="R624" s="39" t="str">
        <f>IF(AND(Q624=1,'Plant Total by Account'!$J$1=2),"EKWRA","")</f>
        <v/>
      </c>
    </row>
    <row r="625" spans="1:18" x14ac:dyDescent="0.2">
      <c r="A625" s="31" t="s">
        <v>3142</v>
      </c>
      <c r="B625" s="36" t="s">
        <v>747</v>
      </c>
      <c r="C625" s="504" t="s">
        <v>3353</v>
      </c>
      <c r="D625" s="42">
        <v>91402.090000000011</v>
      </c>
      <c r="E625" s="42">
        <v>127593.23999999999</v>
      </c>
      <c r="F625" s="42">
        <v>4799881.7999999961</v>
      </c>
      <c r="G625" s="581">
        <f t="shared" si="46"/>
        <v>5018877.1299999962</v>
      </c>
      <c r="H625" s="33">
        <v>0</v>
      </c>
      <c r="I625" s="33">
        <v>0</v>
      </c>
      <c r="J625" s="33">
        <v>0</v>
      </c>
      <c r="K625" s="33">
        <f t="shared" si="48"/>
        <v>91402.090000000011</v>
      </c>
      <c r="L625" s="33">
        <f t="shared" si="49"/>
        <v>127593.23999999999</v>
      </c>
      <c r="M625" s="33">
        <f t="shared" si="50"/>
        <v>4799881.7999999961</v>
      </c>
      <c r="N625" s="235">
        <f t="shared" si="47"/>
        <v>0</v>
      </c>
      <c r="O625" s="35" t="s">
        <v>3327</v>
      </c>
      <c r="P625" s="35"/>
      <c r="Q625" s="39">
        <f>SUMIF('Antelope Bailey Split BA'!$B$7:$B$29,B625,'Antelope Bailey Split BA'!$C$7:$C$29)</f>
        <v>0</v>
      </c>
      <c r="R625" s="39" t="str">
        <f>IF(AND(Q625=1,'Plant Total by Account'!$J$1=2),"EKWRA","")</f>
        <v/>
      </c>
    </row>
    <row r="626" spans="1:18" x14ac:dyDescent="0.2">
      <c r="A626" s="31" t="s">
        <v>3143</v>
      </c>
      <c r="B626" s="36" t="s">
        <v>748</v>
      </c>
      <c r="C626" s="504" t="s">
        <v>3353</v>
      </c>
      <c r="D626" s="42">
        <v>0</v>
      </c>
      <c r="E626" s="42">
        <v>0</v>
      </c>
      <c r="F626" s="42">
        <v>39287.120000000003</v>
      </c>
      <c r="G626" s="581">
        <f t="shared" si="46"/>
        <v>39287.120000000003</v>
      </c>
      <c r="H626" s="33">
        <v>0</v>
      </c>
      <c r="I626" s="33">
        <v>0</v>
      </c>
      <c r="J626" s="33">
        <v>0</v>
      </c>
      <c r="K626" s="33">
        <f t="shared" si="48"/>
        <v>0</v>
      </c>
      <c r="L626" s="33">
        <f t="shared" si="49"/>
        <v>0</v>
      </c>
      <c r="M626" s="33">
        <f t="shared" si="50"/>
        <v>39287.120000000003</v>
      </c>
      <c r="N626" s="235">
        <f t="shared" si="47"/>
        <v>0</v>
      </c>
      <c r="O626" s="35" t="s">
        <v>3327</v>
      </c>
      <c r="P626" s="35"/>
      <c r="Q626" s="39">
        <f>SUMIF('Antelope Bailey Split BA'!$B$7:$B$29,B626,'Antelope Bailey Split BA'!$C$7:$C$29)</f>
        <v>0</v>
      </c>
      <c r="R626" s="39" t="str">
        <f>IF(AND(Q626=1,'Plant Total by Account'!$J$1=2),"EKWRA","")</f>
        <v/>
      </c>
    </row>
    <row r="627" spans="1:18" x14ac:dyDescent="0.2">
      <c r="A627" s="31" t="s">
        <v>3144</v>
      </c>
      <c r="B627" s="36" t="s">
        <v>749</v>
      </c>
      <c r="C627" s="504" t="s">
        <v>3353</v>
      </c>
      <c r="D627" s="42">
        <v>64266.46</v>
      </c>
      <c r="E627" s="42">
        <v>124016.77</v>
      </c>
      <c r="F627" s="42">
        <v>4225406.6700000027</v>
      </c>
      <c r="G627" s="581">
        <f t="shared" si="46"/>
        <v>4413689.9000000032</v>
      </c>
      <c r="H627" s="33">
        <v>0</v>
      </c>
      <c r="I627" s="33">
        <v>0</v>
      </c>
      <c r="J627" s="33">
        <v>0</v>
      </c>
      <c r="K627" s="33">
        <f t="shared" si="48"/>
        <v>64266.46</v>
      </c>
      <c r="L627" s="33">
        <f t="shared" si="49"/>
        <v>124016.77</v>
      </c>
      <c r="M627" s="33">
        <f t="shared" si="50"/>
        <v>4225406.6700000027</v>
      </c>
      <c r="N627" s="235">
        <f t="shared" si="47"/>
        <v>0</v>
      </c>
      <c r="O627" s="35" t="s">
        <v>3327</v>
      </c>
      <c r="P627" s="35"/>
      <c r="Q627" s="39">
        <f>SUMIF('Antelope Bailey Split BA'!$B$7:$B$29,B627,'Antelope Bailey Split BA'!$C$7:$C$29)</f>
        <v>0</v>
      </c>
      <c r="R627" s="39" t="str">
        <f>IF(AND(Q627=1,'Plant Total by Account'!$J$1=2),"EKWRA","")</f>
        <v/>
      </c>
    </row>
    <row r="628" spans="1:18" x14ac:dyDescent="0.2">
      <c r="A628" s="31" t="s">
        <v>3145</v>
      </c>
      <c r="B628" s="36" t="s">
        <v>750</v>
      </c>
      <c r="C628" s="504" t="s">
        <v>3353</v>
      </c>
      <c r="D628" s="42">
        <v>503.06</v>
      </c>
      <c r="E628" s="42">
        <v>0</v>
      </c>
      <c r="F628" s="42">
        <v>0</v>
      </c>
      <c r="G628" s="581">
        <f t="shared" si="46"/>
        <v>503.06</v>
      </c>
      <c r="H628" s="33">
        <v>0</v>
      </c>
      <c r="I628" s="33">
        <v>0</v>
      </c>
      <c r="J628" s="33">
        <v>0</v>
      </c>
      <c r="K628" s="33">
        <f t="shared" si="48"/>
        <v>503.06</v>
      </c>
      <c r="L628" s="33">
        <f t="shared" si="49"/>
        <v>0</v>
      </c>
      <c r="M628" s="33">
        <f t="shared" si="50"/>
        <v>0</v>
      </c>
      <c r="N628" s="235">
        <f t="shared" si="47"/>
        <v>0</v>
      </c>
      <c r="O628" s="35" t="s">
        <v>3327</v>
      </c>
      <c r="P628" s="35"/>
      <c r="Q628" s="39">
        <f>SUMIF('Antelope Bailey Split BA'!$B$7:$B$29,B628,'Antelope Bailey Split BA'!$C$7:$C$29)</f>
        <v>0</v>
      </c>
      <c r="R628" s="39" t="str">
        <f>IF(AND(Q628=1,'Plant Total by Account'!$J$1=2),"EKWRA","")</f>
        <v/>
      </c>
    </row>
    <row r="629" spans="1:18" x14ac:dyDescent="0.2">
      <c r="A629" s="31" t="s">
        <v>3146</v>
      </c>
      <c r="B629" s="36" t="s">
        <v>751</v>
      </c>
      <c r="C629" s="504" t="s">
        <v>3352</v>
      </c>
      <c r="D629" s="42">
        <v>3355.84</v>
      </c>
      <c r="E629" s="42">
        <v>57301.840000000004</v>
      </c>
      <c r="F629" s="42">
        <v>335968.12</v>
      </c>
      <c r="G629" s="581">
        <f t="shared" si="46"/>
        <v>396625.8</v>
      </c>
      <c r="H629" s="33">
        <v>0</v>
      </c>
      <c r="I629" s="33">
        <v>0</v>
      </c>
      <c r="J629" s="33">
        <v>0</v>
      </c>
      <c r="K629" s="33">
        <f t="shared" si="48"/>
        <v>3355.84</v>
      </c>
      <c r="L629" s="33">
        <f t="shared" si="49"/>
        <v>57301.840000000004</v>
      </c>
      <c r="M629" s="33">
        <f t="shared" si="50"/>
        <v>335968.12</v>
      </c>
      <c r="N629" s="235">
        <f t="shared" si="47"/>
        <v>0</v>
      </c>
      <c r="O629" s="35" t="s">
        <v>3327</v>
      </c>
      <c r="P629" s="35"/>
      <c r="Q629" s="39">
        <f>SUMIF('Antelope Bailey Split BA'!$B$7:$B$29,B629,'Antelope Bailey Split BA'!$C$7:$C$29)</f>
        <v>0</v>
      </c>
      <c r="R629" s="39" t="str">
        <f>IF(AND(Q629=1,'Plant Total by Account'!$J$1=2),"EKWRA","")</f>
        <v/>
      </c>
    </row>
    <row r="630" spans="1:18" x14ac:dyDescent="0.2">
      <c r="A630" s="31" t="s">
        <v>3147</v>
      </c>
      <c r="B630" s="36" t="s">
        <v>752</v>
      </c>
      <c r="C630" s="504" t="s">
        <v>3352</v>
      </c>
      <c r="D630" s="42">
        <v>19605.480000000003</v>
      </c>
      <c r="E630" s="42">
        <v>0</v>
      </c>
      <c r="F630" s="42">
        <v>0</v>
      </c>
      <c r="G630" s="581">
        <f t="shared" si="46"/>
        <v>19605.480000000003</v>
      </c>
      <c r="H630" s="33">
        <v>0</v>
      </c>
      <c r="I630" s="33">
        <v>0</v>
      </c>
      <c r="J630" s="33">
        <v>0</v>
      </c>
      <c r="K630" s="33">
        <f t="shared" si="48"/>
        <v>19605.480000000003</v>
      </c>
      <c r="L630" s="33">
        <f t="shared" si="49"/>
        <v>0</v>
      </c>
      <c r="M630" s="33">
        <f t="shared" si="50"/>
        <v>0</v>
      </c>
      <c r="N630" s="235">
        <f t="shared" si="47"/>
        <v>0</v>
      </c>
      <c r="O630" s="35" t="s">
        <v>3327</v>
      </c>
      <c r="P630" s="35"/>
      <c r="Q630" s="39">
        <f>SUMIF('Antelope Bailey Split BA'!$B$7:$B$29,B630,'Antelope Bailey Split BA'!$C$7:$C$29)</f>
        <v>0</v>
      </c>
      <c r="R630" s="39" t="str">
        <f>IF(AND(Q630=1,'Plant Total by Account'!$J$1=2),"EKWRA","")</f>
        <v/>
      </c>
    </row>
    <row r="631" spans="1:18" x14ac:dyDescent="0.2">
      <c r="A631" s="31" t="s">
        <v>3148</v>
      </c>
      <c r="B631" s="36" t="s">
        <v>753</v>
      </c>
      <c r="C631" s="504" t="s">
        <v>3353</v>
      </c>
      <c r="D631" s="42">
        <v>26233.02</v>
      </c>
      <c r="E631" s="42">
        <v>115059.97999999998</v>
      </c>
      <c r="F631" s="42">
        <v>5803617.8000000007</v>
      </c>
      <c r="G631" s="581">
        <f t="shared" si="46"/>
        <v>5944910.8000000007</v>
      </c>
      <c r="H631" s="33">
        <v>0</v>
      </c>
      <c r="I631" s="33">
        <v>0</v>
      </c>
      <c r="J631" s="33">
        <v>0</v>
      </c>
      <c r="K631" s="33">
        <f t="shared" si="48"/>
        <v>26233.02</v>
      </c>
      <c r="L631" s="33">
        <f t="shared" si="49"/>
        <v>115059.97999999998</v>
      </c>
      <c r="M631" s="33">
        <f t="shared" si="50"/>
        <v>5803617.8000000007</v>
      </c>
      <c r="N631" s="235">
        <f t="shared" si="47"/>
        <v>0</v>
      </c>
      <c r="O631" s="35" t="s">
        <v>3327</v>
      </c>
      <c r="P631" s="35"/>
      <c r="Q631" s="39">
        <f>SUMIF('Antelope Bailey Split BA'!$B$7:$B$29,B631,'Antelope Bailey Split BA'!$C$7:$C$29)</f>
        <v>0</v>
      </c>
      <c r="R631" s="39" t="str">
        <f>IF(AND(Q631=1,'Plant Total by Account'!$J$1=2),"EKWRA","")</f>
        <v/>
      </c>
    </row>
    <row r="632" spans="1:18" x14ac:dyDescent="0.2">
      <c r="A632" s="31" t="s">
        <v>3149</v>
      </c>
      <c r="B632" s="36" t="s">
        <v>754</v>
      </c>
      <c r="C632" s="504" t="s">
        <v>3353</v>
      </c>
      <c r="D632" s="42">
        <v>141655.82</v>
      </c>
      <c r="E632" s="42">
        <v>194546.1</v>
      </c>
      <c r="F632" s="42">
        <v>4542598.3100000015</v>
      </c>
      <c r="G632" s="581">
        <f t="shared" si="46"/>
        <v>4878800.2300000014</v>
      </c>
      <c r="H632" s="33">
        <v>0</v>
      </c>
      <c r="I632" s="33">
        <v>0</v>
      </c>
      <c r="J632" s="33">
        <v>0</v>
      </c>
      <c r="K632" s="33">
        <f t="shared" si="48"/>
        <v>141655.82</v>
      </c>
      <c r="L632" s="33">
        <f t="shared" si="49"/>
        <v>194546.1</v>
      </c>
      <c r="M632" s="33">
        <f t="shared" si="50"/>
        <v>4542598.3100000015</v>
      </c>
      <c r="N632" s="235">
        <f t="shared" si="47"/>
        <v>0</v>
      </c>
      <c r="O632" s="35" t="s">
        <v>3327</v>
      </c>
      <c r="P632" s="35"/>
      <c r="Q632" s="39">
        <f>SUMIF('Antelope Bailey Split BA'!$B$7:$B$29,B632,'Antelope Bailey Split BA'!$C$7:$C$29)</f>
        <v>0</v>
      </c>
      <c r="R632" s="39" t="str">
        <f>IF(AND(Q632=1,'Plant Total by Account'!$J$1=2),"EKWRA","")</f>
        <v/>
      </c>
    </row>
    <row r="633" spans="1:18" x14ac:dyDescent="0.2">
      <c r="A633" s="31" t="s">
        <v>3150</v>
      </c>
      <c r="B633" s="36" t="s">
        <v>755</v>
      </c>
      <c r="C633" s="504" t="s">
        <v>3353</v>
      </c>
      <c r="D633" s="42">
        <v>83294.78</v>
      </c>
      <c r="E633" s="42">
        <v>67562.22</v>
      </c>
      <c r="F633" s="42">
        <v>3113470.2500000009</v>
      </c>
      <c r="G633" s="581">
        <f t="shared" si="46"/>
        <v>3264327.2500000009</v>
      </c>
      <c r="H633" s="33">
        <v>0</v>
      </c>
      <c r="I633" s="33">
        <v>0</v>
      </c>
      <c r="J633" s="33">
        <v>0</v>
      </c>
      <c r="K633" s="33">
        <f t="shared" si="48"/>
        <v>83294.78</v>
      </c>
      <c r="L633" s="33">
        <f t="shared" si="49"/>
        <v>67562.22</v>
      </c>
      <c r="M633" s="33">
        <f t="shared" si="50"/>
        <v>3113470.2500000009</v>
      </c>
      <c r="N633" s="235">
        <f t="shared" si="47"/>
        <v>0</v>
      </c>
      <c r="O633" s="35" t="s">
        <v>3327</v>
      </c>
      <c r="P633" s="35"/>
      <c r="Q633" s="39">
        <f>SUMIF('Antelope Bailey Split BA'!$B$7:$B$29,B633,'Antelope Bailey Split BA'!$C$7:$C$29)</f>
        <v>0</v>
      </c>
      <c r="R633" s="39" t="str">
        <f>IF(AND(Q633=1,'Plant Total by Account'!$J$1=2),"EKWRA","")</f>
        <v/>
      </c>
    </row>
    <row r="634" spans="1:18" x14ac:dyDescent="0.2">
      <c r="A634" s="31" t="s">
        <v>3151</v>
      </c>
      <c r="B634" s="36" t="s">
        <v>756</v>
      </c>
      <c r="C634" s="504" t="s">
        <v>3353</v>
      </c>
      <c r="D634" s="42">
        <v>23620.07</v>
      </c>
      <c r="E634" s="42">
        <v>163568.89000000001</v>
      </c>
      <c r="F634" s="42">
        <v>3046832.5800000005</v>
      </c>
      <c r="G634" s="581">
        <f t="shared" si="46"/>
        <v>3234021.5400000005</v>
      </c>
      <c r="H634" s="33">
        <v>0</v>
      </c>
      <c r="I634" s="33">
        <v>0</v>
      </c>
      <c r="J634" s="33">
        <v>0</v>
      </c>
      <c r="K634" s="33">
        <f t="shared" si="48"/>
        <v>23620.07</v>
      </c>
      <c r="L634" s="33">
        <f t="shared" si="49"/>
        <v>163568.89000000001</v>
      </c>
      <c r="M634" s="33">
        <f t="shared" si="50"/>
        <v>3046832.5800000005</v>
      </c>
      <c r="N634" s="235">
        <f t="shared" si="47"/>
        <v>0</v>
      </c>
      <c r="O634" s="35" t="s">
        <v>3327</v>
      </c>
      <c r="P634" s="35"/>
      <c r="Q634" s="39">
        <f>SUMIF('Antelope Bailey Split BA'!$B$7:$B$29,B634,'Antelope Bailey Split BA'!$C$7:$C$29)</f>
        <v>0</v>
      </c>
      <c r="R634" s="39" t="str">
        <f>IF(AND(Q634=1,'Plant Total by Account'!$J$1=2),"EKWRA","")</f>
        <v/>
      </c>
    </row>
    <row r="635" spans="1:18" x14ac:dyDescent="0.2">
      <c r="A635" s="31" t="s">
        <v>3152</v>
      </c>
      <c r="B635" s="36" t="s">
        <v>757</v>
      </c>
      <c r="C635" s="504" t="s">
        <v>3353</v>
      </c>
      <c r="D635" s="42">
        <v>118648.70000000001</v>
      </c>
      <c r="E635" s="42">
        <v>228243.76</v>
      </c>
      <c r="F635" s="42">
        <v>3533425.3300000019</v>
      </c>
      <c r="G635" s="581">
        <f t="shared" si="46"/>
        <v>3880317.7900000019</v>
      </c>
      <c r="H635" s="33">
        <v>0</v>
      </c>
      <c r="I635" s="33">
        <v>0</v>
      </c>
      <c r="J635" s="33">
        <v>0</v>
      </c>
      <c r="K635" s="33">
        <f t="shared" si="48"/>
        <v>118648.70000000001</v>
      </c>
      <c r="L635" s="33">
        <f t="shared" si="49"/>
        <v>228243.76</v>
      </c>
      <c r="M635" s="33">
        <f t="shared" si="50"/>
        <v>3533425.3300000019</v>
      </c>
      <c r="N635" s="235">
        <f t="shared" si="47"/>
        <v>0</v>
      </c>
      <c r="O635" s="35" t="s">
        <v>3327</v>
      </c>
      <c r="P635" s="35"/>
      <c r="Q635" s="39">
        <f>SUMIF('Antelope Bailey Split BA'!$B$7:$B$29,B635,'Antelope Bailey Split BA'!$C$7:$C$29)</f>
        <v>0</v>
      </c>
      <c r="R635" s="39" t="str">
        <f>IF(AND(Q635=1,'Plant Total by Account'!$J$1=2),"EKWRA","")</f>
        <v/>
      </c>
    </row>
    <row r="636" spans="1:18" x14ac:dyDescent="0.2">
      <c r="A636" s="31" t="s">
        <v>3153</v>
      </c>
      <c r="B636" s="36" t="s">
        <v>758</v>
      </c>
      <c r="C636" s="504" t="s">
        <v>3353</v>
      </c>
      <c r="D636" s="42">
        <v>86491.88</v>
      </c>
      <c r="E636" s="42">
        <v>69604.680000000008</v>
      </c>
      <c r="F636" s="42">
        <v>1827565.01</v>
      </c>
      <c r="G636" s="581">
        <f t="shared" si="46"/>
        <v>1983661.57</v>
      </c>
      <c r="H636" s="33">
        <v>0</v>
      </c>
      <c r="I636" s="33">
        <v>0</v>
      </c>
      <c r="J636" s="33">
        <v>0</v>
      </c>
      <c r="K636" s="33">
        <f t="shared" si="48"/>
        <v>86491.88</v>
      </c>
      <c r="L636" s="33">
        <f t="shared" si="49"/>
        <v>69604.680000000008</v>
      </c>
      <c r="M636" s="33">
        <f t="shared" si="50"/>
        <v>1827565.01</v>
      </c>
      <c r="N636" s="235">
        <f t="shared" si="47"/>
        <v>0</v>
      </c>
      <c r="O636" s="35" t="s">
        <v>3327</v>
      </c>
      <c r="P636" s="35"/>
      <c r="Q636" s="39">
        <f>SUMIF('Antelope Bailey Split BA'!$B$7:$B$29,B636,'Antelope Bailey Split BA'!$C$7:$C$29)</f>
        <v>0</v>
      </c>
      <c r="R636" s="39" t="str">
        <f>IF(AND(Q636=1,'Plant Total by Account'!$J$1=2),"EKWRA","")</f>
        <v/>
      </c>
    </row>
    <row r="637" spans="1:18" x14ac:dyDescent="0.2">
      <c r="A637" s="31" t="s">
        <v>3154</v>
      </c>
      <c r="B637" s="36" t="s">
        <v>759</v>
      </c>
      <c r="C637" s="504" t="s">
        <v>3353</v>
      </c>
      <c r="D637" s="42">
        <v>0</v>
      </c>
      <c r="E637" s="42">
        <v>10307.699999999999</v>
      </c>
      <c r="F637" s="42">
        <v>53524.840000000004</v>
      </c>
      <c r="G637" s="581">
        <f t="shared" si="46"/>
        <v>63832.54</v>
      </c>
      <c r="H637" s="33">
        <v>0</v>
      </c>
      <c r="I637" s="33">
        <v>0</v>
      </c>
      <c r="J637" s="33">
        <v>0</v>
      </c>
      <c r="K637" s="33">
        <f t="shared" si="48"/>
        <v>0</v>
      </c>
      <c r="L637" s="33">
        <f t="shared" si="49"/>
        <v>10307.699999999999</v>
      </c>
      <c r="M637" s="33">
        <f t="shared" si="50"/>
        <v>53524.840000000004</v>
      </c>
      <c r="N637" s="235">
        <f t="shared" si="47"/>
        <v>0</v>
      </c>
      <c r="O637" s="35" t="s">
        <v>3327</v>
      </c>
      <c r="P637" s="35"/>
      <c r="Q637" s="39">
        <f>SUMIF('Antelope Bailey Split BA'!$B$7:$B$29,B637,'Antelope Bailey Split BA'!$C$7:$C$29)</f>
        <v>0</v>
      </c>
      <c r="R637" s="39" t="str">
        <f>IF(AND(Q637=1,'Plant Total by Account'!$J$1=2),"EKWRA","")</f>
        <v/>
      </c>
    </row>
    <row r="638" spans="1:18" x14ac:dyDescent="0.2">
      <c r="A638" s="31" t="s">
        <v>3155</v>
      </c>
      <c r="B638" s="36" t="s">
        <v>760</v>
      </c>
      <c r="C638" s="504" t="s">
        <v>3352</v>
      </c>
      <c r="D638" s="42">
        <v>3885.63</v>
      </c>
      <c r="E638" s="42">
        <v>33322.11</v>
      </c>
      <c r="F638" s="42">
        <v>1133093.5300000003</v>
      </c>
      <c r="G638" s="581">
        <f t="shared" si="46"/>
        <v>1170301.2700000003</v>
      </c>
      <c r="H638" s="33">
        <v>0</v>
      </c>
      <c r="I638" s="33">
        <v>0</v>
      </c>
      <c r="J638" s="33">
        <v>0</v>
      </c>
      <c r="K638" s="33">
        <f t="shared" si="48"/>
        <v>3885.63</v>
      </c>
      <c r="L638" s="33">
        <f t="shared" si="49"/>
        <v>33322.11</v>
      </c>
      <c r="M638" s="33">
        <f t="shared" si="50"/>
        <v>1133093.5300000003</v>
      </c>
      <c r="N638" s="235">
        <f t="shared" si="47"/>
        <v>0</v>
      </c>
      <c r="O638" s="35" t="s">
        <v>3327</v>
      </c>
      <c r="P638" s="35"/>
      <c r="Q638" s="39">
        <f>SUMIF('Antelope Bailey Split BA'!$B$7:$B$29,B638,'Antelope Bailey Split BA'!$C$7:$C$29)</f>
        <v>0</v>
      </c>
      <c r="R638" s="39" t="str">
        <f>IF(AND(Q638=1,'Plant Total by Account'!$J$1=2),"EKWRA","")</f>
        <v/>
      </c>
    </row>
    <row r="639" spans="1:18" x14ac:dyDescent="0.2">
      <c r="A639" s="31" t="s">
        <v>2484</v>
      </c>
      <c r="B639" s="36" t="s">
        <v>761</v>
      </c>
      <c r="C639" s="504" t="s">
        <v>3353</v>
      </c>
      <c r="D639" s="42">
        <v>62261.07</v>
      </c>
      <c r="E639" s="42">
        <v>0</v>
      </c>
      <c r="F639" s="42">
        <v>0</v>
      </c>
      <c r="G639" s="581">
        <f t="shared" si="46"/>
        <v>62261.07</v>
      </c>
      <c r="H639" s="33">
        <v>0</v>
      </c>
      <c r="I639" s="33">
        <v>0</v>
      </c>
      <c r="J639" s="33">
        <v>0</v>
      </c>
      <c r="K639" s="33">
        <f t="shared" si="48"/>
        <v>62261.07</v>
      </c>
      <c r="L639" s="33">
        <f t="shared" si="49"/>
        <v>0</v>
      </c>
      <c r="M639" s="33">
        <f t="shared" si="50"/>
        <v>0</v>
      </c>
      <c r="N639" s="235">
        <f t="shared" si="47"/>
        <v>0</v>
      </c>
      <c r="O639" s="35" t="s">
        <v>3327</v>
      </c>
      <c r="P639" s="35"/>
      <c r="Q639" s="39">
        <f>SUMIF('Antelope Bailey Split BA'!$B$7:$B$29,B639,'Antelope Bailey Split BA'!$C$7:$C$29)</f>
        <v>0</v>
      </c>
      <c r="R639" s="39" t="str">
        <f>IF(AND(Q639=1,'Plant Total by Account'!$J$1=2),"EKWRA","")</f>
        <v/>
      </c>
    </row>
    <row r="640" spans="1:18" x14ac:dyDescent="0.2">
      <c r="A640" s="31" t="s">
        <v>3156</v>
      </c>
      <c r="B640" s="36" t="s">
        <v>762</v>
      </c>
      <c r="C640" s="504" t="s">
        <v>3353</v>
      </c>
      <c r="D640" s="42">
        <v>1680.8500000000001</v>
      </c>
      <c r="E640" s="42">
        <v>71280.58</v>
      </c>
      <c r="F640" s="42">
        <v>4294085.6799999941</v>
      </c>
      <c r="G640" s="581">
        <f t="shared" si="46"/>
        <v>4367047.1099999938</v>
      </c>
      <c r="H640" s="33">
        <v>0</v>
      </c>
      <c r="I640" s="33">
        <v>0</v>
      </c>
      <c r="J640" s="33">
        <v>0</v>
      </c>
      <c r="K640" s="33">
        <f t="shared" si="48"/>
        <v>1680.8500000000001</v>
      </c>
      <c r="L640" s="33">
        <f t="shared" si="49"/>
        <v>71280.58</v>
      </c>
      <c r="M640" s="33">
        <f t="shared" si="50"/>
        <v>4294085.6799999941</v>
      </c>
      <c r="N640" s="235">
        <f t="shared" si="47"/>
        <v>0</v>
      </c>
      <c r="O640" s="35" t="s">
        <v>3327</v>
      </c>
      <c r="P640" s="35"/>
      <c r="Q640" s="39">
        <f>SUMIF('Antelope Bailey Split BA'!$B$7:$B$29,B640,'Antelope Bailey Split BA'!$C$7:$C$29)</f>
        <v>0</v>
      </c>
      <c r="R640" s="39" t="str">
        <f>IF(AND(Q640=1,'Plant Total by Account'!$J$1=2),"EKWRA","")</f>
        <v/>
      </c>
    </row>
    <row r="641" spans="1:18" x14ac:dyDescent="0.2">
      <c r="A641" s="31" t="s">
        <v>2485</v>
      </c>
      <c r="B641" s="36" t="s">
        <v>763</v>
      </c>
      <c r="C641" s="504" t="s">
        <v>3353</v>
      </c>
      <c r="D641" s="42">
        <v>14328.16</v>
      </c>
      <c r="E641" s="42">
        <v>463964</v>
      </c>
      <c r="F641" s="42">
        <v>3351930.9799999986</v>
      </c>
      <c r="G641" s="581">
        <f t="shared" si="46"/>
        <v>3830223.1399999987</v>
      </c>
      <c r="H641" s="33">
        <v>0</v>
      </c>
      <c r="I641" s="33">
        <v>0</v>
      </c>
      <c r="J641" s="33">
        <v>0</v>
      </c>
      <c r="K641" s="33">
        <f t="shared" si="48"/>
        <v>14328.16</v>
      </c>
      <c r="L641" s="33">
        <f t="shared" si="49"/>
        <v>463964</v>
      </c>
      <c r="M641" s="33">
        <f t="shared" si="50"/>
        <v>3351930.9799999986</v>
      </c>
      <c r="N641" s="235">
        <f t="shared" si="47"/>
        <v>0</v>
      </c>
      <c r="O641" s="35" t="s">
        <v>3327</v>
      </c>
      <c r="P641" s="35"/>
      <c r="Q641" s="39">
        <f>SUMIF('Antelope Bailey Split BA'!$B$7:$B$29,B641,'Antelope Bailey Split BA'!$C$7:$C$29)</f>
        <v>0</v>
      </c>
      <c r="R641" s="39" t="str">
        <f>IF(AND(Q641=1,'Plant Total by Account'!$J$1=2),"EKWRA","")</f>
        <v/>
      </c>
    </row>
    <row r="642" spans="1:18" x14ac:dyDescent="0.2">
      <c r="A642" s="31" t="s">
        <v>3157</v>
      </c>
      <c r="B642" s="36" t="s">
        <v>764</v>
      </c>
      <c r="C642" s="504" t="s">
        <v>3352</v>
      </c>
      <c r="D642" s="42">
        <v>4276.75</v>
      </c>
      <c r="E642" s="42">
        <v>84224.260000000009</v>
      </c>
      <c r="F642" s="42">
        <v>810132.44000000006</v>
      </c>
      <c r="G642" s="581">
        <f t="shared" si="46"/>
        <v>898633.45000000007</v>
      </c>
      <c r="H642" s="33">
        <v>0</v>
      </c>
      <c r="I642" s="33">
        <v>0</v>
      </c>
      <c r="J642" s="33">
        <v>0</v>
      </c>
      <c r="K642" s="33">
        <f t="shared" si="48"/>
        <v>4276.75</v>
      </c>
      <c r="L642" s="33">
        <f t="shared" si="49"/>
        <v>84224.260000000009</v>
      </c>
      <c r="M642" s="33">
        <f t="shared" si="50"/>
        <v>810132.44000000006</v>
      </c>
      <c r="N642" s="235">
        <f t="shared" si="47"/>
        <v>0</v>
      </c>
      <c r="O642" s="35" t="s">
        <v>3327</v>
      </c>
      <c r="P642" s="35"/>
      <c r="Q642" s="39">
        <f>SUMIF('Antelope Bailey Split BA'!$B$7:$B$29,B642,'Antelope Bailey Split BA'!$C$7:$C$29)</f>
        <v>0</v>
      </c>
      <c r="R642" s="39" t="str">
        <f>IF(AND(Q642=1,'Plant Total by Account'!$J$1=2),"EKWRA","")</f>
        <v/>
      </c>
    </row>
    <row r="643" spans="1:18" x14ac:dyDescent="0.2">
      <c r="A643" s="31" t="s">
        <v>3158</v>
      </c>
      <c r="B643" s="36" t="s">
        <v>765</v>
      </c>
      <c r="C643" s="504" t="s">
        <v>3352</v>
      </c>
      <c r="D643" s="42">
        <v>3839.73</v>
      </c>
      <c r="E643" s="42">
        <v>46384.570000000007</v>
      </c>
      <c r="F643" s="42">
        <v>1034483.7699999997</v>
      </c>
      <c r="G643" s="581">
        <f t="shared" si="46"/>
        <v>1084708.0699999996</v>
      </c>
      <c r="H643" s="33">
        <v>0</v>
      </c>
      <c r="I643" s="33">
        <v>0</v>
      </c>
      <c r="J643" s="33">
        <v>0</v>
      </c>
      <c r="K643" s="33">
        <f t="shared" si="48"/>
        <v>3839.73</v>
      </c>
      <c r="L643" s="33">
        <f t="shared" si="49"/>
        <v>46384.570000000007</v>
      </c>
      <c r="M643" s="33">
        <f t="shared" si="50"/>
        <v>1034483.7699999997</v>
      </c>
      <c r="N643" s="235">
        <f t="shared" si="47"/>
        <v>0</v>
      </c>
      <c r="O643" s="35" t="s">
        <v>3327</v>
      </c>
      <c r="P643" s="35"/>
      <c r="Q643" s="39">
        <f>SUMIF('Antelope Bailey Split BA'!$B$7:$B$29,B643,'Antelope Bailey Split BA'!$C$7:$C$29)</f>
        <v>0</v>
      </c>
      <c r="R643" s="39" t="str">
        <f>IF(AND(Q643=1,'Plant Total by Account'!$J$1=2),"EKWRA","")</f>
        <v/>
      </c>
    </row>
    <row r="644" spans="1:18" x14ac:dyDescent="0.2">
      <c r="A644" s="31" t="s">
        <v>3159</v>
      </c>
      <c r="B644" s="36" t="s">
        <v>766</v>
      </c>
      <c r="C644" s="504" t="s">
        <v>3353</v>
      </c>
      <c r="D644" s="42">
        <v>130439.95</v>
      </c>
      <c r="E644" s="42">
        <v>291455.02</v>
      </c>
      <c r="F644" s="42">
        <v>6831480.1000000006</v>
      </c>
      <c r="G644" s="581">
        <f t="shared" si="46"/>
        <v>7253375.0700000003</v>
      </c>
      <c r="H644" s="33">
        <v>0</v>
      </c>
      <c r="I644" s="33">
        <v>0</v>
      </c>
      <c r="J644" s="33">
        <v>0</v>
      </c>
      <c r="K644" s="33">
        <f t="shared" si="48"/>
        <v>130439.95</v>
      </c>
      <c r="L644" s="33">
        <f t="shared" si="49"/>
        <v>291455.02</v>
      </c>
      <c r="M644" s="33">
        <f t="shared" si="50"/>
        <v>6831480.1000000006</v>
      </c>
      <c r="N644" s="235">
        <f t="shared" si="47"/>
        <v>0</v>
      </c>
      <c r="O644" s="35" t="s">
        <v>3327</v>
      </c>
      <c r="P644" s="35"/>
      <c r="Q644" s="39">
        <f>SUMIF('Antelope Bailey Split BA'!$B$7:$B$29,B644,'Antelope Bailey Split BA'!$C$7:$C$29)</f>
        <v>0</v>
      </c>
      <c r="R644" s="39" t="str">
        <f>IF(AND(Q644=1,'Plant Total by Account'!$J$1=2),"EKWRA","")</f>
        <v/>
      </c>
    </row>
    <row r="645" spans="1:18" x14ac:dyDescent="0.2">
      <c r="A645" s="31" t="s">
        <v>3160</v>
      </c>
      <c r="B645" s="36" t="s">
        <v>767</v>
      </c>
      <c r="C645" s="504" t="s">
        <v>3353</v>
      </c>
      <c r="D645" s="42">
        <v>95573.38</v>
      </c>
      <c r="E645" s="42">
        <v>58146.270000000004</v>
      </c>
      <c r="F645" s="42">
        <v>3793426.4600000004</v>
      </c>
      <c r="G645" s="581">
        <f t="shared" si="46"/>
        <v>3947146.1100000003</v>
      </c>
      <c r="H645" s="33">
        <v>0</v>
      </c>
      <c r="I645" s="33">
        <v>0</v>
      </c>
      <c r="J645" s="33">
        <v>0</v>
      </c>
      <c r="K645" s="33">
        <f t="shared" si="48"/>
        <v>95573.38</v>
      </c>
      <c r="L645" s="33">
        <f t="shared" si="49"/>
        <v>58146.270000000004</v>
      </c>
      <c r="M645" s="33">
        <f t="shared" si="50"/>
        <v>3793426.4600000004</v>
      </c>
      <c r="N645" s="235">
        <f t="shared" si="47"/>
        <v>0</v>
      </c>
      <c r="O645" s="35" t="s">
        <v>3327</v>
      </c>
      <c r="P645" s="35"/>
      <c r="Q645" s="39">
        <f>SUMIF('Antelope Bailey Split BA'!$B$7:$B$29,B645,'Antelope Bailey Split BA'!$C$7:$C$29)</f>
        <v>0</v>
      </c>
      <c r="R645" s="39" t="str">
        <f>IF(AND(Q645=1,'Plant Total by Account'!$J$1=2),"EKWRA","")</f>
        <v/>
      </c>
    </row>
    <row r="646" spans="1:18" x14ac:dyDescent="0.2">
      <c r="A646" s="31" t="s">
        <v>3161</v>
      </c>
      <c r="B646" s="36" t="s">
        <v>768</v>
      </c>
      <c r="C646" s="504" t="s">
        <v>3352</v>
      </c>
      <c r="D646" s="42">
        <v>7596.16</v>
      </c>
      <c r="E646" s="42">
        <v>30895.119999999999</v>
      </c>
      <c r="F646" s="42">
        <v>270221.94</v>
      </c>
      <c r="G646" s="581">
        <f t="shared" si="46"/>
        <v>308713.21999999997</v>
      </c>
      <c r="H646" s="33">
        <v>0</v>
      </c>
      <c r="I646" s="33">
        <v>0</v>
      </c>
      <c r="J646" s="33">
        <v>0</v>
      </c>
      <c r="K646" s="33">
        <f t="shared" si="48"/>
        <v>7596.16</v>
      </c>
      <c r="L646" s="33">
        <f t="shared" si="49"/>
        <v>30895.119999999999</v>
      </c>
      <c r="M646" s="33">
        <f t="shared" si="50"/>
        <v>270221.94</v>
      </c>
      <c r="N646" s="235">
        <f t="shared" si="47"/>
        <v>0</v>
      </c>
      <c r="O646" s="35" t="s">
        <v>3327</v>
      </c>
      <c r="P646" s="35"/>
      <c r="Q646" s="39">
        <f>SUMIF('Antelope Bailey Split BA'!$B$7:$B$29,B646,'Antelope Bailey Split BA'!$C$7:$C$29)</f>
        <v>0</v>
      </c>
      <c r="R646" s="39" t="str">
        <f>IF(AND(Q646=1,'Plant Total by Account'!$J$1=2),"EKWRA","")</f>
        <v/>
      </c>
    </row>
    <row r="647" spans="1:18" x14ac:dyDescent="0.2">
      <c r="A647" s="31" t="s">
        <v>2486</v>
      </c>
      <c r="B647" s="36" t="s">
        <v>769</v>
      </c>
      <c r="C647" s="504" t="s">
        <v>3353</v>
      </c>
      <c r="D647" s="42">
        <v>94824.91</v>
      </c>
      <c r="E647" s="42">
        <v>67191.45</v>
      </c>
      <c r="F647" s="42">
        <v>1760256.5600000017</v>
      </c>
      <c r="G647" s="581">
        <f t="shared" si="46"/>
        <v>1922272.9200000018</v>
      </c>
      <c r="H647" s="33">
        <v>0</v>
      </c>
      <c r="I647" s="33">
        <v>0</v>
      </c>
      <c r="J647" s="33">
        <v>0</v>
      </c>
      <c r="K647" s="33">
        <f t="shared" si="48"/>
        <v>94824.91</v>
      </c>
      <c r="L647" s="33">
        <f t="shared" si="49"/>
        <v>67191.45</v>
      </c>
      <c r="M647" s="33">
        <f t="shared" si="50"/>
        <v>1760256.5600000017</v>
      </c>
      <c r="N647" s="235">
        <f t="shared" si="47"/>
        <v>0</v>
      </c>
      <c r="O647" s="35" t="s">
        <v>3327</v>
      </c>
      <c r="P647" s="35"/>
      <c r="Q647" s="39">
        <f>SUMIF('Antelope Bailey Split BA'!$B$7:$B$29,B647,'Antelope Bailey Split BA'!$C$7:$C$29)</f>
        <v>0</v>
      </c>
      <c r="R647" s="39" t="str">
        <f>IF(AND(Q647=1,'Plant Total by Account'!$J$1=2),"EKWRA","")</f>
        <v/>
      </c>
    </row>
    <row r="648" spans="1:18" x14ac:dyDescent="0.2">
      <c r="A648" s="31" t="s">
        <v>3162</v>
      </c>
      <c r="B648" s="36" t="s">
        <v>770</v>
      </c>
      <c r="C648" s="504" t="s">
        <v>3353</v>
      </c>
      <c r="D648" s="42">
        <v>143290.5</v>
      </c>
      <c r="E648" s="42">
        <v>120786.11</v>
      </c>
      <c r="F648" s="42">
        <v>4712136.620000001</v>
      </c>
      <c r="G648" s="581">
        <f t="shared" si="46"/>
        <v>4976213.2300000014</v>
      </c>
      <c r="H648" s="33">
        <v>0</v>
      </c>
      <c r="I648" s="33">
        <v>0</v>
      </c>
      <c r="J648" s="33">
        <v>0</v>
      </c>
      <c r="K648" s="33">
        <f t="shared" si="48"/>
        <v>143290.5</v>
      </c>
      <c r="L648" s="33">
        <f t="shared" si="49"/>
        <v>120786.11</v>
      </c>
      <c r="M648" s="33">
        <f t="shared" si="50"/>
        <v>4712136.620000001</v>
      </c>
      <c r="N648" s="235">
        <f t="shared" si="47"/>
        <v>0</v>
      </c>
      <c r="O648" s="35" t="s">
        <v>3327</v>
      </c>
      <c r="P648" s="35"/>
      <c r="Q648" s="39">
        <f>SUMIF('Antelope Bailey Split BA'!$B$7:$B$29,B648,'Antelope Bailey Split BA'!$C$7:$C$29)</f>
        <v>0</v>
      </c>
      <c r="R648" s="39" t="str">
        <f>IF(AND(Q648=1,'Plant Total by Account'!$J$1=2),"EKWRA","")</f>
        <v/>
      </c>
    </row>
    <row r="649" spans="1:18" x14ac:dyDescent="0.2">
      <c r="A649" s="31" t="s">
        <v>3163</v>
      </c>
      <c r="B649" s="36" t="s">
        <v>771</v>
      </c>
      <c r="C649" s="504" t="s">
        <v>3353</v>
      </c>
      <c r="D649" s="42">
        <v>0</v>
      </c>
      <c r="E649" s="42">
        <v>25437.19</v>
      </c>
      <c r="F649" s="42">
        <v>595497.28999999992</v>
      </c>
      <c r="G649" s="581">
        <f t="shared" si="46"/>
        <v>620934.47999999986</v>
      </c>
      <c r="H649" s="33">
        <v>0</v>
      </c>
      <c r="I649" s="33">
        <v>0</v>
      </c>
      <c r="J649" s="33">
        <v>0</v>
      </c>
      <c r="K649" s="33">
        <f t="shared" si="48"/>
        <v>0</v>
      </c>
      <c r="L649" s="33">
        <f t="shared" si="49"/>
        <v>25437.19</v>
      </c>
      <c r="M649" s="33">
        <f t="shared" si="50"/>
        <v>595497.28999999992</v>
      </c>
      <c r="N649" s="235">
        <f t="shared" si="47"/>
        <v>0</v>
      </c>
      <c r="O649" s="35" t="s">
        <v>3327</v>
      </c>
      <c r="P649" s="35"/>
      <c r="Q649" s="39">
        <f>SUMIF('Antelope Bailey Split BA'!$B$7:$B$29,B649,'Antelope Bailey Split BA'!$C$7:$C$29)</f>
        <v>0</v>
      </c>
      <c r="R649" s="39" t="str">
        <f>IF(AND(Q649=1,'Plant Total by Account'!$J$1=2),"EKWRA","")</f>
        <v/>
      </c>
    </row>
    <row r="650" spans="1:18" x14ac:dyDescent="0.2">
      <c r="A650" s="31" t="s">
        <v>3164</v>
      </c>
      <c r="B650" s="36" t="s">
        <v>772</v>
      </c>
      <c r="C650" s="504" t="s">
        <v>3353</v>
      </c>
      <c r="D650" s="42">
        <v>109897.48</v>
      </c>
      <c r="E650" s="42">
        <v>143368.49000000002</v>
      </c>
      <c r="F650" s="42">
        <v>5449844.9400000013</v>
      </c>
      <c r="G650" s="581">
        <f t="shared" si="46"/>
        <v>5703110.9100000011</v>
      </c>
      <c r="H650" s="33">
        <v>0</v>
      </c>
      <c r="I650" s="33">
        <v>0</v>
      </c>
      <c r="J650" s="33">
        <v>0</v>
      </c>
      <c r="K650" s="33">
        <f t="shared" si="48"/>
        <v>109897.48</v>
      </c>
      <c r="L650" s="33">
        <f t="shared" si="49"/>
        <v>143368.49000000002</v>
      </c>
      <c r="M650" s="33">
        <f t="shared" si="50"/>
        <v>5449844.9400000013</v>
      </c>
      <c r="N650" s="235">
        <f t="shared" si="47"/>
        <v>0</v>
      </c>
      <c r="O650" s="35" t="s">
        <v>3327</v>
      </c>
      <c r="P650" s="35"/>
      <c r="Q650" s="39">
        <f>SUMIF('Antelope Bailey Split BA'!$B$7:$B$29,B650,'Antelope Bailey Split BA'!$C$7:$C$29)</f>
        <v>0</v>
      </c>
      <c r="R650" s="39" t="str">
        <f>IF(AND(Q650=1,'Plant Total by Account'!$J$1=2),"EKWRA","")</f>
        <v/>
      </c>
    </row>
    <row r="651" spans="1:18" x14ac:dyDescent="0.2">
      <c r="A651" s="31" t="s">
        <v>3165</v>
      </c>
      <c r="B651" s="36" t="s">
        <v>773</v>
      </c>
      <c r="C651" s="504" t="s">
        <v>3353</v>
      </c>
      <c r="D651" s="42">
        <v>8903.340000000002</v>
      </c>
      <c r="E651" s="42">
        <v>33017.81</v>
      </c>
      <c r="F651" s="42">
        <v>1723211.4099999978</v>
      </c>
      <c r="G651" s="581">
        <f t="shared" ref="G651:G714" si="51">SUM(D651:F651)</f>
        <v>1765132.5599999977</v>
      </c>
      <c r="H651" s="33">
        <v>0</v>
      </c>
      <c r="I651" s="33">
        <v>0</v>
      </c>
      <c r="J651" s="33">
        <v>0</v>
      </c>
      <c r="K651" s="33">
        <f t="shared" si="48"/>
        <v>8903.340000000002</v>
      </c>
      <c r="L651" s="33">
        <f t="shared" si="49"/>
        <v>33017.81</v>
      </c>
      <c r="M651" s="33">
        <f t="shared" si="50"/>
        <v>1723211.4099999978</v>
      </c>
      <c r="N651" s="235">
        <f t="shared" ref="N651:N714" si="52">G651-SUM(H651:M651)</f>
        <v>0</v>
      </c>
      <c r="O651" s="35" t="s">
        <v>3327</v>
      </c>
      <c r="P651" s="35"/>
      <c r="Q651" s="39">
        <f>SUMIF('Antelope Bailey Split BA'!$B$7:$B$29,B651,'Antelope Bailey Split BA'!$C$7:$C$29)</f>
        <v>0</v>
      </c>
      <c r="R651" s="39" t="str">
        <f>IF(AND(Q651=1,'Plant Total by Account'!$J$1=2),"EKWRA","")</f>
        <v/>
      </c>
    </row>
    <row r="652" spans="1:18" x14ac:dyDescent="0.2">
      <c r="A652" s="31" t="s">
        <v>3166</v>
      </c>
      <c r="B652" s="36" t="s">
        <v>774</v>
      </c>
      <c r="C652" s="504" t="s">
        <v>3353</v>
      </c>
      <c r="D652" s="42">
        <v>100887.79</v>
      </c>
      <c r="E652" s="42">
        <v>183682.07</v>
      </c>
      <c r="F652" s="42">
        <v>6352773.2000000048</v>
      </c>
      <c r="G652" s="581">
        <f t="shared" si="51"/>
        <v>6637343.0600000052</v>
      </c>
      <c r="H652" s="33">
        <v>0</v>
      </c>
      <c r="I652" s="33">
        <v>0</v>
      </c>
      <c r="J652" s="33">
        <v>0</v>
      </c>
      <c r="K652" s="33">
        <f t="shared" si="48"/>
        <v>100887.79</v>
      </c>
      <c r="L652" s="33">
        <f t="shared" si="49"/>
        <v>183682.07</v>
      </c>
      <c r="M652" s="33">
        <f t="shared" si="50"/>
        <v>6352773.2000000048</v>
      </c>
      <c r="N652" s="235">
        <f t="shared" si="52"/>
        <v>0</v>
      </c>
      <c r="O652" s="35" t="s">
        <v>3327</v>
      </c>
      <c r="P652" s="35"/>
      <c r="Q652" s="39">
        <f>SUMIF('Antelope Bailey Split BA'!$B$7:$B$29,B652,'Antelope Bailey Split BA'!$C$7:$C$29)</f>
        <v>0</v>
      </c>
      <c r="R652" s="39" t="str">
        <f>IF(AND(Q652=1,'Plant Total by Account'!$J$1=2),"EKWRA","")</f>
        <v/>
      </c>
    </row>
    <row r="653" spans="1:18" x14ac:dyDescent="0.2">
      <c r="A653" s="31" t="s">
        <v>3167</v>
      </c>
      <c r="B653" s="36" t="s">
        <v>775</v>
      </c>
      <c r="C653" s="504" t="s">
        <v>3352</v>
      </c>
      <c r="D653" s="42">
        <v>11499.14</v>
      </c>
      <c r="E653" s="42">
        <v>53437.889999999992</v>
      </c>
      <c r="F653" s="42">
        <v>1571827.0300000007</v>
      </c>
      <c r="G653" s="581">
        <f t="shared" si="51"/>
        <v>1636764.0600000008</v>
      </c>
      <c r="H653" s="33">
        <v>0</v>
      </c>
      <c r="I653" s="33">
        <v>0</v>
      </c>
      <c r="J653" s="33">
        <v>0</v>
      </c>
      <c r="K653" s="33">
        <f t="shared" si="48"/>
        <v>11499.14</v>
      </c>
      <c r="L653" s="33">
        <f t="shared" si="49"/>
        <v>53437.889999999992</v>
      </c>
      <c r="M653" s="33">
        <f t="shared" si="50"/>
        <v>1571827.0300000007</v>
      </c>
      <c r="N653" s="235">
        <f t="shared" si="52"/>
        <v>0</v>
      </c>
      <c r="O653" s="35" t="s">
        <v>3327</v>
      </c>
      <c r="P653" s="35"/>
      <c r="Q653" s="39">
        <f>SUMIF('Antelope Bailey Split BA'!$B$7:$B$29,B653,'Antelope Bailey Split BA'!$C$7:$C$29)</f>
        <v>0</v>
      </c>
      <c r="R653" s="39" t="str">
        <f>IF(AND(Q653=1,'Plant Total by Account'!$J$1=2),"EKWRA","")</f>
        <v/>
      </c>
    </row>
    <row r="654" spans="1:18" x14ac:dyDescent="0.2">
      <c r="A654" s="31" t="s">
        <v>2487</v>
      </c>
      <c r="B654" s="36" t="s">
        <v>776</v>
      </c>
      <c r="C654" s="504" t="s">
        <v>3353</v>
      </c>
      <c r="D654" s="42">
        <v>0</v>
      </c>
      <c r="E654" s="42">
        <v>84594.51</v>
      </c>
      <c r="F654" s="42">
        <v>0</v>
      </c>
      <c r="G654" s="581">
        <f t="shared" si="51"/>
        <v>84594.51</v>
      </c>
      <c r="H654" s="33">
        <v>0</v>
      </c>
      <c r="I654" s="33">
        <v>0</v>
      </c>
      <c r="J654" s="33">
        <v>0</v>
      </c>
      <c r="K654" s="33">
        <f t="shared" si="48"/>
        <v>0</v>
      </c>
      <c r="L654" s="33">
        <f t="shared" si="49"/>
        <v>84594.51</v>
      </c>
      <c r="M654" s="33">
        <f t="shared" si="50"/>
        <v>0</v>
      </c>
      <c r="N654" s="235">
        <f t="shared" si="52"/>
        <v>0</v>
      </c>
      <c r="O654" s="35" t="s">
        <v>3327</v>
      </c>
      <c r="P654" s="35"/>
      <c r="Q654" s="39">
        <f>SUMIF('Antelope Bailey Split BA'!$B$7:$B$29,B654,'Antelope Bailey Split BA'!$C$7:$C$29)</f>
        <v>0</v>
      </c>
      <c r="R654" s="39" t="str">
        <f>IF(AND(Q654=1,'Plant Total by Account'!$J$1=2),"EKWRA","")</f>
        <v/>
      </c>
    </row>
    <row r="655" spans="1:18" x14ac:dyDescent="0.2">
      <c r="A655" s="31" t="s">
        <v>3168</v>
      </c>
      <c r="B655" s="36" t="s">
        <v>777</v>
      </c>
      <c r="C655" s="504" t="s">
        <v>3353</v>
      </c>
      <c r="D655" s="42">
        <v>72333.119999999995</v>
      </c>
      <c r="E655" s="42">
        <v>301728.88</v>
      </c>
      <c r="F655" s="42">
        <v>10334121.829999993</v>
      </c>
      <c r="G655" s="581">
        <f t="shared" si="51"/>
        <v>10708183.829999993</v>
      </c>
      <c r="H655" s="33">
        <v>0</v>
      </c>
      <c r="I655" s="33">
        <v>0</v>
      </c>
      <c r="J655" s="33">
        <v>0</v>
      </c>
      <c r="K655" s="33">
        <f t="shared" ref="K655:K718" si="53">D655</f>
        <v>72333.119999999995</v>
      </c>
      <c r="L655" s="33">
        <f t="shared" ref="L655:L718" si="54">E655</f>
        <v>301728.88</v>
      </c>
      <c r="M655" s="33">
        <f t="shared" ref="M655:M718" si="55">F655</f>
        <v>10334121.829999993</v>
      </c>
      <c r="N655" s="235">
        <f t="shared" si="52"/>
        <v>0</v>
      </c>
      <c r="O655" s="35" t="s">
        <v>3327</v>
      </c>
      <c r="P655" s="35"/>
      <c r="Q655" s="39">
        <f>SUMIF('Antelope Bailey Split BA'!$B$7:$B$29,B655,'Antelope Bailey Split BA'!$C$7:$C$29)</f>
        <v>0</v>
      </c>
      <c r="R655" s="39" t="str">
        <f>IF(AND(Q655=1,'Plant Total by Account'!$J$1=2),"EKWRA","")</f>
        <v/>
      </c>
    </row>
    <row r="656" spans="1:18" x14ac:dyDescent="0.2">
      <c r="A656" s="31" t="s">
        <v>3169</v>
      </c>
      <c r="B656" s="36" t="s">
        <v>778</v>
      </c>
      <c r="C656" s="504" t="s">
        <v>3353</v>
      </c>
      <c r="D656" s="42">
        <v>109294.47</v>
      </c>
      <c r="E656" s="42">
        <v>126855.53</v>
      </c>
      <c r="F656" s="42">
        <v>5983690.9399999995</v>
      </c>
      <c r="G656" s="581">
        <f t="shared" si="51"/>
        <v>6219840.9399999995</v>
      </c>
      <c r="H656" s="33">
        <v>0</v>
      </c>
      <c r="I656" s="33">
        <v>0</v>
      </c>
      <c r="J656" s="33">
        <v>0</v>
      </c>
      <c r="K656" s="33">
        <f t="shared" si="53"/>
        <v>109294.47</v>
      </c>
      <c r="L656" s="33">
        <f t="shared" si="54"/>
        <v>126855.53</v>
      </c>
      <c r="M656" s="33">
        <f t="shared" si="55"/>
        <v>5983690.9399999995</v>
      </c>
      <c r="N656" s="235">
        <f t="shared" si="52"/>
        <v>0</v>
      </c>
      <c r="O656" s="35" t="s">
        <v>3327</v>
      </c>
      <c r="P656" s="35"/>
      <c r="Q656" s="39">
        <f>SUMIF('Antelope Bailey Split BA'!$B$7:$B$29,B656,'Antelope Bailey Split BA'!$C$7:$C$29)</f>
        <v>0</v>
      </c>
      <c r="R656" s="39" t="str">
        <f>IF(AND(Q656=1,'Plant Total by Account'!$J$1=2),"EKWRA","")</f>
        <v/>
      </c>
    </row>
    <row r="657" spans="1:18" x14ac:dyDescent="0.2">
      <c r="A657" s="31" t="s">
        <v>3170</v>
      </c>
      <c r="B657" s="36" t="s">
        <v>779</v>
      </c>
      <c r="C657" s="504" t="s">
        <v>3352</v>
      </c>
      <c r="D657" s="42">
        <v>6540.1500000000005</v>
      </c>
      <c r="E657" s="42">
        <v>21104.55</v>
      </c>
      <c r="F657" s="42">
        <v>1386966.3800000001</v>
      </c>
      <c r="G657" s="581">
        <f t="shared" si="51"/>
        <v>1414611.08</v>
      </c>
      <c r="H657" s="33">
        <v>0</v>
      </c>
      <c r="I657" s="33">
        <v>0</v>
      </c>
      <c r="J657" s="33">
        <v>0</v>
      </c>
      <c r="K657" s="33">
        <f t="shared" si="53"/>
        <v>6540.1500000000005</v>
      </c>
      <c r="L657" s="33">
        <f t="shared" si="54"/>
        <v>21104.55</v>
      </c>
      <c r="M657" s="33">
        <f t="shared" si="55"/>
        <v>1386966.3800000001</v>
      </c>
      <c r="N657" s="235">
        <f t="shared" si="52"/>
        <v>0</v>
      </c>
      <c r="O657" s="35" t="s">
        <v>3327</v>
      </c>
      <c r="P657" s="35"/>
      <c r="Q657" s="39">
        <f>SUMIF('Antelope Bailey Split BA'!$B$7:$B$29,B657,'Antelope Bailey Split BA'!$C$7:$C$29)</f>
        <v>0</v>
      </c>
      <c r="R657" s="39" t="str">
        <f>IF(AND(Q657=1,'Plant Total by Account'!$J$1=2),"EKWRA","")</f>
        <v/>
      </c>
    </row>
    <row r="658" spans="1:18" x14ac:dyDescent="0.2">
      <c r="A658" s="31" t="s">
        <v>3171</v>
      </c>
      <c r="B658" s="36" t="s">
        <v>780</v>
      </c>
      <c r="C658" s="504" t="s">
        <v>3353</v>
      </c>
      <c r="D658" s="42">
        <v>0</v>
      </c>
      <c r="E658" s="42">
        <v>17725.5</v>
      </c>
      <c r="F658" s="42">
        <v>589360.23999999987</v>
      </c>
      <c r="G658" s="581">
        <f t="shared" si="51"/>
        <v>607085.73999999987</v>
      </c>
      <c r="H658" s="33">
        <v>0</v>
      </c>
      <c r="I658" s="33">
        <v>0</v>
      </c>
      <c r="J658" s="33">
        <v>0</v>
      </c>
      <c r="K658" s="33">
        <f t="shared" si="53"/>
        <v>0</v>
      </c>
      <c r="L658" s="33">
        <f t="shared" si="54"/>
        <v>17725.5</v>
      </c>
      <c r="M658" s="33">
        <f t="shared" si="55"/>
        <v>589360.23999999987</v>
      </c>
      <c r="N658" s="235">
        <f t="shared" si="52"/>
        <v>0</v>
      </c>
      <c r="O658" s="35" t="s">
        <v>3327</v>
      </c>
      <c r="P658" s="35"/>
      <c r="Q658" s="39">
        <f>SUMIF('Antelope Bailey Split BA'!$B$7:$B$29,B658,'Antelope Bailey Split BA'!$C$7:$C$29)</f>
        <v>0</v>
      </c>
      <c r="R658" s="39" t="str">
        <f>IF(AND(Q658=1,'Plant Total by Account'!$J$1=2),"EKWRA","")</f>
        <v/>
      </c>
    </row>
    <row r="659" spans="1:18" x14ac:dyDescent="0.2">
      <c r="A659" s="31" t="s">
        <v>3172</v>
      </c>
      <c r="B659" s="36" t="s">
        <v>781</v>
      </c>
      <c r="C659" s="504" t="s">
        <v>3353</v>
      </c>
      <c r="D659" s="42">
        <v>0</v>
      </c>
      <c r="E659" s="42">
        <v>14762.75</v>
      </c>
      <c r="F659" s="42">
        <v>965762.11000000022</v>
      </c>
      <c r="G659" s="581">
        <f t="shared" si="51"/>
        <v>980524.86000000022</v>
      </c>
      <c r="H659" s="33">
        <v>0</v>
      </c>
      <c r="I659" s="33">
        <v>0</v>
      </c>
      <c r="J659" s="33">
        <v>0</v>
      </c>
      <c r="K659" s="33">
        <f t="shared" si="53"/>
        <v>0</v>
      </c>
      <c r="L659" s="33">
        <f t="shared" si="54"/>
        <v>14762.75</v>
      </c>
      <c r="M659" s="33">
        <f t="shared" si="55"/>
        <v>965762.11000000022</v>
      </c>
      <c r="N659" s="235">
        <f t="shared" si="52"/>
        <v>0</v>
      </c>
      <c r="O659" s="35" t="s">
        <v>3327</v>
      </c>
      <c r="P659" s="35"/>
      <c r="Q659" s="39">
        <f>SUMIF('Antelope Bailey Split BA'!$B$7:$B$29,B659,'Antelope Bailey Split BA'!$C$7:$C$29)</f>
        <v>0</v>
      </c>
      <c r="R659" s="39" t="str">
        <f>IF(AND(Q659=1,'Plant Total by Account'!$J$1=2),"EKWRA","")</f>
        <v/>
      </c>
    </row>
    <row r="660" spans="1:18" x14ac:dyDescent="0.2">
      <c r="A660" s="31" t="s">
        <v>3173</v>
      </c>
      <c r="B660" s="36" t="s">
        <v>782</v>
      </c>
      <c r="C660" s="504" t="s">
        <v>3353</v>
      </c>
      <c r="D660" s="42">
        <v>145164.10999999999</v>
      </c>
      <c r="E660" s="42">
        <v>275732.75</v>
      </c>
      <c r="F660" s="42">
        <v>2650965.3699999982</v>
      </c>
      <c r="G660" s="581">
        <f t="shared" si="51"/>
        <v>3071862.2299999981</v>
      </c>
      <c r="H660" s="33">
        <v>0</v>
      </c>
      <c r="I660" s="33">
        <v>0</v>
      </c>
      <c r="J660" s="33">
        <v>0</v>
      </c>
      <c r="K660" s="33">
        <f t="shared" si="53"/>
        <v>145164.10999999999</v>
      </c>
      <c r="L660" s="33">
        <f t="shared" si="54"/>
        <v>275732.75</v>
      </c>
      <c r="M660" s="33">
        <f t="shared" si="55"/>
        <v>2650965.3699999982</v>
      </c>
      <c r="N660" s="235">
        <f t="shared" si="52"/>
        <v>0</v>
      </c>
      <c r="O660" s="35" t="s">
        <v>3327</v>
      </c>
      <c r="P660" s="35"/>
      <c r="Q660" s="39">
        <f>SUMIF('Antelope Bailey Split BA'!$B$7:$B$29,B660,'Antelope Bailey Split BA'!$C$7:$C$29)</f>
        <v>0</v>
      </c>
      <c r="R660" s="39" t="str">
        <f>IF(AND(Q660=1,'Plant Total by Account'!$J$1=2),"EKWRA","")</f>
        <v/>
      </c>
    </row>
    <row r="661" spans="1:18" x14ac:dyDescent="0.2">
      <c r="A661" s="31" t="s">
        <v>3174</v>
      </c>
      <c r="B661" s="36" t="s">
        <v>783</v>
      </c>
      <c r="C661" s="504" t="s">
        <v>3353</v>
      </c>
      <c r="D661" s="42">
        <v>40290.29</v>
      </c>
      <c r="E661" s="42">
        <v>416387.16000000003</v>
      </c>
      <c r="F661" s="42">
        <v>6674485.7599999979</v>
      </c>
      <c r="G661" s="581">
        <f t="shared" si="51"/>
        <v>7131163.2099999981</v>
      </c>
      <c r="H661" s="33">
        <v>0</v>
      </c>
      <c r="I661" s="33">
        <v>0</v>
      </c>
      <c r="J661" s="33">
        <v>0</v>
      </c>
      <c r="K661" s="33">
        <f t="shared" si="53"/>
        <v>40290.29</v>
      </c>
      <c r="L661" s="33">
        <f t="shared" si="54"/>
        <v>416387.16000000003</v>
      </c>
      <c r="M661" s="33">
        <f t="shared" si="55"/>
        <v>6674485.7599999979</v>
      </c>
      <c r="N661" s="235">
        <f t="shared" si="52"/>
        <v>0</v>
      </c>
      <c r="O661" s="35" t="s">
        <v>3327</v>
      </c>
      <c r="P661" s="35"/>
      <c r="Q661" s="39">
        <f>SUMIF('Antelope Bailey Split BA'!$B$7:$B$29,B661,'Antelope Bailey Split BA'!$C$7:$C$29)</f>
        <v>0</v>
      </c>
      <c r="R661" s="39" t="str">
        <f>IF(AND(Q661=1,'Plant Total by Account'!$J$1=2),"EKWRA","")</f>
        <v/>
      </c>
    </row>
    <row r="662" spans="1:18" x14ac:dyDescent="0.2">
      <c r="A662" s="31" t="s">
        <v>3175</v>
      </c>
      <c r="B662" s="36" t="s">
        <v>784</v>
      </c>
      <c r="C662" s="504" t="s">
        <v>3352</v>
      </c>
      <c r="D662" s="42">
        <v>23706.77</v>
      </c>
      <c r="E662" s="42">
        <v>19427.870000000003</v>
      </c>
      <c r="F662" s="42">
        <v>916190.89000000025</v>
      </c>
      <c r="G662" s="581">
        <f t="shared" si="51"/>
        <v>959325.53000000026</v>
      </c>
      <c r="H662" s="33">
        <v>0</v>
      </c>
      <c r="I662" s="33">
        <v>0</v>
      </c>
      <c r="J662" s="33">
        <v>0</v>
      </c>
      <c r="K662" s="33">
        <f t="shared" si="53"/>
        <v>23706.77</v>
      </c>
      <c r="L662" s="33">
        <f t="shared" si="54"/>
        <v>19427.870000000003</v>
      </c>
      <c r="M662" s="33">
        <f t="shared" si="55"/>
        <v>916190.89000000025</v>
      </c>
      <c r="N662" s="235">
        <f t="shared" si="52"/>
        <v>0</v>
      </c>
      <c r="O662" s="35" t="s">
        <v>3327</v>
      </c>
      <c r="P662" s="35"/>
      <c r="Q662" s="39">
        <f>SUMIF('Antelope Bailey Split BA'!$B$7:$B$29,B662,'Antelope Bailey Split BA'!$C$7:$C$29)</f>
        <v>0</v>
      </c>
      <c r="R662" s="39" t="str">
        <f>IF(AND(Q662=1,'Plant Total by Account'!$J$1=2),"EKWRA","")</f>
        <v/>
      </c>
    </row>
    <row r="663" spans="1:18" x14ac:dyDescent="0.2">
      <c r="A663" s="31" t="s">
        <v>3176</v>
      </c>
      <c r="B663" s="36" t="s">
        <v>785</v>
      </c>
      <c r="C663" s="504" t="s">
        <v>3353</v>
      </c>
      <c r="D663" s="42">
        <v>62827.53</v>
      </c>
      <c r="E663" s="42">
        <v>199192.36</v>
      </c>
      <c r="F663" s="42">
        <v>3040903.0199999954</v>
      </c>
      <c r="G663" s="581">
        <f t="shared" si="51"/>
        <v>3302922.9099999955</v>
      </c>
      <c r="H663" s="33">
        <v>0</v>
      </c>
      <c r="I663" s="33">
        <v>0</v>
      </c>
      <c r="J663" s="33">
        <v>0</v>
      </c>
      <c r="K663" s="33">
        <f t="shared" si="53"/>
        <v>62827.53</v>
      </c>
      <c r="L663" s="33">
        <f t="shared" si="54"/>
        <v>199192.36</v>
      </c>
      <c r="M663" s="33">
        <f t="shared" si="55"/>
        <v>3040903.0199999954</v>
      </c>
      <c r="N663" s="235">
        <f t="shared" si="52"/>
        <v>0</v>
      </c>
      <c r="O663" s="35" t="s">
        <v>3327</v>
      </c>
      <c r="P663" s="35"/>
      <c r="Q663" s="39">
        <f>SUMIF('Antelope Bailey Split BA'!$B$7:$B$29,B663,'Antelope Bailey Split BA'!$C$7:$C$29)</f>
        <v>0</v>
      </c>
      <c r="R663" s="39" t="str">
        <f>IF(AND(Q663=1,'Plant Total by Account'!$J$1=2),"EKWRA","")</f>
        <v/>
      </c>
    </row>
    <row r="664" spans="1:18" x14ac:dyDescent="0.2">
      <c r="A664" s="31" t="s">
        <v>3177</v>
      </c>
      <c r="B664" s="36" t="s">
        <v>786</v>
      </c>
      <c r="C664" s="504" t="s">
        <v>3353</v>
      </c>
      <c r="D664" s="42">
        <v>11184.76</v>
      </c>
      <c r="E664" s="42">
        <v>189675.59000000003</v>
      </c>
      <c r="F664" s="42">
        <v>3848695.3000000012</v>
      </c>
      <c r="G664" s="581">
        <f t="shared" si="51"/>
        <v>4049555.6500000013</v>
      </c>
      <c r="H664" s="33">
        <v>0</v>
      </c>
      <c r="I664" s="33">
        <v>0</v>
      </c>
      <c r="J664" s="33">
        <v>0</v>
      </c>
      <c r="K664" s="33">
        <f t="shared" si="53"/>
        <v>11184.76</v>
      </c>
      <c r="L664" s="33">
        <f t="shared" si="54"/>
        <v>189675.59000000003</v>
      </c>
      <c r="M664" s="33">
        <f t="shared" si="55"/>
        <v>3848695.3000000012</v>
      </c>
      <c r="N664" s="235">
        <f t="shared" si="52"/>
        <v>0</v>
      </c>
      <c r="O664" s="35" t="s">
        <v>3327</v>
      </c>
      <c r="P664" s="35"/>
      <c r="Q664" s="39">
        <f>SUMIF('Antelope Bailey Split BA'!$B$7:$B$29,B664,'Antelope Bailey Split BA'!$C$7:$C$29)</f>
        <v>0</v>
      </c>
      <c r="R664" s="39" t="str">
        <f>IF(AND(Q664=1,'Plant Total by Account'!$J$1=2),"EKWRA","")</f>
        <v/>
      </c>
    </row>
    <row r="665" spans="1:18" x14ac:dyDescent="0.2">
      <c r="A665" s="31" t="s">
        <v>3178</v>
      </c>
      <c r="B665" s="36" t="s">
        <v>787</v>
      </c>
      <c r="C665" s="504" t="s">
        <v>3352</v>
      </c>
      <c r="D665" s="42">
        <v>11259.78</v>
      </c>
      <c r="E665" s="42">
        <v>116118.21</v>
      </c>
      <c r="F665" s="42">
        <v>2238349.81</v>
      </c>
      <c r="G665" s="581">
        <f t="shared" si="51"/>
        <v>2365727.8000000003</v>
      </c>
      <c r="H665" s="33">
        <v>0</v>
      </c>
      <c r="I665" s="33">
        <v>0</v>
      </c>
      <c r="J665" s="33">
        <v>0</v>
      </c>
      <c r="K665" s="33">
        <f t="shared" si="53"/>
        <v>11259.78</v>
      </c>
      <c r="L665" s="33">
        <f t="shared" si="54"/>
        <v>116118.21</v>
      </c>
      <c r="M665" s="33">
        <f t="shared" si="55"/>
        <v>2238349.81</v>
      </c>
      <c r="N665" s="235">
        <f t="shared" si="52"/>
        <v>0</v>
      </c>
      <c r="O665" s="35" t="s">
        <v>3327</v>
      </c>
      <c r="P665" s="35"/>
      <c r="Q665" s="39">
        <f>SUMIF('Antelope Bailey Split BA'!$B$7:$B$29,B665,'Antelope Bailey Split BA'!$C$7:$C$29)</f>
        <v>0</v>
      </c>
      <c r="R665" s="39" t="str">
        <f>IF(AND(Q665=1,'Plant Total by Account'!$J$1=2),"EKWRA","")</f>
        <v/>
      </c>
    </row>
    <row r="666" spans="1:18" x14ac:dyDescent="0.2">
      <c r="A666" s="31" t="s">
        <v>2488</v>
      </c>
      <c r="B666" s="36" t="s">
        <v>788</v>
      </c>
      <c r="C666" s="504" t="s">
        <v>3353</v>
      </c>
      <c r="D666" s="42">
        <v>5865.32</v>
      </c>
      <c r="E666" s="42">
        <v>108591.62</v>
      </c>
      <c r="F666" s="42">
        <v>3817174.6300000004</v>
      </c>
      <c r="G666" s="581">
        <f t="shared" si="51"/>
        <v>3931631.5700000003</v>
      </c>
      <c r="H666" s="33">
        <v>0</v>
      </c>
      <c r="I666" s="33">
        <v>0</v>
      </c>
      <c r="J666" s="33">
        <v>0</v>
      </c>
      <c r="K666" s="33">
        <f t="shared" si="53"/>
        <v>5865.32</v>
      </c>
      <c r="L666" s="33">
        <f t="shared" si="54"/>
        <v>108591.62</v>
      </c>
      <c r="M666" s="33">
        <f t="shared" si="55"/>
        <v>3817174.6300000004</v>
      </c>
      <c r="N666" s="235">
        <f t="shared" si="52"/>
        <v>0</v>
      </c>
      <c r="O666" s="35" t="s">
        <v>3327</v>
      </c>
      <c r="P666" s="35"/>
      <c r="Q666" s="39">
        <f>SUMIF('Antelope Bailey Split BA'!$B$7:$B$29,B666,'Antelope Bailey Split BA'!$C$7:$C$29)</f>
        <v>0</v>
      </c>
      <c r="R666" s="39" t="str">
        <f>IF(AND(Q666=1,'Plant Total by Account'!$J$1=2),"EKWRA","")</f>
        <v/>
      </c>
    </row>
    <row r="667" spans="1:18" x14ac:dyDescent="0.2">
      <c r="A667" s="31" t="s">
        <v>3179</v>
      </c>
      <c r="B667" s="36" t="s">
        <v>789</v>
      </c>
      <c r="C667" s="504" t="s">
        <v>3353</v>
      </c>
      <c r="D667" s="42">
        <v>98244.34</v>
      </c>
      <c r="E667" s="42">
        <v>87557.239999999991</v>
      </c>
      <c r="F667" s="42">
        <v>1089181.44</v>
      </c>
      <c r="G667" s="581">
        <f t="shared" si="51"/>
        <v>1274983.02</v>
      </c>
      <c r="H667" s="33">
        <v>0</v>
      </c>
      <c r="I667" s="33">
        <v>0</v>
      </c>
      <c r="J667" s="33">
        <v>0</v>
      </c>
      <c r="K667" s="33">
        <f t="shared" si="53"/>
        <v>98244.34</v>
      </c>
      <c r="L667" s="33">
        <f t="shared" si="54"/>
        <v>87557.239999999991</v>
      </c>
      <c r="M667" s="33">
        <f t="shared" si="55"/>
        <v>1089181.44</v>
      </c>
      <c r="N667" s="235">
        <f t="shared" si="52"/>
        <v>0</v>
      </c>
      <c r="O667" s="35" t="s">
        <v>3327</v>
      </c>
      <c r="P667" s="35"/>
      <c r="Q667" s="39">
        <f>SUMIF('Antelope Bailey Split BA'!$B$7:$B$29,B667,'Antelope Bailey Split BA'!$C$7:$C$29)</f>
        <v>0</v>
      </c>
      <c r="R667" s="39" t="str">
        <f>IF(AND(Q667=1,'Plant Total by Account'!$J$1=2),"EKWRA","")</f>
        <v/>
      </c>
    </row>
    <row r="668" spans="1:18" x14ac:dyDescent="0.2">
      <c r="A668" s="31" t="s">
        <v>3180</v>
      </c>
      <c r="B668" s="36" t="s">
        <v>790</v>
      </c>
      <c r="C668" s="504" t="s">
        <v>3353</v>
      </c>
      <c r="D668" s="42">
        <v>0</v>
      </c>
      <c r="E668" s="42">
        <v>0</v>
      </c>
      <c r="F668" s="42">
        <v>1711.1100000000001</v>
      </c>
      <c r="G668" s="581">
        <f t="shared" si="51"/>
        <v>1711.1100000000001</v>
      </c>
      <c r="H668" s="33">
        <v>0</v>
      </c>
      <c r="I668" s="33">
        <v>0</v>
      </c>
      <c r="J668" s="33">
        <v>0</v>
      </c>
      <c r="K668" s="33">
        <f t="shared" si="53"/>
        <v>0</v>
      </c>
      <c r="L668" s="33">
        <f t="shared" si="54"/>
        <v>0</v>
      </c>
      <c r="M668" s="33">
        <f t="shared" si="55"/>
        <v>1711.1100000000001</v>
      </c>
      <c r="N668" s="235">
        <f t="shared" si="52"/>
        <v>0</v>
      </c>
      <c r="O668" s="35" t="s">
        <v>3327</v>
      </c>
      <c r="P668" s="35"/>
      <c r="Q668" s="39">
        <f>SUMIF('Antelope Bailey Split BA'!$B$7:$B$29,B668,'Antelope Bailey Split BA'!$C$7:$C$29)</f>
        <v>0</v>
      </c>
      <c r="R668" s="39" t="str">
        <f>IF(AND(Q668=1,'Plant Total by Account'!$J$1=2),"EKWRA","")</f>
        <v/>
      </c>
    </row>
    <row r="669" spans="1:18" x14ac:dyDescent="0.2">
      <c r="A669" s="31" t="s">
        <v>3181</v>
      </c>
      <c r="B669" s="36" t="s">
        <v>791</v>
      </c>
      <c r="C669" s="504" t="s">
        <v>3352</v>
      </c>
      <c r="D669" s="42">
        <v>8006.09</v>
      </c>
      <c r="E669" s="42">
        <v>66203.960000000006</v>
      </c>
      <c r="F669" s="42">
        <v>822549.44999999984</v>
      </c>
      <c r="G669" s="581">
        <f t="shared" si="51"/>
        <v>896759.49999999988</v>
      </c>
      <c r="H669" s="33">
        <v>0</v>
      </c>
      <c r="I669" s="33">
        <v>0</v>
      </c>
      <c r="J669" s="33">
        <v>0</v>
      </c>
      <c r="K669" s="33">
        <f t="shared" si="53"/>
        <v>8006.09</v>
      </c>
      <c r="L669" s="33">
        <f t="shared" si="54"/>
        <v>66203.960000000006</v>
      </c>
      <c r="M669" s="33">
        <f t="shared" si="55"/>
        <v>822549.44999999984</v>
      </c>
      <c r="N669" s="235">
        <f t="shared" si="52"/>
        <v>0</v>
      </c>
      <c r="O669" s="35" t="s">
        <v>3327</v>
      </c>
      <c r="P669" s="35"/>
      <c r="Q669" s="39">
        <f>SUMIF('Antelope Bailey Split BA'!$B$7:$B$29,B669,'Antelope Bailey Split BA'!$C$7:$C$29)</f>
        <v>0</v>
      </c>
      <c r="R669" s="39" t="str">
        <f>IF(AND(Q669=1,'Plant Total by Account'!$J$1=2),"EKWRA","")</f>
        <v/>
      </c>
    </row>
    <row r="670" spans="1:18" x14ac:dyDescent="0.2">
      <c r="A670" s="31" t="s">
        <v>2489</v>
      </c>
      <c r="B670" s="36" t="s">
        <v>792</v>
      </c>
      <c r="C670" s="504" t="s">
        <v>3353</v>
      </c>
      <c r="D670" s="42">
        <v>46880.41</v>
      </c>
      <c r="E670" s="42">
        <v>167495.64999999997</v>
      </c>
      <c r="F670" s="42">
        <v>8702383.3600000031</v>
      </c>
      <c r="G670" s="581">
        <f t="shared" si="51"/>
        <v>8916759.4200000037</v>
      </c>
      <c r="H670" s="33">
        <v>0</v>
      </c>
      <c r="I670" s="33">
        <v>0</v>
      </c>
      <c r="J670" s="33">
        <v>0</v>
      </c>
      <c r="K670" s="33">
        <f t="shared" si="53"/>
        <v>46880.41</v>
      </c>
      <c r="L670" s="33">
        <f t="shared" si="54"/>
        <v>167495.64999999997</v>
      </c>
      <c r="M670" s="33">
        <f t="shared" si="55"/>
        <v>8702383.3600000031</v>
      </c>
      <c r="N670" s="235">
        <f t="shared" si="52"/>
        <v>0</v>
      </c>
      <c r="O670" s="35" t="s">
        <v>3327</v>
      </c>
      <c r="P670" s="35"/>
      <c r="Q670" s="39">
        <f>SUMIF('Antelope Bailey Split BA'!$B$7:$B$29,B670,'Antelope Bailey Split BA'!$C$7:$C$29)</f>
        <v>0</v>
      </c>
      <c r="R670" s="39" t="str">
        <f>IF(AND(Q670=1,'Plant Total by Account'!$J$1=2),"EKWRA","")</f>
        <v/>
      </c>
    </row>
    <row r="671" spans="1:18" x14ac:dyDescent="0.2">
      <c r="A671" s="31" t="s">
        <v>3182</v>
      </c>
      <c r="B671" s="36" t="s">
        <v>793</v>
      </c>
      <c r="C671" s="504" t="s">
        <v>3353</v>
      </c>
      <c r="D671" s="42">
        <v>0</v>
      </c>
      <c r="E671" s="42">
        <v>4229.0600000000004</v>
      </c>
      <c r="F671" s="42">
        <v>498716.63</v>
      </c>
      <c r="G671" s="581">
        <f t="shared" si="51"/>
        <v>502945.69</v>
      </c>
      <c r="H671" s="33">
        <v>0</v>
      </c>
      <c r="I671" s="33">
        <v>0</v>
      </c>
      <c r="J671" s="33">
        <v>0</v>
      </c>
      <c r="K671" s="33">
        <f t="shared" si="53"/>
        <v>0</v>
      </c>
      <c r="L671" s="33">
        <f t="shared" si="54"/>
        <v>4229.0600000000004</v>
      </c>
      <c r="M671" s="33">
        <f t="shared" si="55"/>
        <v>498716.63</v>
      </c>
      <c r="N671" s="235">
        <f t="shared" si="52"/>
        <v>0</v>
      </c>
      <c r="O671" s="35" t="s">
        <v>3327</v>
      </c>
      <c r="P671" s="35"/>
      <c r="Q671" s="39">
        <f>SUMIF('Antelope Bailey Split BA'!$B$7:$B$29,B671,'Antelope Bailey Split BA'!$C$7:$C$29)</f>
        <v>0</v>
      </c>
      <c r="R671" s="39" t="str">
        <f>IF(AND(Q671=1,'Plant Total by Account'!$J$1=2),"EKWRA","")</f>
        <v/>
      </c>
    </row>
    <row r="672" spans="1:18" x14ac:dyDescent="0.2">
      <c r="A672" s="31" t="s">
        <v>3183</v>
      </c>
      <c r="B672" s="36" t="s">
        <v>794</v>
      </c>
      <c r="C672" s="504" t="s">
        <v>3352</v>
      </c>
      <c r="D672" s="42">
        <v>11336.06</v>
      </c>
      <c r="E672" s="42">
        <v>15172.219999999996</v>
      </c>
      <c r="F672" s="42">
        <v>343652.49</v>
      </c>
      <c r="G672" s="581">
        <f t="shared" si="51"/>
        <v>370160.76999999996</v>
      </c>
      <c r="H672" s="33">
        <v>0</v>
      </c>
      <c r="I672" s="33">
        <v>0</v>
      </c>
      <c r="J672" s="33">
        <v>0</v>
      </c>
      <c r="K672" s="33">
        <f t="shared" si="53"/>
        <v>11336.06</v>
      </c>
      <c r="L672" s="33">
        <f t="shared" si="54"/>
        <v>15172.219999999996</v>
      </c>
      <c r="M672" s="33">
        <f t="shared" si="55"/>
        <v>343652.49</v>
      </c>
      <c r="N672" s="235">
        <f t="shared" si="52"/>
        <v>0</v>
      </c>
      <c r="O672" s="35" t="s">
        <v>3327</v>
      </c>
      <c r="P672" s="35"/>
      <c r="Q672" s="39">
        <f>SUMIF('Antelope Bailey Split BA'!$B$7:$B$29,B672,'Antelope Bailey Split BA'!$C$7:$C$29)</f>
        <v>0</v>
      </c>
      <c r="R672" s="39" t="str">
        <f>IF(AND(Q672=1,'Plant Total by Account'!$J$1=2),"EKWRA","")</f>
        <v/>
      </c>
    </row>
    <row r="673" spans="1:18" x14ac:dyDescent="0.2">
      <c r="A673" s="31" t="s">
        <v>3184</v>
      </c>
      <c r="B673" s="36" t="s">
        <v>795</v>
      </c>
      <c r="C673" s="504" t="s">
        <v>3353</v>
      </c>
      <c r="D673" s="42">
        <v>16481.260000000002</v>
      </c>
      <c r="E673" s="42">
        <v>71499.790000000008</v>
      </c>
      <c r="F673" s="42">
        <v>4052069.9600000004</v>
      </c>
      <c r="G673" s="581">
        <f t="shared" si="51"/>
        <v>4140051.0100000002</v>
      </c>
      <c r="H673" s="33">
        <v>0</v>
      </c>
      <c r="I673" s="33">
        <v>0</v>
      </c>
      <c r="J673" s="33">
        <v>0</v>
      </c>
      <c r="K673" s="33">
        <f t="shared" si="53"/>
        <v>16481.260000000002</v>
      </c>
      <c r="L673" s="33">
        <f t="shared" si="54"/>
        <v>71499.790000000008</v>
      </c>
      <c r="M673" s="33">
        <f t="shared" si="55"/>
        <v>4052069.9600000004</v>
      </c>
      <c r="N673" s="235">
        <f t="shared" si="52"/>
        <v>0</v>
      </c>
      <c r="O673" s="35" t="s">
        <v>3327</v>
      </c>
      <c r="P673" s="35"/>
      <c r="Q673" s="39">
        <f>SUMIF('Antelope Bailey Split BA'!$B$7:$B$29,B673,'Antelope Bailey Split BA'!$C$7:$C$29)</f>
        <v>0</v>
      </c>
      <c r="R673" s="39" t="str">
        <f>IF(AND(Q673=1,'Plant Total by Account'!$J$1=2),"EKWRA","")</f>
        <v/>
      </c>
    </row>
    <row r="674" spans="1:18" x14ac:dyDescent="0.2">
      <c r="A674" s="31" t="s">
        <v>3185</v>
      </c>
      <c r="B674" s="36" t="s">
        <v>796</v>
      </c>
      <c r="C674" s="504" t="s">
        <v>3353</v>
      </c>
      <c r="D674" s="42">
        <v>6998.56</v>
      </c>
      <c r="E674" s="42">
        <v>28567.780000000002</v>
      </c>
      <c r="F674" s="42">
        <v>637845.34</v>
      </c>
      <c r="G674" s="581">
        <f t="shared" si="51"/>
        <v>673411.67999999993</v>
      </c>
      <c r="H674" s="33">
        <v>0</v>
      </c>
      <c r="I674" s="33">
        <v>0</v>
      </c>
      <c r="J674" s="33">
        <v>0</v>
      </c>
      <c r="K674" s="33">
        <f t="shared" si="53"/>
        <v>6998.56</v>
      </c>
      <c r="L674" s="33">
        <f t="shared" si="54"/>
        <v>28567.780000000002</v>
      </c>
      <c r="M674" s="33">
        <f t="shared" si="55"/>
        <v>637845.34</v>
      </c>
      <c r="N674" s="235">
        <f t="shared" si="52"/>
        <v>0</v>
      </c>
      <c r="O674" s="35" t="s">
        <v>3327</v>
      </c>
      <c r="P674" s="35"/>
      <c r="Q674" s="39">
        <f>SUMIF('Antelope Bailey Split BA'!$B$7:$B$29,B674,'Antelope Bailey Split BA'!$C$7:$C$29)</f>
        <v>0</v>
      </c>
      <c r="R674" s="39" t="str">
        <f>IF(AND(Q674=1,'Plant Total by Account'!$J$1=2),"EKWRA","")</f>
        <v/>
      </c>
    </row>
    <row r="675" spans="1:18" x14ac:dyDescent="0.2">
      <c r="A675" s="31" t="s">
        <v>3186</v>
      </c>
      <c r="B675" s="36" t="s">
        <v>3187</v>
      </c>
      <c r="C675" s="504"/>
      <c r="D675" s="42">
        <v>0</v>
      </c>
      <c r="E675" s="42">
        <v>347638.96</v>
      </c>
      <c r="F675" s="42">
        <v>1040901.4199999999</v>
      </c>
      <c r="G675" s="581">
        <f t="shared" si="51"/>
        <v>1388540.38</v>
      </c>
      <c r="H675" s="33">
        <v>0</v>
      </c>
      <c r="I675" s="33">
        <v>0</v>
      </c>
      <c r="J675" s="33">
        <v>0</v>
      </c>
      <c r="K675" s="33">
        <f t="shared" si="53"/>
        <v>0</v>
      </c>
      <c r="L675" s="33">
        <f t="shared" si="54"/>
        <v>347638.96</v>
      </c>
      <c r="M675" s="33">
        <f t="shared" si="55"/>
        <v>1040901.4199999999</v>
      </c>
      <c r="N675" s="235">
        <f t="shared" si="52"/>
        <v>0</v>
      </c>
      <c r="O675" s="35" t="s">
        <v>3327</v>
      </c>
      <c r="P675" s="35"/>
      <c r="Q675" s="39">
        <f>SUMIF('Antelope Bailey Split BA'!$B$7:$B$29,B675,'Antelope Bailey Split BA'!$C$7:$C$29)</f>
        <v>0</v>
      </c>
      <c r="R675" s="39" t="str">
        <f>IF(AND(Q675=1,'Plant Total by Account'!$J$1=2),"EKWRA","")</f>
        <v/>
      </c>
    </row>
    <row r="676" spans="1:18" x14ac:dyDescent="0.2">
      <c r="A676" s="31" t="s">
        <v>134</v>
      </c>
      <c r="B676" s="36" t="s">
        <v>977</v>
      </c>
      <c r="C676" s="504" t="s">
        <v>1509</v>
      </c>
      <c r="D676" s="125">
        <v>84541618.270000026</v>
      </c>
      <c r="E676" s="125">
        <v>316020075.53999996</v>
      </c>
      <c r="F676" s="125">
        <v>324566.07999999996</v>
      </c>
      <c r="G676" s="581">
        <f t="shared" si="51"/>
        <v>400886259.88999999</v>
      </c>
      <c r="H676" s="33">
        <v>0</v>
      </c>
      <c r="I676" s="33">
        <v>0</v>
      </c>
      <c r="J676" s="33">
        <v>0</v>
      </c>
      <c r="K676" s="33">
        <f t="shared" si="53"/>
        <v>84541618.270000026</v>
      </c>
      <c r="L676" s="33">
        <f t="shared" si="54"/>
        <v>316020075.53999996</v>
      </c>
      <c r="M676" s="33">
        <f t="shared" si="55"/>
        <v>324566.07999999996</v>
      </c>
      <c r="N676" s="235">
        <f t="shared" si="52"/>
        <v>0</v>
      </c>
      <c r="O676" s="35" t="s">
        <v>3327</v>
      </c>
      <c r="P676" s="35"/>
      <c r="Q676" s="39">
        <f>SUMIF('Antelope Bailey Split BA'!$B$7:$B$29,B676,'Antelope Bailey Split BA'!$C$7:$C$29)</f>
        <v>0</v>
      </c>
      <c r="R676" s="39" t="str">
        <f>IF(AND(Q676=1,'Plant Total by Account'!$J$1=2),"EKWRA","")</f>
        <v/>
      </c>
    </row>
    <row r="677" spans="1:18" x14ac:dyDescent="0.2">
      <c r="A677" s="31" t="s">
        <v>134</v>
      </c>
      <c r="B677" s="36" t="s">
        <v>978</v>
      </c>
      <c r="C677" s="504" t="s">
        <v>1509</v>
      </c>
      <c r="D677" s="125">
        <v>89054.720000000001</v>
      </c>
      <c r="E677" s="125">
        <v>7668802.830000001</v>
      </c>
      <c r="F677" s="125">
        <v>0</v>
      </c>
      <c r="G677" s="581">
        <f t="shared" si="51"/>
        <v>7757857.5500000007</v>
      </c>
      <c r="H677" s="33">
        <v>0</v>
      </c>
      <c r="I677" s="33">
        <v>0</v>
      </c>
      <c r="J677" s="33">
        <v>0</v>
      </c>
      <c r="K677" s="33">
        <f t="shared" si="53"/>
        <v>89054.720000000001</v>
      </c>
      <c r="L677" s="33">
        <f t="shared" si="54"/>
        <v>7668802.830000001</v>
      </c>
      <c r="M677" s="33">
        <f t="shared" si="55"/>
        <v>0</v>
      </c>
      <c r="N677" s="235">
        <f t="shared" si="52"/>
        <v>0</v>
      </c>
      <c r="O677" s="35" t="s">
        <v>3327</v>
      </c>
      <c r="P677" s="35"/>
      <c r="Q677" s="39">
        <f>SUMIF('Antelope Bailey Split BA'!$B$7:$B$29,B677,'Antelope Bailey Split BA'!$C$7:$C$29)</f>
        <v>0</v>
      </c>
      <c r="R677" s="39" t="str">
        <f>IF(AND(Q677=1,'Plant Total by Account'!$J$1=2),"EKWRA","")</f>
        <v/>
      </c>
    </row>
    <row r="678" spans="1:18" x14ac:dyDescent="0.2">
      <c r="A678" s="31" t="s">
        <v>134</v>
      </c>
      <c r="B678" s="36" t="s">
        <v>979</v>
      </c>
      <c r="C678" s="504" t="s">
        <v>1509</v>
      </c>
      <c r="D678" s="125">
        <v>0</v>
      </c>
      <c r="E678" s="125">
        <v>9447331.0700000003</v>
      </c>
      <c r="F678" s="125">
        <v>0</v>
      </c>
      <c r="G678" s="581">
        <f t="shared" si="51"/>
        <v>9447331.0700000003</v>
      </c>
      <c r="H678" s="33">
        <v>0</v>
      </c>
      <c r="I678" s="33">
        <v>0</v>
      </c>
      <c r="J678" s="33">
        <v>0</v>
      </c>
      <c r="K678" s="33">
        <f t="shared" si="53"/>
        <v>0</v>
      </c>
      <c r="L678" s="33">
        <f t="shared" si="54"/>
        <v>9447331.0700000003</v>
      </c>
      <c r="M678" s="33">
        <f t="shared" si="55"/>
        <v>0</v>
      </c>
      <c r="N678" s="235">
        <f t="shared" si="52"/>
        <v>0</v>
      </c>
      <c r="O678" s="35" t="s">
        <v>3327</v>
      </c>
      <c r="P678" s="35"/>
      <c r="Q678" s="39">
        <f>SUMIF('Antelope Bailey Split BA'!$B$7:$B$29,B678,'Antelope Bailey Split BA'!$C$7:$C$29)</f>
        <v>0</v>
      </c>
      <c r="R678" s="39" t="str">
        <f>IF(AND(Q678=1,'Plant Total by Account'!$J$1=2),"EKWRA","")</f>
        <v/>
      </c>
    </row>
    <row r="679" spans="1:18" x14ac:dyDescent="0.2">
      <c r="A679" s="31" t="s">
        <v>3310</v>
      </c>
      <c r="B679" s="112" t="s">
        <v>3311</v>
      </c>
      <c r="C679" s="504"/>
      <c r="D679" s="42">
        <v>0</v>
      </c>
      <c r="E679" s="42">
        <v>0</v>
      </c>
      <c r="F679" s="42">
        <v>12825.99</v>
      </c>
      <c r="G679" s="581">
        <f t="shared" si="51"/>
        <v>12825.99</v>
      </c>
      <c r="H679" s="33">
        <v>0</v>
      </c>
      <c r="I679" s="33">
        <v>0</v>
      </c>
      <c r="J679" s="33">
        <v>0</v>
      </c>
      <c r="K679" s="129">
        <f t="shared" si="53"/>
        <v>0</v>
      </c>
      <c r="L679" s="129">
        <f t="shared" si="54"/>
        <v>0</v>
      </c>
      <c r="M679" s="129">
        <f t="shared" si="55"/>
        <v>12825.99</v>
      </c>
      <c r="N679" s="235">
        <f t="shared" si="52"/>
        <v>0</v>
      </c>
      <c r="O679" s="35" t="s">
        <v>3327</v>
      </c>
      <c r="P679" s="35"/>
      <c r="Q679" s="39">
        <f>SUMIF('Antelope Bailey Split BA'!$B$7:$B$29,B679,'Antelope Bailey Split BA'!$C$7:$C$29)</f>
        <v>0</v>
      </c>
      <c r="R679" s="39" t="str">
        <f>IF(AND(Q679=1,'Plant Total by Account'!$J$1=2),"EKWRA","")</f>
        <v/>
      </c>
    </row>
    <row r="680" spans="1:18" x14ac:dyDescent="0.2">
      <c r="A680" s="31" t="s">
        <v>3312</v>
      </c>
      <c r="B680" s="36" t="s">
        <v>3313</v>
      </c>
      <c r="C680" s="504"/>
      <c r="D680" s="33">
        <v>0</v>
      </c>
      <c r="E680" s="33">
        <v>0</v>
      </c>
      <c r="F680" s="33">
        <v>6699460.5699999994</v>
      </c>
      <c r="G680" s="581">
        <f t="shared" si="51"/>
        <v>6699460.5699999994</v>
      </c>
      <c r="H680" s="33">
        <v>0</v>
      </c>
      <c r="I680" s="33">
        <v>0</v>
      </c>
      <c r="J680" s="33">
        <v>0</v>
      </c>
      <c r="K680" s="129">
        <f t="shared" si="53"/>
        <v>0</v>
      </c>
      <c r="L680" s="129">
        <f t="shared" si="54"/>
        <v>0</v>
      </c>
      <c r="M680" s="129">
        <f t="shared" si="55"/>
        <v>6699460.5699999994</v>
      </c>
      <c r="N680" s="235">
        <f t="shared" si="52"/>
        <v>0</v>
      </c>
      <c r="O680" s="35" t="s">
        <v>3327</v>
      </c>
      <c r="P680" s="35"/>
      <c r="Q680" s="39">
        <f>SUMIF('Antelope Bailey Split BA'!$B$7:$B$29,B680,'Antelope Bailey Split BA'!$C$7:$C$29)</f>
        <v>0</v>
      </c>
      <c r="R680" s="39" t="str">
        <f>IF(AND(Q680=1,'Plant Total by Account'!$J$1=2),"EKWRA","")</f>
        <v/>
      </c>
    </row>
    <row r="681" spans="1:18" x14ac:dyDescent="0.2">
      <c r="A681" s="31" t="s">
        <v>3314</v>
      </c>
      <c r="B681" s="98" t="s">
        <v>3315</v>
      </c>
      <c r="C681" s="504"/>
      <c r="D681" s="42">
        <v>367.90000000000003</v>
      </c>
      <c r="E681" s="42">
        <v>0</v>
      </c>
      <c r="F681" s="42">
        <v>428393.86</v>
      </c>
      <c r="G681" s="581">
        <f t="shared" si="51"/>
        <v>428761.76</v>
      </c>
      <c r="H681" s="33">
        <v>0</v>
      </c>
      <c r="I681" s="33">
        <v>0</v>
      </c>
      <c r="J681" s="33">
        <v>0</v>
      </c>
      <c r="K681" s="129">
        <f t="shared" si="53"/>
        <v>367.90000000000003</v>
      </c>
      <c r="L681" s="129">
        <f t="shared" si="54"/>
        <v>0</v>
      </c>
      <c r="M681" s="129">
        <f t="shared" si="55"/>
        <v>428393.86</v>
      </c>
      <c r="N681" s="235">
        <f t="shared" si="52"/>
        <v>0</v>
      </c>
      <c r="O681" s="35" t="s">
        <v>3327</v>
      </c>
      <c r="P681" s="35"/>
      <c r="Q681" s="39">
        <f>SUMIF('Antelope Bailey Split BA'!$B$7:$B$29,B681,'Antelope Bailey Split BA'!$C$7:$C$29)</f>
        <v>0</v>
      </c>
      <c r="R681" s="39" t="str">
        <f>IF(AND(Q681=1,'Plant Total by Account'!$J$1=2),"EKWRA","")</f>
        <v/>
      </c>
    </row>
    <row r="682" spans="1:18" x14ac:dyDescent="0.2">
      <c r="A682" s="31" t="s">
        <v>2493</v>
      </c>
      <c r="B682" s="36" t="s">
        <v>1176</v>
      </c>
      <c r="C682" s="504" t="s">
        <v>3348</v>
      </c>
      <c r="D682" s="42">
        <v>0</v>
      </c>
      <c r="E682" s="42">
        <v>0</v>
      </c>
      <c r="F682" s="42">
        <v>124469.61</v>
      </c>
      <c r="G682" s="581">
        <f t="shared" si="51"/>
        <v>124469.61</v>
      </c>
      <c r="H682" s="33">
        <v>0</v>
      </c>
      <c r="I682" s="33">
        <v>0</v>
      </c>
      <c r="J682" s="33">
        <v>0</v>
      </c>
      <c r="K682" s="33">
        <f t="shared" si="53"/>
        <v>0</v>
      </c>
      <c r="L682" s="33">
        <f t="shared" si="54"/>
        <v>0</v>
      </c>
      <c r="M682" s="33">
        <f t="shared" si="55"/>
        <v>124469.61</v>
      </c>
      <c r="N682" s="235">
        <f t="shared" si="52"/>
        <v>0</v>
      </c>
      <c r="O682" s="35" t="s">
        <v>3327</v>
      </c>
      <c r="P682" s="35"/>
      <c r="Q682" s="39">
        <f>SUMIF('Antelope Bailey Split BA'!$B$7:$B$29,B682,'Antelope Bailey Split BA'!$C$7:$C$29)</f>
        <v>0</v>
      </c>
      <c r="R682" s="39" t="str">
        <f>IF(AND(Q682=1,'Plant Total by Account'!$J$1=2),"EKWRA","")</f>
        <v/>
      </c>
    </row>
    <row r="683" spans="1:18" x14ac:dyDescent="0.2">
      <c r="A683" s="31" t="s">
        <v>2497</v>
      </c>
      <c r="B683" s="36" t="s">
        <v>1179</v>
      </c>
      <c r="C683" s="504" t="s">
        <v>3348</v>
      </c>
      <c r="D683" s="42">
        <v>0</v>
      </c>
      <c r="E683" s="42">
        <v>0</v>
      </c>
      <c r="F683" s="42">
        <v>7878.55</v>
      </c>
      <c r="G683" s="581">
        <f t="shared" si="51"/>
        <v>7878.55</v>
      </c>
      <c r="H683" s="33">
        <v>0</v>
      </c>
      <c r="I683" s="33">
        <v>0</v>
      </c>
      <c r="J683" s="33">
        <v>0</v>
      </c>
      <c r="K683" s="33">
        <f t="shared" si="53"/>
        <v>0</v>
      </c>
      <c r="L683" s="33">
        <f t="shared" si="54"/>
        <v>0</v>
      </c>
      <c r="M683" s="33">
        <f t="shared" si="55"/>
        <v>7878.55</v>
      </c>
      <c r="N683" s="235">
        <f t="shared" si="52"/>
        <v>0</v>
      </c>
      <c r="O683" s="35" t="s">
        <v>3327</v>
      </c>
      <c r="P683" s="35"/>
      <c r="Q683" s="39">
        <f>SUMIF('Antelope Bailey Split BA'!$B$7:$B$29,B683,'Antelope Bailey Split BA'!$C$7:$C$29)</f>
        <v>0</v>
      </c>
      <c r="R683" s="39" t="str">
        <f>IF(AND(Q683=1,'Plant Total by Account'!$J$1=2),"EKWRA","")</f>
        <v/>
      </c>
    </row>
    <row r="684" spans="1:18" x14ac:dyDescent="0.2">
      <c r="A684" s="31" t="s">
        <v>2499</v>
      </c>
      <c r="B684" s="36" t="s">
        <v>1181</v>
      </c>
      <c r="C684" s="504" t="s">
        <v>3350</v>
      </c>
      <c r="D684" s="42">
        <v>0</v>
      </c>
      <c r="E684" s="42">
        <v>0</v>
      </c>
      <c r="F684" s="42">
        <v>147755.23000000001</v>
      </c>
      <c r="G684" s="581">
        <f t="shared" si="51"/>
        <v>147755.23000000001</v>
      </c>
      <c r="H684" s="33">
        <v>0</v>
      </c>
      <c r="I684" s="33">
        <v>0</v>
      </c>
      <c r="J684" s="33">
        <v>0</v>
      </c>
      <c r="K684" s="33">
        <f t="shared" si="53"/>
        <v>0</v>
      </c>
      <c r="L684" s="33">
        <f t="shared" si="54"/>
        <v>0</v>
      </c>
      <c r="M684" s="33">
        <f t="shared" si="55"/>
        <v>147755.23000000001</v>
      </c>
      <c r="N684" s="235">
        <f t="shared" si="52"/>
        <v>0</v>
      </c>
      <c r="O684" s="35" t="s">
        <v>3327</v>
      </c>
      <c r="P684" s="35"/>
      <c r="Q684" s="39">
        <f>SUMIF('Antelope Bailey Split BA'!$B$7:$B$29,B684,'Antelope Bailey Split BA'!$C$7:$C$29)</f>
        <v>0</v>
      </c>
      <c r="R684" s="39" t="str">
        <f>IF(AND(Q684=1,'Plant Total by Account'!$J$1=2),"EKWRA","")</f>
        <v/>
      </c>
    </row>
    <row r="685" spans="1:18" x14ac:dyDescent="0.2">
      <c r="A685" s="31" t="s">
        <v>2506</v>
      </c>
      <c r="B685" s="36" t="s">
        <v>135</v>
      </c>
      <c r="C685" s="504" t="s">
        <v>3348</v>
      </c>
      <c r="D685" s="42">
        <v>0</v>
      </c>
      <c r="E685" s="42">
        <v>6417.4400000000005</v>
      </c>
      <c r="F685" s="42">
        <v>0</v>
      </c>
      <c r="G685" s="581">
        <f t="shared" si="51"/>
        <v>6417.4400000000005</v>
      </c>
      <c r="H685" s="33">
        <v>0</v>
      </c>
      <c r="I685" s="33">
        <v>0</v>
      </c>
      <c r="J685" s="33">
        <v>0</v>
      </c>
      <c r="K685" s="33">
        <f t="shared" si="53"/>
        <v>0</v>
      </c>
      <c r="L685" s="33">
        <f t="shared" si="54"/>
        <v>6417.4400000000005</v>
      </c>
      <c r="M685" s="33">
        <f t="shared" si="55"/>
        <v>0</v>
      </c>
      <c r="N685" s="235">
        <f t="shared" si="52"/>
        <v>0</v>
      </c>
      <c r="O685" s="35" t="s">
        <v>3327</v>
      </c>
      <c r="P685" s="35"/>
      <c r="Q685" s="39">
        <f>SUMIF('Antelope Bailey Split BA'!$B$7:$B$29,B685,'Antelope Bailey Split BA'!$C$7:$C$29)</f>
        <v>0</v>
      </c>
      <c r="R685" s="39" t="str">
        <f>IF(AND(Q685=1,'Plant Total by Account'!$J$1=2),"EKWRA","")</f>
        <v/>
      </c>
    </row>
    <row r="686" spans="1:18" x14ac:dyDescent="0.2">
      <c r="A686" s="31" t="s">
        <v>2508</v>
      </c>
      <c r="B686" s="36" t="s">
        <v>136</v>
      </c>
      <c r="C686" s="504" t="s">
        <v>3353</v>
      </c>
      <c r="D686" s="42">
        <v>0</v>
      </c>
      <c r="E686" s="42">
        <v>0</v>
      </c>
      <c r="F686" s="42">
        <v>35285.060000000005</v>
      </c>
      <c r="G686" s="581">
        <f t="shared" si="51"/>
        <v>35285.060000000005</v>
      </c>
      <c r="H686" s="33">
        <v>0</v>
      </c>
      <c r="I686" s="33">
        <v>0</v>
      </c>
      <c r="J686" s="33">
        <v>0</v>
      </c>
      <c r="K686" s="33">
        <f t="shared" si="53"/>
        <v>0</v>
      </c>
      <c r="L686" s="33">
        <f t="shared" si="54"/>
        <v>0</v>
      </c>
      <c r="M686" s="33">
        <f t="shared" si="55"/>
        <v>35285.060000000005</v>
      </c>
      <c r="N686" s="235">
        <f t="shared" si="52"/>
        <v>0</v>
      </c>
      <c r="O686" s="35" t="s">
        <v>3327</v>
      </c>
      <c r="P686" s="35"/>
      <c r="Q686" s="39">
        <f>SUMIF('Antelope Bailey Split BA'!$B$7:$B$29,B686,'Antelope Bailey Split BA'!$C$7:$C$29)</f>
        <v>0</v>
      </c>
      <c r="R686" s="39" t="str">
        <f>IF(AND(Q686=1,'Plant Total by Account'!$J$1=2),"EKWRA","")</f>
        <v/>
      </c>
    </row>
    <row r="687" spans="1:18" x14ac:dyDescent="0.2">
      <c r="A687" s="31" t="s">
        <v>2511</v>
      </c>
      <c r="B687" s="36" t="s">
        <v>1190</v>
      </c>
      <c r="C687" s="504" t="s">
        <v>3348</v>
      </c>
      <c r="D687" s="42">
        <v>0</v>
      </c>
      <c r="E687" s="42">
        <v>0</v>
      </c>
      <c r="F687" s="42">
        <v>378329.74</v>
      </c>
      <c r="G687" s="581">
        <f t="shared" si="51"/>
        <v>378329.74</v>
      </c>
      <c r="H687" s="33">
        <v>0</v>
      </c>
      <c r="I687" s="33">
        <v>0</v>
      </c>
      <c r="J687" s="33">
        <v>0</v>
      </c>
      <c r="K687" s="33">
        <f t="shared" si="53"/>
        <v>0</v>
      </c>
      <c r="L687" s="33">
        <f t="shared" si="54"/>
        <v>0</v>
      </c>
      <c r="M687" s="33">
        <f t="shared" si="55"/>
        <v>378329.74</v>
      </c>
      <c r="N687" s="235">
        <f t="shared" si="52"/>
        <v>0</v>
      </c>
      <c r="O687" s="35" t="s">
        <v>3327</v>
      </c>
      <c r="P687" s="35"/>
      <c r="Q687" s="39">
        <f>SUMIF('Antelope Bailey Split BA'!$B$7:$B$29,B687,'Antelope Bailey Split BA'!$C$7:$C$29)</f>
        <v>0</v>
      </c>
      <c r="R687" s="39" t="str">
        <f>IF(AND(Q687=1,'Plant Total by Account'!$J$1=2),"EKWRA","")</f>
        <v/>
      </c>
    </row>
    <row r="688" spans="1:18" x14ac:dyDescent="0.2">
      <c r="A688" s="31" t="s">
        <v>2515</v>
      </c>
      <c r="B688" s="36" t="s">
        <v>1194</v>
      </c>
      <c r="C688" s="504" t="s">
        <v>3353</v>
      </c>
      <c r="D688" s="42">
        <v>0</v>
      </c>
      <c r="E688" s="42">
        <v>0</v>
      </c>
      <c r="F688" s="42">
        <v>7514.95</v>
      </c>
      <c r="G688" s="581">
        <f t="shared" si="51"/>
        <v>7514.95</v>
      </c>
      <c r="H688" s="33">
        <v>0</v>
      </c>
      <c r="I688" s="33">
        <v>0</v>
      </c>
      <c r="J688" s="33">
        <v>0</v>
      </c>
      <c r="K688" s="33">
        <f t="shared" si="53"/>
        <v>0</v>
      </c>
      <c r="L688" s="33">
        <f t="shared" si="54"/>
        <v>0</v>
      </c>
      <c r="M688" s="33">
        <f t="shared" si="55"/>
        <v>7514.95</v>
      </c>
      <c r="N688" s="235">
        <f t="shared" si="52"/>
        <v>0</v>
      </c>
      <c r="O688" s="35" t="s">
        <v>3327</v>
      </c>
      <c r="P688" s="35"/>
      <c r="Q688" s="39">
        <f>SUMIF('Antelope Bailey Split BA'!$B$7:$B$29,B688,'Antelope Bailey Split BA'!$C$7:$C$29)</f>
        <v>0</v>
      </c>
      <c r="R688" s="39" t="str">
        <f>IF(AND(Q688=1,'Plant Total by Account'!$J$1=2),"EKWRA","")</f>
        <v/>
      </c>
    </row>
    <row r="689" spans="1:18" x14ac:dyDescent="0.2">
      <c r="A689" s="31" t="s">
        <v>2516</v>
      </c>
      <c r="B689" s="36" t="s">
        <v>1195</v>
      </c>
      <c r="C689" s="504" t="s">
        <v>3348</v>
      </c>
      <c r="D689" s="42">
        <v>0</v>
      </c>
      <c r="E689" s="42">
        <v>0</v>
      </c>
      <c r="F689" s="42">
        <v>15797.45</v>
      </c>
      <c r="G689" s="581">
        <f t="shared" si="51"/>
        <v>15797.45</v>
      </c>
      <c r="H689" s="33">
        <v>0</v>
      </c>
      <c r="I689" s="33">
        <v>0</v>
      </c>
      <c r="J689" s="33">
        <v>0</v>
      </c>
      <c r="K689" s="33">
        <f t="shared" si="53"/>
        <v>0</v>
      </c>
      <c r="L689" s="33">
        <f t="shared" si="54"/>
        <v>0</v>
      </c>
      <c r="M689" s="33">
        <f t="shared" si="55"/>
        <v>15797.45</v>
      </c>
      <c r="N689" s="235">
        <f t="shared" si="52"/>
        <v>0</v>
      </c>
      <c r="O689" s="35" t="s">
        <v>3327</v>
      </c>
      <c r="P689" s="35"/>
      <c r="Q689" s="39">
        <f>SUMIF('Antelope Bailey Split BA'!$B$7:$B$29,B689,'Antelope Bailey Split BA'!$C$7:$C$29)</f>
        <v>0</v>
      </c>
      <c r="R689" s="39" t="str">
        <f>IF(AND(Q689=1,'Plant Total by Account'!$J$1=2),"EKWRA","")</f>
        <v/>
      </c>
    </row>
    <row r="690" spans="1:18" x14ac:dyDescent="0.2">
      <c r="A690" s="31" t="s">
        <v>2519</v>
      </c>
      <c r="B690" s="36" t="s">
        <v>1198</v>
      </c>
      <c r="C690" s="504" t="s">
        <v>3348</v>
      </c>
      <c r="D690" s="42">
        <v>0</v>
      </c>
      <c r="E690" s="42">
        <v>5937.11</v>
      </c>
      <c r="F690" s="42">
        <v>761226.84</v>
      </c>
      <c r="G690" s="581">
        <f t="shared" si="51"/>
        <v>767163.95</v>
      </c>
      <c r="H690" s="33">
        <v>0</v>
      </c>
      <c r="I690" s="33">
        <v>0</v>
      </c>
      <c r="J690" s="33">
        <v>0</v>
      </c>
      <c r="K690" s="33">
        <f t="shared" si="53"/>
        <v>0</v>
      </c>
      <c r="L690" s="33">
        <f t="shared" si="54"/>
        <v>5937.11</v>
      </c>
      <c r="M690" s="33">
        <f t="shared" si="55"/>
        <v>761226.84</v>
      </c>
      <c r="N690" s="235">
        <f t="shared" si="52"/>
        <v>0</v>
      </c>
      <c r="O690" s="35" t="s">
        <v>3327</v>
      </c>
      <c r="P690" s="35"/>
      <c r="Q690" s="39">
        <f>SUMIF('Antelope Bailey Split BA'!$B$7:$B$29,B690,'Antelope Bailey Split BA'!$C$7:$C$29)</f>
        <v>0</v>
      </c>
      <c r="R690" s="39" t="str">
        <f>IF(AND(Q690=1,'Plant Total by Account'!$J$1=2),"EKWRA","")</f>
        <v/>
      </c>
    </row>
    <row r="691" spans="1:18" x14ac:dyDescent="0.2">
      <c r="A691" s="31" t="s">
        <v>2521</v>
      </c>
      <c r="B691" s="36" t="s">
        <v>802</v>
      </c>
      <c r="C691" s="504" t="s">
        <v>3348</v>
      </c>
      <c r="D691" s="42">
        <v>0</v>
      </c>
      <c r="E691" s="42">
        <v>0</v>
      </c>
      <c r="F691" s="42">
        <v>782187.23</v>
      </c>
      <c r="G691" s="581">
        <f t="shared" si="51"/>
        <v>782187.23</v>
      </c>
      <c r="H691" s="33">
        <v>0</v>
      </c>
      <c r="I691" s="33">
        <v>0</v>
      </c>
      <c r="J691" s="33">
        <v>0</v>
      </c>
      <c r="K691" s="33">
        <f t="shared" si="53"/>
        <v>0</v>
      </c>
      <c r="L691" s="33">
        <f t="shared" si="54"/>
        <v>0</v>
      </c>
      <c r="M691" s="33">
        <f t="shared" si="55"/>
        <v>782187.23</v>
      </c>
      <c r="N691" s="235">
        <f t="shared" si="52"/>
        <v>0</v>
      </c>
      <c r="O691" s="35" t="s">
        <v>3327</v>
      </c>
      <c r="P691" s="35"/>
      <c r="Q691" s="39">
        <f>SUMIF('Antelope Bailey Split BA'!$B$7:$B$29,B691,'Antelope Bailey Split BA'!$C$7:$C$29)</f>
        <v>0</v>
      </c>
      <c r="R691" s="39" t="str">
        <f>IF(AND(Q691=1,'Plant Total by Account'!$J$1=2),"EKWRA","")</f>
        <v/>
      </c>
    </row>
    <row r="692" spans="1:18" x14ac:dyDescent="0.2">
      <c r="A692" s="31" t="s">
        <v>2523</v>
      </c>
      <c r="B692" s="36" t="s">
        <v>1201</v>
      </c>
      <c r="C692" s="504" t="s">
        <v>3348</v>
      </c>
      <c r="D692" s="42">
        <v>0</v>
      </c>
      <c r="E692" s="42">
        <v>0</v>
      </c>
      <c r="F692" s="42">
        <v>19129.039999999997</v>
      </c>
      <c r="G692" s="581">
        <f t="shared" si="51"/>
        <v>19129.039999999997</v>
      </c>
      <c r="H692" s="33">
        <v>0</v>
      </c>
      <c r="I692" s="33">
        <v>0</v>
      </c>
      <c r="J692" s="33">
        <v>0</v>
      </c>
      <c r="K692" s="33">
        <f t="shared" si="53"/>
        <v>0</v>
      </c>
      <c r="L692" s="33">
        <f t="shared" si="54"/>
        <v>0</v>
      </c>
      <c r="M692" s="33">
        <f t="shared" si="55"/>
        <v>19129.039999999997</v>
      </c>
      <c r="N692" s="235">
        <f t="shared" si="52"/>
        <v>0</v>
      </c>
      <c r="O692" s="35" t="s">
        <v>3327</v>
      </c>
      <c r="P692" s="35"/>
      <c r="Q692" s="39">
        <f>SUMIF('Antelope Bailey Split BA'!$B$7:$B$29,B692,'Antelope Bailey Split BA'!$C$7:$C$29)</f>
        <v>0</v>
      </c>
      <c r="R692" s="39" t="str">
        <f>IF(AND(Q692=1,'Plant Total by Account'!$J$1=2),"EKWRA","")</f>
        <v/>
      </c>
    </row>
    <row r="693" spans="1:18" x14ac:dyDescent="0.2">
      <c r="A693" s="31" t="s">
        <v>3188</v>
      </c>
      <c r="B693" s="36" t="s">
        <v>803</v>
      </c>
      <c r="C693" s="504" t="s">
        <v>3348</v>
      </c>
      <c r="D693" s="42">
        <v>0</v>
      </c>
      <c r="E693" s="42">
        <v>0</v>
      </c>
      <c r="F693" s="42">
        <v>3878.5</v>
      </c>
      <c r="G693" s="581">
        <f t="shared" si="51"/>
        <v>3878.5</v>
      </c>
      <c r="H693" s="33">
        <v>0</v>
      </c>
      <c r="I693" s="33">
        <v>0</v>
      </c>
      <c r="J693" s="33">
        <v>0</v>
      </c>
      <c r="K693" s="33">
        <f t="shared" si="53"/>
        <v>0</v>
      </c>
      <c r="L693" s="33">
        <f t="shared" si="54"/>
        <v>0</v>
      </c>
      <c r="M693" s="33">
        <f t="shared" si="55"/>
        <v>3878.5</v>
      </c>
      <c r="N693" s="235">
        <f t="shared" si="52"/>
        <v>0</v>
      </c>
      <c r="O693" s="35" t="s">
        <v>3327</v>
      </c>
      <c r="P693" s="35"/>
      <c r="Q693" s="39">
        <f>SUMIF('Antelope Bailey Split BA'!$B$7:$B$29,B693,'Antelope Bailey Split BA'!$C$7:$C$29)</f>
        <v>0</v>
      </c>
      <c r="R693" s="39" t="str">
        <f>IF(AND(Q693=1,'Plant Total by Account'!$J$1=2),"EKWRA","")</f>
        <v/>
      </c>
    </row>
    <row r="694" spans="1:18" x14ac:dyDescent="0.2">
      <c r="A694" s="31" t="s">
        <v>2537</v>
      </c>
      <c r="B694" s="36" t="s">
        <v>804</v>
      </c>
      <c r="C694" s="504" t="s">
        <v>3348</v>
      </c>
      <c r="D694" s="42">
        <v>88408.77</v>
      </c>
      <c r="E694" s="42">
        <v>0</v>
      </c>
      <c r="F694" s="42">
        <v>0</v>
      </c>
      <c r="G694" s="581">
        <f t="shared" si="51"/>
        <v>88408.77</v>
      </c>
      <c r="H694" s="33">
        <v>0</v>
      </c>
      <c r="I694" s="33">
        <v>0</v>
      </c>
      <c r="J694" s="33">
        <v>0</v>
      </c>
      <c r="K694" s="33">
        <f t="shared" si="53"/>
        <v>88408.77</v>
      </c>
      <c r="L694" s="33">
        <f t="shared" si="54"/>
        <v>0</v>
      </c>
      <c r="M694" s="33">
        <f t="shared" si="55"/>
        <v>0</v>
      </c>
      <c r="N694" s="235">
        <f t="shared" si="52"/>
        <v>0</v>
      </c>
      <c r="O694" s="35" t="s">
        <v>3327</v>
      </c>
      <c r="P694" s="35"/>
      <c r="Q694" s="39">
        <f>SUMIF('Antelope Bailey Split BA'!$B$7:$B$29,B694,'Antelope Bailey Split BA'!$C$7:$C$29)</f>
        <v>0</v>
      </c>
      <c r="R694" s="39" t="str">
        <f>IF(AND(Q694=1,'Plant Total by Account'!$J$1=2),"EKWRA","")</f>
        <v/>
      </c>
    </row>
    <row r="695" spans="1:18" x14ac:dyDescent="0.2">
      <c r="A695" s="31" t="s">
        <v>2538</v>
      </c>
      <c r="B695" s="36" t="s">
        <v>805</v>
      </c>
      <c r="C695" s="504" t="s">
        <v>3348</v>
      </c>
      <c r="D695" s="42">
        <v>0</v>
      </c>
      <c r="E695" s="42">
        <v>0</v>
      </c>
      <c r="F695" s="42">
        <v>32899.64</v>
      </c>
      <c r="G695" s="581">
        <f t="shared" si="51"/>
        <v>32899.64</v>
      </c>
      <c r="H695" s="33">
        <v>0</v>
      </c>
      <c r="I695" s="33">
        <v>0</v>
      </c>
      <c r="J695" s="33">
        <v>0</v>
      </c>
      <c r="K695" s="33">
        <f t="shared" si="53"/>
        <v>0</v>
      </c>
      <c r="L695" s="33">
        <f t="shared" si="54"/>
        <v>0</v>
      </c>
      <c r="M695" s="33">
        <f t="shared" si="55"/>
        <v>32899.64</v>
      </c>
      <c r="N695" s="235">
        <f t="shared" si="52"/>
        <v>0</v>
      </c>
      <c r="O695" s="35" t="s">
        <v>3327</v>
      </c>
      <c r="P695" s="35"/>
      <c r="Q695" s="39">
        <f>SUMIF('Antelope Bailey Split BA'!$B$7:$B$29,B695,'Antelope Bailey Split BA'!$C$7:$C$29)</f>
        <v>0</v>
      </c>
      <c r="R695" s="39" t="str">
        <f>IF(AND(Q695=1,'Plant Total by Account'!$J$1=2),"EKWRA","")</f>
        <v/>
      </c>
    </row>
    <row r="696" spans="1:18" x14ac:dyDescent="0.2">
      <c r="A696" s="31" t="s">
        <v>3189</v>
      </c>
      <c r="B696" s="36" t="s">
        <v>806</v>
      </c>
      <c r="C696" s="504" t="s">
        <v>3348</v>
      </c>
      <c r="D696" s="42">
        <v>0</v>
      </c>
      <c r="E696" s="42">
        <v>0</v>
      </c>
      <c r="F696" s="42">
        <v>636439.19000000006</v>
      </c>
      <c r="G696" s="581">
        <f t="shared" si="51"/>
        <v>636439.19000000006</v>
      </c>
      <c r="H696" s="33">
        <v>0</v>
      </c>
      <c r="I696" s="33">
        <v>0</v>
      </c>
      <c r="J696" s="33">
        <v>0</v>
      </c>
      <c r="K696" s="129">
        <f t="shared" si="53"/>
        <v>0</v>
      </c>
      <c r="L696" s="129">
        <f t="shared" si="54"/>
        <v>0</v>
      </c>
      <c r="M696" s="129">
        <f t="shared" si="55"/>
        <v>636439.19000000006</v>
      </c>
      <c r="N696" s="235">
        <f t="shared" si="52"/>
        <v>0</v>
      </c>
      <c r="O696" s="35" t="s">
        <v>3327</v>
      </c>
      <c r="P696" s="35"/>
      <c r="Q696" s="39">
        <f>SUMIF('Antelope Bailey Split BA'!$B$7:$B$29,B696,'Antelope Bailey Split BA'!$C$7:$C$29)</f>
        <v>0</v>
      </c>
      <c r="R696" s="39" t="str">
        <f>IF(AND(Q696=1,'Plant Total by Account'!$J$1=2),"EKWRA","")</f>
        <v/>
      </c>
    </row>
    <row r="697" spans="1:18" x14ac:dyDescent="0.2">
      <c r="A697" s="31" t="s">
        <v>3190</v>
      </c>
      <c r="B697" s="36" t="s">
        <v>807</v>
      </c>
      <c r="C697" s="504" t="s">
        <v>3352</v>
      </c>
      <c r="D697" s="42">
        <v>0</v>
      </c>
      <c r="E697" s="42">
        <v>0</v>
      </c>
      <c r="F697" s="42">
        <v>7661.7</v>
      </c>
      <c r="G697" s="581">
        <f t="shared" si="51"/>
        <v>7661.7</v>
      </c>
      <c r="H697" s="33">
        <v>0</v>
      </c>
      <c r="I697" s="33">
        <v>0</v>
      </c>
      <c r="J697" s="33">
        <v>0</v>
      </c>
      <c r="K697" s="33">
        <f t="shared" si="53"/>
        <v>0</v>
      </c>
      <c r="L697" s="33">
        <f t="shared" si="54"/>
        <v>0</v>
      </c>
      <c r="M697" s="33">
        <f t="shared" si="55"/>
        <v>7661.7</v>
      </c>
      <c r="N697" s="235">
        <f t="shared" si="52"/>
        <v>0</v>
      </c>
      <c r="O697" s="35" t="s">
        <v>3327</v>
      </c>
      <c r="P697" s="35"/>
      <c r="Q697" s="39">
        <f>SUMIF('Antelope Bailey Split BA'!$B$7:$B$29,B697,'Antelope Bailey Split BA'!$C$7:$C$29)</f>
        <v>0</v>
      </c>
      <c r="R697" s="39" t="str">
        <f>IF(AND(Q697=1,'Plant Total by Account'!$J$1=2),"EKWRA","")</f>
        <v/>
      </c>
    </row>
    <row r="698" spans="1:18" x14ac:dyDescent="0.2">
      <c r="A698" s="31" t="s">
        <v>2541</v>
      </c>
      <c r="B698" s="36" t="s">
        <v>808</v>
      </c>
      <c r="C698" s="504" t="s">
        <v>3348</v>
      </c>
      <c r="D698" s="42">
        <v>4972.83</v>
      </c>
      <c r="E698" s="42">
        <v>0</v>
      </c>
      <c r="F698" s="42">
        <v>0</v>
      </c>
      <c r="G698" s="581">
        <f t="shared" si="51"/>
        <v>4972.83</v>
      </c>
      <c r="H698" s="33">
        <v>0</v>
      </c>
      <c r="I698" s="33">
        <v>0</v>
      </c>
      <c r="J698" s="33">
        <v>0</v>
      </c>
      <c r="K698" s="33">
        <f t="shared" si="53"/>
        <v>4972.83</v>
      </c>
      <c r="L698" s="33">
        <f t="shared" si="54"/>
        <v>0</v>
      </c>
      <c r="M698" s="33">
        <f t="shared" si="55"/>
        <v>0</v>
      </c>
      <c r="N698" s="235">
        <f t="shared" si="52"/>
        <v>0</v>
      </c>
      <c r="O698" s="35" t="s">
        <v>3327</v>
      </c>
      <c r="P698" s="35"/>
      <c r="Q698" s="39">
        <f>SUMIF('Antelope Bailey Split BA'!$B$7:$B$29,B698,'Antelope Bailey Split BA'!$C$7:$C$29)</f>
        <v>0</v>
      </c>
      <c r="R698" s="39" t="str">
        <f>IF(AND(Q698=1,'Plant Total by Account'!$J$1=2),"EKWRA","")</f>
        <v/>
      </c>
    </row>
    <row r="699" spans="1:18" x14ac:dyDescent="0.2">
      <c r="A699" s="31" t="s">
        <v>2545</v>
      </c>
      <c r="B699" s="36" t="s">
        <v>1220</v>
      </c>
      <c r="C699" s="504" t="s">
        <v>3348</v>
      </c>
      <c r="D699" s="42">
        <v>0</v>
      </c>
      <c r="E699" s="42">
        <v>0</v>
      </c>
      <c r="F699" s="42">
        <v>9383.36</v>
      </c>
      <c r="G699" s="581">
        <f t="shared" si="51"/>
        <v>9383.36</v>
      </c>
      <c r="H699" s="33">
        <v>0</v>
      </c>
      <c r="I699" s="33">
        <v>0</v>
      </c>
      <c r="J699" s="33">
        <v>0</v>
      </c>
      <c r="K699" s="33">
        <f t="shared" si="53"/>
        <v>0</v>
      </c>
      <c r="L699" s="33">
        <f t="shared" si="54"/>
        <v>0</v>
      </c>
      <c r="M699" s="33">
        <f t="shared" si="55"/>
        <v>9383.36</v>
      </c>
      <c r="N699" s="235">
        <f t="shared" si="52"/>
        <v>0</v>
      </c>
      <c r="O699" s="35" t="s">
        <v>3327</v>
      </c>
      <c r="P699" s="35"/>
      <c r="Q699" s="39">
        <f>SUMIF('Antelope Bailey Split BA'!$B$7:$B$29,B699,'Antelope Bailey Split BA'!$C$7:$C$29)</f>
        <v>0</v>
      </c>
      <c r="R699" s="39" t="str">
        <f>IF(AND(Q699=1,'Plant Total by Account'!$J$1=2),"EKWRA","")</f>
        <v/>
      </c>
    </row>
    <row r="700" spans="1:18" x14ac:dyDescent="0.2">
      <c r="A700" s="31" t="s">
        <v>2546</v>
      </c>
      <c r="B700" s="36" t="s">
        <v>1221</v>
      </c>
      <c r="C700" s="504" t="s">
        <v>3348</v>
      </c>
      <c r="D700" s="42">
        <v>0</v>
      </c>
      <c r="E700" s="42">
        <v>0</v>
      </c>
      <c r="F700" s="42">
        <v>7257.54</v>
      </c>
      <c r="G700" s="581">
        <f t="shared" si="51"/>
        <v>7257.54</v>
      </c>
      <c r="H700" s="33">
        <v>0</v>
      </c>
      <c r="I700" s="33">
        <v>0</v>
      </c>
      <c r="J700" s="33">
        <v>0</v>
      </c>
      <c r="K700" s="33">
        <f t="shared" si="53"/>
        <v>0</v>
      </c>
      <c r="L700" s="33">
        <f t="shared" si="54"/>
        <v>0</v>
      </c>
      <c r="M700" s="33">
        <f t="shared" si="55"/>
        <v>7257.54</v>
      </c>
      <c r="N700" s="235">
        <f t="shared" si="52"/>
        <v>0</v>
      </c>
      <c r="O700" s="35" t="s">
        <v>3327</v>
      </c>
      <c r="P700" s="35"/>
      <c r="Q700" s="39">
        <f>SUMIF('Antelope Bailey Split BA'!$B$7:$B$29,B700,'Antelope Bailey Split BA'!$C$7:$C$29)</f>
        <v>0</v>
      </c>
      <c r="R700" s="39" t="str">
        <f>IF(AND(Q700=1,'Plant Total by Account'!$J$1=2),"EKWRA","")</f>
        <v/>
      </c>
    </row>
    <row r="701" spans="1:18" x14ac:dyDescent="0.2">
      <c r="A701" s="31" t="s">
        <v>2554</v>
      </c>
      <c r="B701" s="36" t="s">
        <v>809</v>
      </c>
      <c r="C701" s="504" t="s">
        <v>3348</v>
      </c>
      <c r="D701" s="42">
        <v>0</v>
      </c>
      <c r="E701" s="42">
        <v>0</v>
      </c>
      <c r="F701" s="42">
        <v>6720.18</v>
      </c>
      <c r="G701" s="581">
        <f t="shared" si="51"/>
        <v>6720.18</v>
      </c>
      <c r="H701" s="33">
        <v>0</v>
      </c>
      <c r="I701" s="33">
        <v>0</v>
      </c>
      <c r="J701" s="33">
        <v>0</v>
      </c>
      <c r="K701" s="33">
        <f t="shared" si="53"/>
        <v>0</v>
      </c>
      <c r="L701" s="33">
        <f t="shared" si="54"/>
        <v>0</v>
      </c>
      <c r="M701" s="33">
        <f t="shared" si="55"/>
        <v>6720.18</v>
      </c>
      <c r="N701" s="235">
        <f t="shared" si="52"/>
        <v>0</v>
      </c>
      <c r="O701" s="35" t="s">
        <v>3327</v>
      </c>
      <c r="P701" s="35"/>
      <c r="Q701" s="39">
        <f>SUMIF('Antelope Bailey Split BA'!$B$7:$B$29,B701,'Antelope Bailey Split BA'!$C$7:$C$29)</f>
        <v>0</v>
      </c>
      <c r="R701" s="39" t="str">
        <f>IF(AND(Q701=1,'Plant Total by Account'!$J$1=2),"EKWRA","")</f>
        <v/>
      </c>
    </row>
    <row r="702" spans="1:18" x14ac:dyDescent="0.2">
      <c r="A702" s="31" t="s">
        <v>2556</v>
      </c>
      <c r="B702" s="36" t="s">
        <v>1230</v>
      </c>
      <c r="C702" s="504" t="s">
        <v>3348</v>
      </c>
      <c r="D702" s="42">
        <v>0</v>
      </c>
      <c r="E702" s="42">
        <v>0</v>
      </c>
      <c r="F702" s="42">
        <v>1029703.9100000001</v>
      </c>
      <c r="G702" s="581">
        <f t="shared" si="51"/>
        <v>1029703.9100000001</v>
      </c>
      <c r="H702" s="33">
        <v>0</v>
      </c>
      <c r="I702" s="33">
        <v>0</v>
      </c>
      <c r="J702" s="33">
        <v>0</v>
      </c>
      <c r="K702" s="33">
        <f t="shared" si="53"/>
        <v>0</v>
      </c>
      <c r="L702" s="33">
        <f t="shared" si="54"/>
        <v>0</v>
      </c>
      <c r="M702" s="33">
        <f t="shared" si="55"/>
        <v>1029703.9100000001</v>
      </c>
      <c r="N702" s="235">
        <f t="shared" si="52"/>
        <v>0</v>
      </c>
      <c r="O702" s="35" t="s">
        <v>3327</v>
      </c>
      <c r="P702" s="35"/>
      <c r="Q702" s="39">
        <f>SUMIF('Antelope Bailey Split BA'!$B$7:$B$29,B702,'Antelope Bailey Split BA'!$C$7:$C$29)</f>
        <v>0</v>
      </c>
      <c r="R702" s="39" t="str">
        <f>IF(AND(Q702=1,'Plant Total by Account'!$J$1=2),"EKWRA","")</f>
        <v/>
      </c>
    </row>
    <row r="703" spans="1:18" x14ac:dyDescent="0.2">
      <c r="A703" s="31" t="s">
        <v>3191</v>
      </c>
      <c r="B703" s="36" t="s">
        <v>810</v>
      </c>
      <c r="C703" s="504" t="s">
        <v>3352</v>
      </c>
      <c r="D703" s="42">
        <v>735.47</v>
      </c>
      <c r="E703" s="42">
        <v>1621.46</v>
      </c>
      <c r="F703" s="42">
        <v>749215.09999999974</v>
      </c>
      <c r="G703" s="581">
        <f t="shared" si="51"/>
        <v>751572.0299999998</v>
      </c>
      <c r="H703" s="33">
        <v>0</v>
      </c>
      <c r="I703" s="33">
        <v>0</v>
      </c>
      <c r="J703" s="33">
        <v>0</v>
      </c>
      <c r="K703" s="33">
        <f t="shared" si="53"/>
        <v>735.47</v>
      </c>
      <c r="L703" s="33">
        <f t="shared" si="54"/>
        <v>1621.46</v>
      </c>
      <c r="M703" s="33">
        <f t="shared" si="55"/>
        <v>749215.09999999974</v>
      </c>
      <c r="N703" s="235">
        <f t="shared" si="52"/>
        <v>0</v>
      </c>
      <c r="O703" s="35" t="s">
        <v>3327</v>
      </c>
      <c r="P703" s="35"/>
      <c r="Q703" s="39">
        <f>SUMIF('Antelope Bailey Split BA'!$B$7:$B$29,B703,'Antelope Bailey Split BA'!$C$7:$C$29)</f>
        <v>0</v>
      </c>
      <c r="R703" s="39" t="str">
        <f>IF(AND(Q703=1,'Plant Total by Account'!$J$1=2),"EKWRA","")</f>
        <v/>
      </c>
    </row>
    <row r="704" spans="1:18" x14ac:dyDescent="0.2">
      <c r="A704" s="31" t="s">
        <v>3192</v>
      </c>
      <c r="B704" s="36" t="s">
        <v>811</v>
      </c>
      <c r="C704" s="504" t="s">
        <v>3352</v>
      </c>
      <c r="D704" s="42">
        <v>0</v>
      </c>
      <c r="E704" s="42">
        <v>0</v>
      </c>
      <c r="F704" s="42">
        <v>33698.949999999997</v>
      </c>
      <c r="G704" s="581">
        <f t="shared" si="51"/>
        <v>33698.949999999997</v>
      </c>
      <c r="H704" s="33">
        <v>0</v>
      </c>
      <c r="I704" s="33">
        <v>0</v>
      </c>
      <c r="J704" s="33">
        <v>0</v>
      </c>
      <c r="K704" s="33">
        <f t="shared" si="53"/>
        <v>0</v>
      </c>
      <c r="L704" s="33">
        <f t="shared" si="54"/>
        <v>0</v>
      </c>
      <c r="M704" s="33">
        <f t="shared" si="55"/>
        <v>33698.949999999997</v>
      </c>
      <c r="N704" s="235">
        <f t="shared" si="52"/>
        <v>0</v>
      </c>
      <c r="O704" s="35" t="s">
        <v>3327</v>
      </c>
      <c r="P704" s="35"/>
      <c r="Q704" s="39">
        <f>SUMIF('Antelope Bailey Split BA'!$B$7:$B$29,B704,'Antelope Bailey Split BA'!$C$7:$C$29)</f>
        <v>0</v>
      </c>
      <c r="R704" s="39" t="str">
        <f>IF(AND(Q704=1,'Plant Total by Account'!$J$1=2),"EKWRA","")</f>
        <v/>
      </c>
    </row>
    <row r="705" spans="1:18" x14ac:dyDescent="0.2">
      <c r="A705" s="31" t="s">
        <v>3193</v>
      </c>
      <c r="B705" s="36" t="s">
        <v>812</v>
      </c>
      <c r="C705" s="504" t="s">
        <v>3348</v>
      </c>
      <c r="D705" s="42">
        <v>55705.700000000004</v>
      </c>
      <c r="E705" s="42">
        <v>63285.020000000004</v>
      </c>
      <c r="F705" s="42">
        <v>416987.99</v>
      </c>
      <c r="G705" s="581">
        <f t="shared" si="51"/>
        <v>535978.71</v>
      </c>
      <c r="H705" s="33">
        <v>0</v>
      </c>
      <c r="I705" s="33">
        <v>0</v>
      </c>
      <c r="J705" s="33">
        <v>0</v>
      </c>
      <c r="K705" s="33">
        <f t="shared" si="53"/>
        <v>55705.700000000004</v>
      </c>
      <c r="L705" s="33">
        <f t="shared" si="54"/>
        <v>63285.020000000004</v>
      </c>
      <c r="M705" s="33">
        <f t="shared" si="55"/>
        <v>416987.99</v>
      </c>
      <c r="N705" s="235">
        <f t="shared" si="52"/>
        <v>0</v>
      </c>
      <c r="O705" s="35" t="s">
        <v>3327</v>
      </c>
      <c r="P705" s="35"/>
      <c r="Q705" s="39">
        <f>SUMIF('Antelope Bailey Split BA'!$B$7:$B$29,B705,'Antelope Bailey Split BA'!$C$7:$C$29)</f>
        <v>0</v>
      </c>
      <c r="R705" s="39" t="str">
        <f>IF(AND(Q705=1,'Plant Total by Account'!$J$1=2),"EKWRA","")</f>
        <v/>
      </c>
    </row>
    <row r="706" spans="1:18" x14ac:dyDescent="0.2">
      <c r="A706" s="31" t="s">
        <v>3194</v>
      </c>
      <c r="B706" s="36" t="s">
        <v>813</v>
      </c>
      <c r="C706" s="504" t="s">
        <v>3348</v>
      </c>
      <c r="D706" s="42">
        <v>5647.58</v>
      </c>
      <c r="E706" s="42">
        <v>29056.78</v>
      </c>
      <c r="F706" s="42">
        <v>2870.77</v>
      </c>
      <c r="G706" s="581">
        <f t="shared" si="51"/>
        <v>37575.129999999997</v>
      </c>
      <c r="H706" s="33">
        <v>0</v>
      </c>
      <c r="I706" s="33">
        <v>0</v>
      </c>
      <c r="J706" s="33">
        <v>0</v>
      </c>
      <c r="K706" s="33">
        <f t="shared" si="53"/>
        <v>5647.58</v>
      </c>
      <c r="L706" s="33">
        <f t="shared" si="54"/>
        <v>29056.78</v>
      </c>
      <c r="M706" s="33">
        <f t="shared" si="55"/>
        <v>2870.77</v>
      </c>
      <c r="N706" s="235">
        <f t="shared" si="52"/>
        <v>0</v>
      </c>
      <c r="O706" s="35" t="s">
        <v>3327</v>
      </c>
      <c r="P706" s="35"/>
      <c r="Q706" s="39">
        <f>SUMIF('Antelope Bailey Split BA'!$B$7:$B$29,B706,'Antelope Bailey Split BA'!$C$7:$C$29)</f>
        <v>0</v>
      </c>
      <c r="R706" s="39" t="str">
        <f>IF(AND(Q706=1,'Plant Total by Account'!$J$1=2),"EKWRA","")</f>
        <v/>
      </c>
    </row>
    <row r="707" spans="1:18" x14ac:dyDescent="0.2">
      <c r="A707" s="31" t="s">
        <v>3195</v>
      </c>
      <c r="B707" s="37" t="s">
        <v>814</v>
      </c>
      <c r="C707" s="504" t="s">
        <v>3352</v>
      </c>
      <c r="D707" s="42">
        <v>0</v>
      </c>
      <c r="E707" s="42">
        <v>6349.95</v>
      </c>
      <c r="F707" s="42">
        <v>109843.41000000002</v>
      </c>
      <c r="G707" s="581">
        <f t="shared" si="51"/>
        <v>116193.36000000002</v>
      </c>
      <c r="H707" s="33">
        <v>0</v>
      </c>
      <c r="I707" s="33">
        <v>0</v>
      </c>
      <c r="J707" s="33">
        <v>0</v>
      </c>
      <c r="K707" s="33">
        <f t="shared" si="53"/>
        <v>0</v>
      </c>
      <c r="L707" s="33">
        <f t="shared" si="54"/>
        <v>6349.95</v>
      </c>
      <c r="M707" s="33">
        <f t="shared" si="55"/>
        <v>109843.41000000002</v>
      </c>
      <c r="N707" s="235">
        <f t="shared" si="52"/>
        <v>0</v>
      </c>
      <c r="O707" s="35" t="s">
        <v>3327</v>
      </c>
      <c r="P707" s="35"/>
      <c r="Q707" s="39">
        <f>SUMIF('Antelope Bailey Split BA'!$B$7:$B$29,B707,'Antelope Bailey Split BA'!$C$7:$C$29)</f>
        <v>0</v>
      </c>
      <c r="R707" s="39" t="str">
        <f>IF(AND(Q707=1,'Plant Total by Account'!$J$1=2),"EKWRA","")</f>
        <v/>
      </c>
    </row>
    <row r="708" spans="1:18" x14ac:dyDescent="0.2">
      <c r="A708" s="31" t="s">
        <v>2558</v>
      </c>
      <c r="B708" s="36" t="s">
        <v>815</v>
      </c>
      <c r="C708" s="504" t="s">
        <v>3352</v>
      </c>
      <c r="D708" s="42">
        <v>1279.1500000000001</v>
      </c>
      <c r="E708" s="42">
        <v>17839.48</v>
      </c>
      <c r="F708" s="42">
        <v>1723967.3399999996</v>
      </c>
      <c r="G708" s="581">
        <f t="shared" si="51"/>
        <v>1743085.9699999995</v>
      </c>
      <c r="H708" s="33">
        <v>0</v>
      </c>
      <c r="I708" s="33">
        <v>0</v>
      </c>
      <c r="J708" s="33">
        <v>0</v>
      </c>
      <c r="K708" s="33">
        <f t="shared" si="53"/>
        <v>1279.1500000000001</v>
      </c>
      <c r="L708" s="33">
        <f t="shared" si="54"/>
        <v>17839.48</v>
      </c>
      <c r="M708" s="33">
        <f t="shared" si="55"/>
        <v>1723967.3399999996</v>
      </c>
      <c r="N708" s="235">
        <f t="shared" si="52"/>
        <v>0</v>
      </c>
      <c r="O708" s="35" t="s">
        <v>3327</v>
      </c>
      <c r="P708" s="35"/>
      <c r="Q708" s="39">
        <f>SUMIF('Antelope Bailey Split BA'!$B$7:$B$29,B708,'Antelope Bailey Split BA'!$C$7:$C$29)</f>
        <v>0</v>
      </c>
      <c r="R708" s="39" t="str">
        <f>IF(AND(Q708=1,'Plant Total by Account'!$J$1=2),"EKWRA","")</f>
        <v/>
      </c>
    </row>
    <row r="709" spans="1:18" x14ac:dyDescent="0.2">
      <c r="A709" s="31" t="s">
        <v>2559</v>
      </c>
      <c r="B709" s="36" t="s">
        <v>816</v>
      </c>
      <c r="C709" s="504" t="s">
        <v>3352</v>
      </c>
      <c r="D709" s="42">
        <v>4124.09</v>
      </c>
      <c r="E709" s="42">
        <v>111845.79000000001</v>
      </c>
      <c r="F709" s="42">
        <v>5496939.3799999943</v>
      </c>
      <c r="G709" s="581">
        <f t="shared" si="51"/>
        <v>5612909.2599999942</v>
      </c>
      <c r="H709" s="33">
        <v>0</v>
      </c>
      <c r="I709" s="33">
        <v>0</v>
      </c>
      <c r="J709" s="33">
        <v>0</v>
      </c>
      <c r="K709" s="33">
        <f t="shared" si="53"/>
        <v>4124.09</v>
      </c>
      <c r="L709" s="33">
        <f t="shared" si="54"/>
        <v>111845.79000000001</v>
      </c>
      <c r="M709" s="33">
        <f t="shared" si="55"/>
        <v>5496939.3799999943</v>
      </c>
      <c r="N709" s="235">
        <f t="shared" si="52"/>
        <v>0</v>
      </c>
      <c r="O709" s="35" t="s">
        <v>3327</v>
      </c>
      <c r="P709" s="35"/>
      <c r="Q709" s="39">
        <f>SUMIF('Antelope Bailey Split BA'!$B$7:$B$29,B709,'Antelope Bailey Split BA'!$C$7:$C$29)</f>
        <v>0</v>
      </c>
      <c r="R709" s="39" t="str">
        <f>IF(AND(Q709=1,'Plant Total by Account'!$J$1=2),"EKWRA","")</f>
        <v/>
      </c>
    </row>
    <row r="710" spans="1:18" x14ac:dyDescent="0.2">
      <c r="A710" s="31" t="s">
        <v>2560</v>
      </c>
      <c r="B710" s="36" t="s">
        <v>817</v>
      </c>
      <c r="C710" s="504" t="s">
        <v>3352</v>
      </c>
      <c r="D710" s="42">
        <v>237.32</v>
      </c>
      <c r="E710" s="42">
        <v>0</v>
      </c>
      <c r="F710" s="42">
        <v>95571.590000000011</v>
      </c>
      <c r="G710" s="581">
        <f t="shared" si="51"/>
        <v>95808.910000000018</v>
      </c>
      <c r="H710" s="33">
        <v>0</v>
      </c>
      <c r="I710" s="33">
        <v>0</v>
      </c>
      <c r="J710" s="33">
        <v>0</v>
      </c>
      <c r="K710" s="33">
        <f t="shared" si="53"/>
        <v>237.32</v>
      </c>
      <c r="L710" s="33">
        <f t="shared" si="54"/>
        <v>0</v>
      </c>
      <c r="M710" s="33">
        <f t="shared" si="55"/>
        <v>95571.590000000011</v>
      </c>
      <c r="N710" s="235">
        <f t="shared" si="52"/>
        <v>0</v>
      </c>
      <c r="O710" s="35" t="s">
        <v>3327</v>
      </c>
      <c r="P710" s="35"/>
      <c r="Q710" s="39">
        <f>SUMIF('Antelope Bailey Split BA'!$B$7:$B$29,B710,'Antelope Bailey Split BA'!$C$7:$C$29)</f>
        <v>0</v>
      </c>
      <c r="R710" s="39" t="str">
        <f>IF(AND(Q710=1,'Plant Total by Account'!$J$1=2),"EKWRA","")</f>
        <v/>
      </c>
    </row>
    <row r="711" spans="1:18" x14ac:dyDescent="0.2">
      <c r="A711" s="31" t="s">
        <v>3196</v>
      </c>
      <c r="B711" s="36" t="s">
        <v>818</v>
      </c>
      <c r="C711" s="504" t="s">
        <v>3352</v>
      </c>
      <c r="D711" s="42">
        <v>46674.939999999995</v>
      </c>
      <c r="E711" s="42">
        <v>75121.98</v>
      </c>
      <c r="F711" s="42">
        <v>1638125.8900000001</v>
      </c>
      <c r="G711" s="581">
        <f t="shared" si="51"/>
        <v>1759922.81</v>
      </c>
      <c r="H711" s="33">
        <v>0</v>
      </c>
      <c r="I711" s="33">
        <v>0</v>
      </c>
      <c r="J711" s="33">
        <v>0</v>
      </c>
      <c r="K711" s="33">
        <f t="shared" si="53"/>
        <v>46674.939999999995</v>
      </c>
      <c r="L711" s="33">
        <f t="shared" si="54"/>
        <v>75121.98</v>
      </c>
      <c r="M711" s="33">
        <f t="shared" si="55"/>
        <v>1638125.8900000001</v>
      </c>
      <c r="N711" s="235">
        <f t="shared" si="52"/>
        <v>0</v>
      </c>
      <c r="O711" s="35" t="s">
        <v>3327</v>
      </c>
      <c r="P711" s="35"/>
      <c r="Q711" s="39">
        <f>SUMIF('Antelope Bailey Split BA'!$B$7:$B$29,B711,'Antelope Bailey Split BA'!$C$7:$C$29)</f>
        <v>0</v>
      </c>
      <c r="R711" s="39" t="str">
        <f>IF(AND(Q711=1,'Plant Total by Account'!$J$1=2),"EKWRA","")</f>
        <v/>
      </c>
    </row>
    <row r="712" spans="1:18" x14ac:dyDescent="0.2">
      <c r="A712" s="31" t="s">
        <v>3197</v>
      </c>
      <c r="B712" s="36" t="s">
        <v>819</v>
      </c>
      <c r="C712" s="504" t="s">
        <v>3352</v>
      </c>
      <c r="D712" s="42">
        <v>202.59</v>
      </c>
      <c r="E712" s="42">
        <v>1125.29</v>
      </c>
      <c r="F712" s="42">
        <v>190348.84000000005</v>
      </c>
      <c r="G712" s="581">
        <f t="shared" si="51"/>
        <v>191676.72000000006</v>
      </c>
      <c r="H712" s="33">
        <v>0</v>
      </c>
      <c r="I712" s="33">
        <v>0</v>
      </c>
      <c r="J712" s="33">
        <v>0</v>
      </c>
      <c r="K712" s="33">
        <f t="shared" si="53"/>
        <v>202.59</v>
      </c>
      <c r="L712" s="33">
        <f t="shared" si="54"/>
        <v>1125.29</v>
      </c>
      <c r="M712" s="33">
        <f t="shared" si="55"/>
        <v>190348.84000000005</v>
      </c>
      <c r="N712" s="235">
        <f t="shared" si="52"/>
        <v>0</v>
      </c>
      <c r="O712" s="35" t="s">
        <v>3327</v>
      </c>
      <c r="P712" s="35"/>
      <c r="Q712" s="39">
        <f>SUMIF('Antelope Bailey Split BA'!$B$7:$B$29,B712,'Antelope Bailey Split BA'!$C$7:$C$29)</f>
        <v>0</v>
      </c>
      <c r="R712" s="39" t="str">
        <f>IF(AND(Q712=1,'Plant Total by Account'!$J$1=2),"EKWRA","")</f>
        <v/>
      </c>
    </row>
    <row r="713" spans="1:18" x14ac:dyDescent="0.2">
      <c r="A713" s="31" t="s">
        <v>2561</v>
      </c>
      <c r="B713" s="36" t="s">
        <v>820</v>
      </c>
      <c r="C713" s="504" t="s">
        <v>3352</v>
      </c>
      <c r="D713" s="42">
        <v>0</v>
      </c>
      <c r="E713" s="42">
        <v>8386.94</v>
      </c>
      <c r="F713" s="42">
        <v>658951.87000000034</v>
      </c>
      <c r="G713" s="581">
        <f t="shared" si="51"/>
        <v>667338.81000000029</v>
      </c>
      <c r="H713" s="33">
        <v>0</v>
      </c>
      <c r="I713" s="33">
        <v>0</v>
      </c>
      <c r="J713" s="33">
        <v>0</v>
      </c>
      <c r="K713" s="33">
        <f t="shared" si="53"/>
        <v>0</v>
      </c>
      <c r="L713" s="33">
        <f t="shared" si="54"/>
        <v>8386.94</v>
      </c>
      <c r="M713" s="33">
        <f t="shared" si="55"/>
        <v>658951.87000000034</v>
      </c>
      <c r="N713" s="235">
        <f t="shared" si="52"/>
        <v>0</v>
      </c>
      <c r="O713" s="35" t="s">
        <v>3327</v>
      </c>
      <c r="P713" s="35"/>
      <c r="Q713" s="39">
        <f>SUMIF('Antelope Bailey Split BA'!$B$7:$B$29,B713,'Antelope Bailey Split BA'!$C$7:$C$29)</f>
        <v>0</v>
      </c>
      <c r="R713" s="39" t="str">
        <f>IF(AND(Q713=1,'Plant Total by Account'!$J$1=2),"EKWRA","")</f>
        <v/>
      </c>
    </row>
    <row r="714" spans="1:18" x14ac:dyDescent="0.2">
      <c r="A714" s="31" t="s">
        <v>3198</v>
      </c>
      <c r="B714" s="36" t="s">
        <v>821</v>
      </c>
      <c r="C714" s="504" t="s">
        <v>3352</v>
      </c>
      <c r="D714" s="42">
        <v>97.65</v>
      </c>
      <c r="E714" s="42">
        <v>0</v>
      </c>
      <c r="F714" s="42">
        <v>125445.84000000003</v>
      </c>
      <c r="G714" s="581">
        <f t="shared" si="51"/>
        <v>125543.49000000002</v>
      </c>
      <c r="H714" s="33">
        <v>0</v>
      </c>
      <c r="I714" s="33">
        <v>0</v>
      </c>
      <c r="J714" s="33">
        <v>0</v>
      </c>
      <c r="K714" s="33">
        <f t="shared" si="53"/>
        <v>97.65</v>
      </c>
      <c r="L714" s="33">
        <f t="shared" si="54"/>
        <v>0</v>
      </c>
      <c r="M714" s="33">
        <f t="shared" si="55"/>
        <v>125445.84000000003</v>
      </c>
      <c r="N714" s="235">
        <f t="shared" si="52"/>
        <v>0</v>
      </c>
      <c r="O714" s="35" t="s">
        <v>3327</v>
      </c>
      <c r="P714" s="35"/>
      <c r="Q714" s="39">
        <f>SUMIF('Antelope Bailey Split BA'!$B$7:$B$29,B714,'Antelope Bailey Split BA'!$C$7:$C$29)</f>
        <v>0</v>
      </c>
      <c r="R714" s="39" t="str">
        <f>IF(AND(Q714=1,'Plant Total by Account'!$J$1=2),"EKWRA","")</f>
        <v/>
      </c>
    </row>
    <row r="715" spans="1:18" x14ac:dyDescent="0.2">
      <c r="A715" s="31" t="s">
        <v>3199</v>
      </c>
      <c r="B715" s="36" t="s">
        <v>822</v>
      </c>
      <c r="C715" s="504" t="s">
        <v>3352</v>
      </c>
      <c r="D715" s="42">
        <v>0</v>
      </c>
      <c r="E715" s="42">
        <v>15021.160000000002</v>
      </c>
      <c r="F715" s="42">
        <v>145693.9</v>
      </c>
      <c r="G715" s="581">
        <f t="shared" ref="G715:G778" si="56">SUM(D715:F715)</f>
        <v>160715.06</v>
      </c>
      <c r="H715" s="33">
        <v>0</v>
      </c>
      <c r="I715" s="33">
        <v>0</v>
      </c>
      <c r="J715" s="33">
        <v>0</v>
      </c>
      <c r="K715" s="33">
        <f t="shared" si="53"/>
        <v>0</v>
      </c>
      <c r="L715" s="33">
        <f t="shared" si="54"/>
        <v>15021.160000000002</v>
      </c>
      <c r="M715" s="33">
        <f t="shared" si="55"/>
        <v>145693.9</v>
      </c>
      <c r="N715" s="235">
        <f t="shared" ref="N715:N778" si="57">G715-SUM(H715:M715)</f>
        <v>0</v>
      </c>
      <c r="O715" s="35" t="s">
        <v>3327</v>
      </c>
      <c r="P715" s="35"/>
      <c r="Q715" s="39">
        <f>SUMIF('Antelope Bailey Split BA'!$B$7:$B$29,B715,'Antelope Bailey Split BA'!$C$7:$C$29)</f>
        <v>0</v>
      </c>
      <c r="R715" s="39" t="str">
        <f>IF(AND(Q715=1,'Plant Total by Account'!$J$1=2),"EKWRA","")</f>
        <v/>
      </c>
    </row>
    <row r="716" spans="1:18" x14ac:dyDescent="0.2">
      <c r="A716" s="31" t="s">
        <v>3200</v>
      </c>
      <c r="B716" s="36" t="s">
        <v>823</v>
      </c>
      <c r="C716" s="504" t="s">
        <v>3352</v>
      </c>
      <c r="D716" s="42">
        <v>660.72</v>
      </c>
      <c r="E716" s="42">
        <v>27262.129999999997</v>
      </c>
      <c r="F716" s="42">
        <v>2730876.54</v>
      </c>
      <c r="G716" s="581">
        <f t="shared" si="56"/>
        <v>2758799.39</v>
      </c>
      <c r="H716" s="33">
        <v>0</v>
      </c>
      <c r="I716" s="33">
        <v>0</v>
      </c>
      <c r="J716" s="33">
        <v>0</v>
      </c>
      <c r="K716" s="33">
        <f t="shared" si="53"/>
        <v>660.72</v>
      </c>
      <c r="L716" s="33">
        <f t="shared" si="54"/>
        <v>27262.129999999997</v>
      </c>
      <c r="M716" s="33">
        <f t="shared" si="55"/>
        <v>2730876.54</v>
      </c>
      <c r="N716" s="235">
        <f t="shared" si="57"/>
        <v>0</v>
      </c>
      <c r="O716" s="35" t="s">
        <v>3327</v>
      </c>
      <c r="P716" s="35"/>
      <c r="Q716" s="39">
        <f>SUMIF('Antelope Bailey Split BA'!$B$7:$B$29,B716,'Antelope Bailey Split BA'!$C$7:$C$29)</f>
        <v>0</v>
      </c>
      <c r="R716" s="39" t="str">
        <f>IF(AND(Q716=1,'Plant Total by Account'!$J$1=2),"EKWRA","")</f>
        <v/>
      </c>
    </row>
    <row r="717" spans="1:18" x14ac:dyDescent="0.2">
      <c r="A717" s="31" t="s">
        <v>2562</v>
      </c>
      <c r="B717" s="36" t="s">
        <v>824</v>
      </c>
      <c r="C717" s="504" t="s">
        <v>3352</v>
      </c>
      <c r="D717" s="42">
        <v>3158.84</v>
      </c>
      <c r="E717" s="42">
        <v>76355.960000000006</v>
      </c>
      <c r="F717" s="42">
        <v>532916.26</v>
      </c>
      <c r="G717" s="581">
        <f t="shared" si="56"/>
        <v>612431.06000000006</v>
      </c>
      <c r="H717" s="33">
        <v>0</v>
      </c>
      <c r="I717" s="33">
        <v>0</v>
      </c>
      <c r="J717" s="33">
        <v>0</v>
      </c>
      <c r="K717" s="33">
        <f t="shared" si="53"/>
        <v>3158.84</v>
      </c>
      <c r="L717" s="33">
        <f t="shared" si="54"/>
        <v>76355.960000000006</v>
      </c>
      <c r="M717" s="33">
        <f t="shared" si="55"/>
        <v>532916.26</v>
      </c>
      <c r="N717" s="235">
        <f t="shared" si="57"/>
        <v>0</v>
      </c>
      <c r="O717" s="35" t="s">
        <v>3327</v>
      </c>
      <c r="P717" s="35"/>
      <c r="Q717" s="39">
        <f>SUMIF('Antelope Bailey Split BA'!$B$7:$B$29,B717,'Antelope Bailey Split BA'!$C$7:$C$29)</f>
        <v>0</v>
      </c>
      <c r="R717" s="39" t="str">
        <f>IF(AND(Q717=1,'Plant Total by Account'!$J$1=2),"EKWRA","")</f>
        <v/>
      </c>
    </row>
    <row r="718" spans="1:18" x14ac:dyDescent="0.2">
      <c r="A718" s="31" t="s">
        <v>3201</v>
      </c>
      <c r="B718" s="36" t="s">
        <v>825</v>
      </c>
      <c r="C718" s="504" t="s">
        <v>3352</v>
      </c>
      <c r="D718" s="42">
        <v>191175.81000000003</v>
      </c>
      <c r="E718" s="42">
        <v>0</v>
      </c>
      <c r="F718" s="42">
        <v>6479.41</v>
      </c>
      <c r="G718" s="581">
        <f t="shared" si="56"/>
        <v>197655.22000000003</v>
      </c>
      <c r="H718" s="33">
        <v>0</v>
      </c>
      <c r="I718" s="33">
        <v>0</v>
      </c>
      <c r="J718" s="33">
        <v>0</v>
      </c>
      <c r="K718" s="33">
        <f t="shared" si="53"/>
        <v>191175.81000000003</v>
      </c>
      <c r="L718" s="33">
        <f t="shared" si="54"/>
        <v>0</v>
      </c>
      <c r="M718" s="33">
        <f t="shared" si="55"/>
        <v>6479.41</v>
      </c>
      <c r="N718" s="235">
        <f t="shared" si="57"/>
        <v>0</v>
      </c>
      <c r="O718" s="35" t="s">
        <v>3327</v>
      </c>
      <c r="P718" s="35"/>
      <c r="Q718" s="39">
        <f>SUMIF('Antelope Bailey Split BA'!$B$7:$B$29,B718,'Antelope Bailey Split BA'!$C$7:$C$29)</f>
        <v>0</v>
      </c>
      <c r="R718" s="39" t="str">
        <f>IF(AND(Q718=1,'Plant Total by Account'!$J$1=2),"EKWRA","")</f>
        <v/>
      </c>
    </row>
    <row r="719" spans="1:18" x14ac:dyDescent="0.2">
      <c r="A719" s="31" t="s">
        <v>3202</v>
      </c>
      <c r="B719" s="36" t="s">
        <v>826</v>
      </c>
      <c r="C719" s="504" t="s">
        <v>3352</v>
      </c>
      <c r="D719" s="42">
        <v>0</v>
      </c>
      <c r="E719" s="42">
        <v>382.16</v>
      </c>
      <c r="F719" s="42">
        <v>128181.51000000001</v>
      </c>
      <c r="G719" s="581">
        <f t="shared" si="56"/>
        <v>128563.67000000001</v>
      </c>
      <c r="H719" s="33">
        <v>0</v>
      </c>
      <c r="I719" s="33">
        <v>0</v>
      </c>
      <c r="J719" s="33">
        <v>0</v>
      </c>
      <c r="K719" s="33">
        <f t="shared" ref="K719:K782" si="58">D719</f>
        <v>0</v>
      </c>
      <c r="L719" s="33">
        <f t="shared" ref="L719:L782" si="59">E719</f>
        <v>382.16</v>
      </c>
      <c r="M719" s="33">
        <f t="shared" ref="M719:M782" si="60">F719</f>
        <v>128181.51000000001</v>
      </c>
      <c r="N719" s="235">
        <f t="shared" si="57"/>
        <v>0</v>
      </c>
      <c r="O719" s="35" t="s">
        <v>3327</v>
      </c>
      <c r="P719" s="35"/>
      <c r="Q719" s="39">
        <f>SUMIF('Antelope Bailey Split BA'!$B$7:$B$29,B719,'Antelope Bailey Split BA'!$C$7:$C$29)</f>
        <v>0</v>
      </c>
      <c r="R719" s="39" t="str">
        <f>IF(AND(Q719=1,'Plant Total by Account'!$J$1=2),"EKWRA","")</f>
        <v/>
      </c>
    </row>
    <row r="720" spans="1:18" x14ac:dyDescent="0.2">
      <c r="A720" s="31" t="s">
        <v>3203</v>
      </c>
      <c r="B720" s="36" t="s">
        <v>827</v>
      </c>
      <c r="C720" s="504" t="s">
        <v>3352</v>
      </c>
      <c r="D720" s="42">
        <v>29661.41</v>
      </c>
      <c r="E720" s="42">
        <v>91065.89</v>
      </c>
      <c r="F720" s="42">
        <v>3359226.8100000005</v>
      </c>
      <c r="G720" s="581">
        <f t="shared" si="56"/>
        <v>3479954.1100000003</v>
      </c>
      <c r="H720" s="33">
        <v>0</v>
      </c>
      <c r="I720" s="33">
        <v>0</v>
      </c>
      <c r="J720" s="33">
        <v>0</v>
      </c>
      <c r="K720" s="33">
        <f t="shared" si="58"/>
        <v>29661.41</v>
      </c>
      <c r="L720" s="33">
        <f t="shared" si="59"/>
        <v>91065.89</v>
      </c>
      <c r="M720" s="33">
        <f t="shared" si="60"/>
        <v>3359226.8100000005</v>
      </c>
      <c r="N720" s="235">
        <f t="shared" si="57"/>
        <v>0</v>
      </c>
      <c r="O720" s="35" t="s">
        <v>3327</v>
      </c>
      <c r="P720" s="35"/>
      <c r="Q720" s="39">
        <f>SUMIF('Antelope Bailey Split BA'!$B$7:$B$29,B720,'Antelope Bailey Split BA'!$C$7:$C$29)</f>
        <v>0</v>
      </c>
      <c r="R720" s="39" t="str">
        <f>IF(AND(Q720=1,'Plant Total by Account'!$J$1=2),"EKWRA","")</f>
        <v/>
      </c>
    </row>
    <row r="721" spans="1:18" x14ac:dyDescent="0.2">
      <c r="A721" s="31" t="s">
        <v>3204</v>
      </c>
      <c r="B721" s="36" t="s">
        <v>848</v>
      </c>
      <c r="C721" s="504" t="s">
        <v>3352</v>
      </c>
      <c r="D721" s="42">
        <v>258.71000000000004</v>
      </c>
      <c r="E721" s="42">
        <v>0</v>
      </c>
      <c r="F721" s="42">
        <v>99446.90999999996</v>
      </c>
      <c r="G721" s="581">
        <f t="shared" si="56"/>
        <v>99705.619999999966</v>
      </c>
      <c r="H721" s="33">
        <v>0</v>
      </c>
      <c r="I721" s="33">
        <v>0</v>
      </c>
      <c r="J721" s="33">
        <v>0</v>
      </c>
      <c r="K721" s="33">
        <f t="shared" si="58"/>
        <v>258.71000000000004</v>
      </c>
      <c r="L721" s="33">
        <f t="shared" si="59"/>
        <v>0</v>
      </c>
      <c r="M721" s="33">
        <f t="shared" si="60"/>
        <v>99446.90999999996</v>
      </c>
      <c r="N721" s="235">
        <f t="shared" si="57"/>
        <v>0</v>
      </c>
      <c r="O721" s="35" t="s">
        <v>3327</v>
      </c>
      <c r="P721" s="35"/>
      <c r="Q721" s="39">
        <f>SUMIF('Antelope Bailey Split BA'!$B$7:$B$29,B721,'Antelope Bailey Split BA'!$C$7:$C$29)</f>
        <v>0</v>
      </c>
      <c r="R721" s="39" t="str">
        <f>IF(AND(Q721=1,'Plant Total by Account'!$J$1=2),"EKWRA","")</f>
        <v/>
      </c>
    </row>
    <row r="722" spans="1:18" x14ac:dyDescent="0.2">
      <c r="A722" s="31" t="s">
        <v>3205</v>
      </c>
      <c r="B722" s="36" t="s">
        <v>849</v>
      </c>
      <c r="C722" s="504" t="s">
        <v>3352</v>
      </c>
      <c r="D722" s="42">
        <v>10453.810000000001</v>
      </c>
      <c r="E722" s="42">
        <v>28923.78</v>
      </c>
      <c r="F722" s="42">
        <v>289772.90999999997</v>
      </c>
      <c r="G722" s="581">
        <f t="shared" si="56"/>
        <v>329150.5</v>
      </c>
      <c r="H722" s="33">
        <v>0</v>
      </c>
      <c r="I722" s="33">
        <v>0</v>
      </c>
      <c r="J722" s="33">
        <v>0</v>
      </c>
      <c r="K722" s="33">
        <f t="shared" si="58"/>
        <v>10453.810000000001</v>
      </c>
      <c r="L722" s="33">
        <f t="shared" si="59"/>
        <v>28923.78</v>
      </c>
      <c r="M722" s="33">
        <f t="shared" si="60"/>
        <v>289772.90999999997</v>
      </c>
      <c r="N722" s="235">
        <f t="shared" si="57"/>
        <v>0</v>
      </c>
      <c r="O722" s="35" t="s">
        <v>3327</v>
      </c>
      <c r="P722" s="35"/>
      <c r="Q722" s="39">
        <f>SUMIF('Antelope Bailey Split BA'!$B$7:$B$29,B722,'Antelope Bailey Split BA'!$C$7:$C$29)</f>
        <v>0</v>
      </c>
      <c r="R722" s="39" t="str">
        <f>IF(AND(Q722=1,'Plant Total by Account'!$J$1=2),"EKWRA","")</f>
        <v/>
      </c>
    </row>
    <row r="723" spans="1:18" x14ac:dyDescent="0.2">
      <c r="A723" s="31" t="s">
        <v>2563</v>
      </c>
      <c r="B723" s="36" t="s">
        <v>850</v>
      </c>
      <c r="C723" s="504" t="s">
        <v>3352</v>
      </c>
      <c r="D723" s="42">
        <v>513493.96</v>
      </c>
      <c r="E723" s="42">
        <v>227824.14</v>
      </c>
      <c r="F723" s="42">
        <v>3759642.5700000003</v>
      </c>
      <c r="G723" s="581">
        <f t="shared" si="56"/>
        <v>4500960.67</v>
      </c>
      <c r="H723" s="33">
        <v>0</v>
      </c>
      <c r="I723" s="33">
        <v>0</v>
      </c>
      <c r="J723" s="33">
        <v>0</v>
      </c>
      <c r="K723" s="33">
        <f t="shared" si="58"/>
        <v>513493.96</v>
      </c>
      <c r="L723" s="33">
        <f t="shared" si="59"/>
        <v>227824.14</v>
      </c>
      <c r="M723" s="33">
        <f t="shared" si="60"/>
        <v>3759642.5700000003</v>
      </c>
      <c r="N723" s="235">
        <f t="shared" si="57"/>
        <v>0</v>
      </c>
      <c r="O723" s="35" t="s">
        <v>3327</v>
      </c>
      <c r="P723" s="35"/>
      <c r="Q723" s="39">
        <f>SUMIF('Antelope Bailey Split BA'!$B$7:$B$29,B723,'Antelope Bailey Split BA'!$C$7:$C$29)</f>
        <v>0</v>
      </c>
      <c r="R723" s="39" t="str">
        <f>IF(AND(Q723=1,'Plant Total by Account'!$J$1=2),"EKWRA","")</f>
        <v/>
      </c>
    </row>
    <row r="724" spans="1:18" x14ac:dyDescent="0.2">
      <c r="A724" s="31" t="s">
        <v>3206</v>
      </c>
      <c r="B724" s="36" t="s">
        <v>851</v>
      </c>
      <c r="C724" s="504" t="s">
        <v>3352</v>
      </c>
      <c r="D724" s="42">
        <v>0</v>
      </c>
      <c r="E724" s="42">
        <v>9651.4900000000016</v>
      </c>
      <c r="F724" s="42">
        <v>370859.95000000007</v>
      </c>
      <c r="G724" s="581">
        <f t="shared" si="56"/>
        <v>380511.44000000006</v>
      </c>
      <c r="H724" s="33">
        <v>0</v>
      </c>
      <c r="I724" s="33">
        <v>0</v>
      </c>
      <c r="J724" s="33">
        <v>0</v>
      </c>
      <c r="K724" s="33">
        <f t="shared" si="58"/>
        <v>0</v>
      </c>
      <c r="L724" s="33">
        <f t="shared" si="59"/>
        <v>9651.4900000000016</v>
      </c>
      <c r="M724" s="33">
        <f t="shared" si="60"/>
        <v>370859.95000000007</v>
      </c>
      <c r="N724" s="235">
        <f t="shared" si="57"/>
        <v>0</v>
      </c>
      <c r="O724" s="35" t="s">
        <v>3327</v>
      </c>
      <c r="P724" s="35"/>
      <c r="Q724" s="39">
        <f>SUMIF('Antelope Bailey Split BA'!$B$7:$B$29,B724,'Antelope Bailey Split BA'!$C$7:$C$29)</f>
        <v>0</v>
      </c>
      <c r="R724" s="39" t="str">
        <f>IF(AND(Q724=1,'Plant Total by Account'!$J$1=2),"EKWRA","")</f>
        <v/>
      </c>
    </row>
    <row r="725" spans="1:18" x14ac:dyDescent="0.2">
      <c r="A725" s="31" t="s">
        <v>3207</v>
      </c>
      <c r="B725" s="36" t="s">
        <v>852</v>
      </c>
      <c r="C725" s="504" t="s">
        <v>3352</v>
      </c>
      <c r="D725" s="42">
        <v>1367.88</v>
      </c>
      <c r="E725" s="42">
        <v>7639.14</v>
      </c>
      <c r="F725" s="42">
        <v>155316.37</v>
      </c>
      <c r="G725" s="581">
        <f t="shared" si="56"/>
        <v>164323.38999999998</v>
      </c>
      <c r="H725" s="33">
        <v>0</v>
      </c>
      <c r="I725" s="33">
        <v>0</v>
      </c>
      <c r="J725" s="33">
        <v>0</v>
      </c>
      <c r="K725" s="33">
        <f t="shared" si="58"/>
        <v>1367.88</v>
      </c>
      <c r="L725" s="33">
        <f t="shared" si="59"/>
        <v>7639.14</v>
      </c>
      <c r="M725" s="33">
        <f t="shared" si="60"/>
        <v>155316.37</v>
      </c>
      <c r="N725" s="235">
        <f t="shared" si="57"/>
        <v>0</v>
      </c>
      <c r="O725" s="35" t="s">
        <v>3327</v>
      </c>
      <c r="P725" s="35"/>
      <c r="Q725" s="39">
        <f>SUMIF('Antelope Bailey Split BA'!$B$7:$B$29,B725,'Antelope Bailey Split BA'!$C$7:$C$29)</f>
        <v>0</v>
      </c>
      <c r="R725" s="39" t="str">
        <f>IF(AND(Q725=1,'Plant Total by Account'!$J$1=2),"EKWRA","")</f>
        <v/>
      </c>
    </row>
    <row r="726" spans="1:18" x14ac:dyDescent="0.2">
      <c r="A726" s="31" t="s">
        <v>3208</v>
      </c>
      <c r="B726" s="36" t="s">
        <v>853</v>
      </c>
      <c r="C726" s="504" t="s">
        <v>3352</v>
      </c>
      <c r="D726" s="42">
        <v>0</v>
      </c>
      <c r="E726" s="42">
        <v>0</v>
      </c>
      <c r="F726" s="42">
        <v>8593.130000000001</v>
      </c>
      <c r="G726" s="581">
        <f t="shared" si="56"/>
        <v>8593.130000000001</v>
      </c>
      <c r="H726" s="33">
        <v>0</v>
      </c>
      <c r="I726" s="33">
        <v>0</v>
      </c>
      <c r="J726" s="33">
        <v>0</v>
      </c>
      <c r="K726" s="33">
        <f t="shared" si="58"/>
        <v>0</v>
      </c>
      <c r="L726" s="33">
        <f t="shared" si="59"/>
        <v>0</v>
      </c>
      <c r="M726" s="33">
        <f t="shared" si="60"/>
        <v>8593.130000000001</v>
      </c>
      <c r="N726" s="235">
        <f t="shared" si="57"/>
        <v>0</v>
      </c>
      <c r="O726" s="35" t="s">
        <v>3327</v>
      </c>
      <c r="P726" s="35"/>
      <c r="Q726" s="39">
        <f>SUMIF('Antelope Bailey Split BA'!$B$7:$B$29,B726,'Antelope Bailey Split BA'!$C$7:$C$29)</f>
        <v>0</v>
      </c>
      <c r="R726" s="39" t="str">
        <f>IF(AND(Q726=1,'Plant Total by Account'!$J$1=2),"EKWRA","")</f>
        <v/>
      </c>
    </row>
    <row r="727" spans="1:18" x14ac:dyDescent="0.2">
      <c r="A727" s="31" t="s">
        <v>3209</v>
      </c>
      <c r="B727" s="36" t="s">
        <v>854</v>
      </c>
      <c r="C727" s="504" t="s">
        <v>3352</v>
      </c>
      <c r="D727" s="42">
        <v>1172.53</v>
      </c>
      <c r="E727" s="42">
        <v>4063.78</v>
      </c>
      <c r="F727" s="42">
        <v>43950.09</v>
      </c>
      <c r="G727" s="581">
        <f t="shared" si="56"/>
        <v>49186.399999999994</v>
      </c>
      <c r="H727" s="33">
        <v>0</v>
      </c>
      <c r="I727" s="33">
        <v>0</v>
      </c>
      <c r="J727" s="33">
        <v>0</v>
      </c>
      <c r="K727" s="33">
        <f t="shared" si="58"/>
        <v>1172.53</v>
      </c>
      <c r="L727" s="33">
        <f t="shared" si="59"/>
        <v>4063.78</v>
      </c>
      <c r="M727" s="33">
        <f t="shared" si="60"/>
        <v>43950.09</v>
      </c>
      <c r="N727" s="235">
        <f t="shared" si="57"/>
        <v>0</v>
      </c>
      <c r="O727" s="35" t="s">
        <v>3327</v>
      </c>
      <c r="P727" s="35"/>
      <c r="Q727" s="39">
        <f>SUMIF('Antelope Bailey Split BA'!$B$7:$B$29,B727,'Antelope Bailey Split BA'!$C$7:$C$29)</f>
        <v>0</v>
      </c>
      <c r="R727" s="39" t="str">
        <f>IF(AND(Q727=1,'Plant Total by Account'!$J$1=2),"EKWRA","")</f>
        <v/>
      </c>
    </row>
    <row r="728" spans="1:18" x14ac:dyDescent="0.2">
      <c r="A728" s="31" t="s">
        <v>3210</v>
      </c>
      <c r="B728" s="36" t="s">
        <v>855</v>
      </c>
      <c r="C728" s="504" t="s">
        <v>3352</v>
      </c>
      <c r="D728" s="42">
        <v>0</v>
      </c>
      <c r="E728" s="42">
        <v>9831.83</v>
      </c>
      <c r="F728" s="42">
        <v>510521.99000000005</v>
      </c>
      <c r="G728" s="581">
        <f t="shared" si="56"/>
        <v>520353.82000000007</v>
      </c>
      <c r="H728" s="33">
        <v>0</v>
      </c>
      <c r="I728" s="33">
        <v>0</v>
      </c>
      <c r="J728" s="33">
        <v>0</v>
      </c>
      <c r="K728" s="33">
        <f t="shared" si="58"/>
        <v>0</v>
      </c>
      <c r="L728" s="33">
        <f t="shared" si="59"/>
        <v>9831.83</v>
      </c>
      <c r="M728" s="33">
        <f t="shared" si="60"/>
        <v>510521.99000000005</v>
      </c>
      <c r="N728" s="235">
        <f t="shared" si="57"/>
        <v>0</v>
      </c>
      <c r="O728" s="35" t="s">
        <v>3327</v>
      </c>
      <c r="P728" s="35"/>
      <c r="Q728" s="39">
        <f>SUMIF('Antelope Bailey Split BA'!$B$7:$B$29,B728,'Antelope Bailey Split BA'!$C$7:$C$29)</f>
        <v>0</v>
      </c>
      <c r="R728" s="39" t="str">
        <f>IF(AND(Q728=1,'Plant Total by Account'!$J$1=2),"EKWRA","")</f>
        <v/>
      </c>
    </row>
    <row r="729" spans="1:18" x14ac:dyDescent="0.2">
      <c r="A729" s="31" t="s">
        <v>3211</v>
      </c>
      <c r="B729" s="36" t="s">
        <v>856</v>
      </c>
      <c r="C729" s="504" t="s">
        <v>3352</v>
      </c>
      <c r="D729" s="42">
        <v>13867.51</v>
      </c>
      <c r="E729" s="42">
        <v>240.77</v>
      </c>
      <c r="F729" s="42">
        <v>195975.21</v>
      </c>
      <c r="G729" s="581">
        <f t="shared" si="56"/>
        <v>210083.49</v>
      </c>
      <c r="H729" s="33">
        <v>0</v>
      </c>
      <c r="I729" s="33">
        <v>0</v>
      </c>
      <c r="J729" s="33">
        <v>0</v>
      </c>
      <c r="K729" s="33">
        <f t="shared" si="58"/>
        <v>13867.51</v>
      </c>
      <c r="L729" s="33">
        <f t="shared" si="59"/>
        <v>240.77</v>
      </c>
      <c r="M729" s="33">
        <f t="shared" si="60"/>
        <v>195975.21</v>
      </c>
      <c r="N729" s="235">
        <f t="shared" si="57"/>
        <v>0</v>
      </c>
      <c r="O729" s="35" t="s">
        <v>3327</v>
      </c>
      <c r="P729" s="35"/>
      <c r="Q729" s="39">
        <f>SUMIF('Antelope Bailey Split BA'!$B$7:$B$29,B729,'Antelope Bailey Split BA'!$C$7:$C$29)</f>
        <v>0</v>
      </c>
      <c r="R729" s="39" t="str">
        <f>IF(AND(Q729=1,'Plant Total by Account'!$J$1=2),"EKWRA","")</f>
        <v/>
      </c>
    </row>
    <row r="730" spans="1:18" x14ac:dyDescent="0.2">
      <c r="A730" s="31" t="s">
        <v>3212</v>
      </c>
      <c r="B730" s="36" t="s">
        <v>857</v>
      </c>
      <c r="C730" s="504" t="s">
        <v>3353</v>
      </c>
      <c r="D730" s="42">
        <v>94930.03</v>
      </c>
      <c r="E730" s="42">
        <v>411938.67</v>
      </c>
      <c r="F730" s="42">
        <v>2876766.6800000006</v>
      </c>
      <c r="G730" s="581">
        <f t="shared" si="56"/>
        <v>3383635.3800000008</v>
      </c>
      <c r="H730" s="33">
        <v>0</v>
      </c>
      <c r="I730" s="33">
        <v>0</v>
      </c>
      <c r="J730" s="33">
        <v>0</v>
      </c>
      <c r="K730" s="33">
        <f t="shared" si="58"/>
        <v>94930.03</v>
      </c>
      <c r="L730" s="33">
        <f t="shared" si="59"/>
        <v>411938.67</v>
      </c>
      <c r="M730" s="33">
        <f t="shared" si="60"/>
        <v>2876766.6800000006</v>
      </c>
      <c r="N730" s="235">
        <f t="shared" si="57"/>
        <v>0</v>
      </c>
      <c r="O730" s="35" t="s">
        <v>3327</v>
      </c>
      <c r="P730" s="35"/>
      <c r="Q730" s="39">
        <f>SUMIF('Antelope Bailey Split BA'!$B$7:$B$29,B730,'Antelope Bailey Split BA'!$C$7:$C$29)</f>
        <v>0</v>
      </c>
      <c r="R730" s="39" t="str">
        <f>IF(AND(Q730=1,'Plant Total by Account'!$J$1=2),"EKWRA","")</f>
        <v/>
      </c>
    </row>
    <row r="731" spans="1:18" x14ac:dyDescent="0.2">
      <c r="A731" s="31" t="s">
        <v>2564</v>
      </c>
      <c r="B731" s="36" t="s">
        <v>858</v>
      </c>
      <c r="C731" s="504" t="s">
        <v>3352</v>
      </c>
      <c r="D731" s="42">
        <v>2657.77</v>
      </c>
      <c r="E731" s="42">
        <v>243.3</v>
      </c>
      <c r="F731" s="42">
        <v>71314.230000000025</v>
      </c>
      <c r="G731" s="581">
        <f t="shared" si="56"/>
        <v>74215.300000000032</v>
      </c>
      <c r="H731" s="33">
        <v>0</v>
      </c>
      <c r="I731" s="33">
        <v>0</v>
      </c>
      <c r="J731" s="33">
        <v>0</v>
      </c>
      <c r="K731" s="33">
        <f t="shared" si="58"/>
        <v>2657.77</v>
      </c>
      <c r="L731" s="33">
        <f t="shared" si="59"/>
        <v>243.3</v>
      </c>
      <c r="M731" s="33">
        <f t="shared" si="60"/>
        <v>71314.230000000025</v>
      </c>
      <c r="N731" s="235">
        <f t="shared" si="57"/>
        <v>0</v>
      </c>
      <c r="O731" s="35" t="s">
        <v>3327</v>
      </c>
      <c r="P731" s="35"/>
      <c r="Q731" s="39">
        <f>SUMIF('Antelope Bailey Split BA'!$B$7:$B$29,B731,'Antelope Bailey Split BA'!$C$7:$C$29)</f>
        <v>0</v>
      </c>
      <c r="R731" s="39" t="str">
        <f>IF(AND(Q731=1,'Plant Total by Account'!$J$1=2),"EKWRA","")</f>
        <v/>
      </c>
    </row>
    <row r="732" spans="1:18" x14ac:dyDescent="0.2">
      <c r="A732" s="31" t="s">
        <v>3213</v>
      </c>
      <c r="B732" s="36" t="s">
        <v>859</v>
      </c>
      <c r="C732" s="504" t="s">
        <v>3352</v>
      </c>
      <c r="D732" s="42">
        <v>0</v>
      </c>
      <c r="E732" s="42">
        <v>0</v>
      </c>
      <c r="F732" s="42">
        <v>46758.450000000004</v>
      </c>
      <c r="G732" s="581">
        <f t="shared" si="56"/>
        <v>46758.450000000004</v>
      </c>
      <c r="H732" s="33">
        <v>0</v>
      </c>
      <c r="I732" s="33">
        <v>0</v>
      </c>
      <c r="J732" s="33">
        <v>0</v>
      </c>
      <c r="K732" s="33">
        <f t="shared" si="58"/>
        <v>0</v>
      </c>
      <c r="L732" s="33">
        <f t="shared" si="59"/>
        <v>0</v>
      </c>
      <c r="M732" s="33">
        <f t="shared" si="60"/>
        <v>46758.450000000004</v>
      </c>
      <c r="N732" s="235">
        <f t="shared" si="57"/>
        <v>0</v>
      </c>
      <c r="O732" s="35" t="s">
        <v>3327</v>
      </c>
      <c r="P732" s="35"/>
      <c r="Q732" s="39">
        <f>SUMIF('Antelope Bailey Split BA'!$B$7:$B$29,B732,'Antelope Bailey Split BA'!$C$7:$C$29)</f>
        <v>0</v>
      </c>
      <c r="R732" s="39" t="str">
        <f>IF(AND(Q732=1,'Plant Total by Account'!$J$1=2),"EKWRA","")</f>
        <v/>
      </c>
    </row>
    <row r="733" spans="1:18" x14ac:dyDescent="0.2">
      <c r="A733" s="31" t="s">
        <v>3214</v>
      </c>
      <c r="B733" s="36" t="s">
        <v>860</v>
      </c>
      <c r="C733" s="504" t="s">
        <v>3352</v>
      </c>
      <c r="D733" s="42">
        <v>12401.98</v>
      </c>
      <c r="E733" s="42">
        <v>93477.13</v>
      </c>
      <c r="F733" s="42">
        <v>2200879.1900000004</v>
      </c>
      <c r="G733" s="581">
        <f t="shared" si="56"/>
        <v>2306758.3000000003</v>
      </c>
      <c r="H733" s="33">
        <v>0</v>
      </c>
      <c r="I733" s="33">
        <v>0</v>
      </c>
      <c r="J733" s="33">
        <v>0</v>
      </c>
      <c r="K733" s="33">
        <f t="shared" si="58"/>
        <v>12401.98</v>
      </c>
      <c r="L733" s="33">
        <f t="shared" si="59"/>
        <v>93477.13</v>
      </c>
      <c r="M733" s="33">
        <f t="shared" si="60"/>
        <v>2200879.1900000004</v>
      </c>
      <c r="N733" s="235">
        <f t="shared" si="57"/>
        <v>0</v>
      </c>
      <c r="O733" s="35" t="s">
        <v>3327</v>
      </c>
      <c r="P733" s="35"/>
      <c r="Q733" s="39">
        <f>SUMIF('Antelope Bailey Split BA'!$B$7:$B$29,B733,'Antelope Bailey Split BA'!$C$7:$C$29)</f>
        <v>0</v>
      </c>
      <c r="R733" s="39" t="str">
        <f>IF(AND(Q733=1,'Plant Total by Account'!$J$1=2),"EKWRA","")</f>
        <v/>
      </c>
    </row>
    <row r="734" spans="1:18" x14ac:dyDescent="0.2">
      <c r="A734" s="31" t="s">
        <v>3215</v>
      </c>
      <c r="B734" s="36" t="s">
        <v>861</v>
      </c>
      <c r="C734" s="504" t="s">
        <v>3352</v>
      </c>
      <c r="D734" s="42">
        <v>13383.61</v>
      </c>
      <c r="E734" s="42">
        <v>25095.620000000003</v>
      </c>
      <c r="F734" s="42">
        <v>1455029.4400000002</v>
      </c>
      <c r="G734" s="581">
        <f t="shared" si="56"/>
        <v>1493508.6700000002</v>
      </c>
      <c r="H734" s="33">
        <v>0</v>
      </c>
      <c r="I734" s="33">
        <v>0</v>
      </c>
      <c r="J734" s="33">
        <v>0</v>
      </c>
      <c r="K734" s="33">
        <f t="shared" si="58"/>
        <v>13383.61</v>
      </c>
      <c r="L734" s="33">
        <f t="shared" si="59"/>
        <v>25095.620000000003</v>
      </c>
      <c r="M734" s="33">
        <f t="shared" si="60"/>
        <v>1455029.4400000002</v>
      </c>
      <c r="N734" s="235">
        <f t="shared" si="57"/>
        <v>0</v>
      </c>
      <c r="O734" s="35" t="s">
        <v>3327</v>
      </c>
      <c r="P734" s="35"/>
      <c r="Q734" s="39">
        <f>SUMIF('Antelope Bailey Split BA'!$B$7:$B$29,B734,'Antelope Bailey Split BA'!$C$7:$C$29)</f>
        <v>0</v>
      </c>
      <c r="R734" s="39" t="str">
        <f>IF(AND(Q734=1,'Plant Total by Account'!$J$1=2),"EKWRA","")</f>
        <v/>
      </c>
    </row>
    <row r="735" spans="1:18" x14ac:dyDescent="0.2">
      <c r="A735" s="31" t="s">
        <v>3216</v>
      </c>
      <c r="B735" s="36" t="s">
        <v>862</v>
      </c>
      <c r="C735" s="504" t="s">
        <v>3352</v>
      </c>
      <c r="D735" s="42">
        <v>72.81</v>
      </c>
      <c r="E735" s="42">
        <v>0</v>
      </c>
      <c r="F735" s="42">
        <v>87437.22</v>
      </c>
      <c r="G735" s="581">
        <f t="shared" si="56"/>
        <v>87510.03</v>
      </c>
      <c r="H735" s="33">
        <v>0</v>
      </c>
      <c r="I735" s="33">
        <v>0</v>
      </c>
      <c r="J735" s="33">
        <v>0</v>
      </c>
      <c r="K735" s="33">
        <f t="shared" si="58"/>
        <v>72.81</v>
      </c>
      <c r="L735" s="33">
        <f t="shared" si="59"/>
        <v>0</v>
      </c>
      <c r="M735" s="33">
        <f t="shared" si="60"/>
        <v>87437.22</v>
      </c>
      <c r="N735" s="235">
        <f t="shared" si="57"/>
        <v>0</v>
      </c>
      <c r="O735" s="35" t="s">
        <v>3327</v>
      </c>
      <c r="P735" s="35"/>
      <c r="Q735" s="39">
        <f>SUMIF('Antelope Bailey Split BA'!$B$7:$B$29,B735,'Antelope Bailey Split BA'!$C$7:$C$29)</f>
        <v>0</v>
      </c>
      <c r="R735" s="39" t="str">
        <f>IF(AND(Q735=1,'Plant Total by Account'!$J$1=2),"EKWRA","")</f>
        <v/>
      </c>
    </row>
    <row r="736" spans="1:18" x14ac:dyDescent="0.2">
      <c r="A736" s="31" t="s">
        <v>3217</v>
      </c>
      <c r="B736" s="36" t="s">
        <v>863</v>
      </c>
      <c r="C736" s="504" t="s">
        <v>3352</v>
      </c>
      <c r="D736" s="42">
        <v>853.62</v>
      </c>
      <c r="E736" s="42">
        <v>0</v>
      </c>
      <c r="F736" s="42">
        <v>88461.910000000018</v>
      </c>
      <c r="G736" s="581">
        <f t="shared" si="56"/>
        <v>89315.530000000013</v>
      </c>
      <c r="H736" s="33">
        <v>0</v>
      </c>
      <c r="I736" s="33">
        <v>0</v>
      </c>
      <c r="J736" s="33">
        <v>0</v>
      </c>
      <c r="K736" s="33">
        <f t="shared" si="58"/>
        <v>853.62</v>
      </c>
      <c r="L736" s="33">
        <f t="shared" si="59"/>
        <v>0</v>
      </c>
      <c r="M736" s="33">
        <f t="shared" si="60"/>
        <v>88461.910000000018</v>
      </c>
      <c r="N736" s="235">
        <f t="shared" si="57"/>
        <v>0</v>
      </c>
      <c r="O736" s="35" t="s">
        <v>3327</v>
      </c>
      <c r="P736" s="35"/>
      <c r="Q736" s="39">
        <f>SUMIF('Antelope Bailey Split BA'!$B$7:$B$29,B736,'Antelope Bailey Split BA'!$C$7:$C$29)</f>
        <v>0</v>
      </c>
      <c r="R736" s="39" t="str">
        <f>IF(AND(Q736=1,'Plant Total by Account'!$J$1=2),"EKWRA","")</f>
        <v/>
      </c>
    </row>
    <row r="737" spans="1:18" x14ac:dyDescent="0.2">
      <c r="A737" s="31" t="s">
        <v>3218</v>
      </c>
      <c r="B737" s="36" t="s">
        <v>864</v>
      </c>
      <c r="C737" s="504" t="s">
        <v>3352</v>
      </c>
      <c r="D737" s="42">
        <v>9916.23</v>
      </c>
      <c r="E737" s="42">
        <v>19747.57</v>
      </c>
      <c r="F737" s="42">
        <v>319480.74</v>
      </c>
      <c r="G737" s="581">
        <f t="shared" si="56"/>
        <v>349144.54</v>
      </c>
      <c r="H737" s="33">
        <v>0</v>
      </c>
      <c r="I737" s="33">
        <v>0</v>
      </c>
      <c r="J737" s="33">
        <v>0</v>
      </c>
      <c r="K737" s="33">
        <f t="shared" si="58"/>
        <v>9916.23</v>
      </c>
      <c r="L737" s="33">
        <f t="shared" si="59"/>
        <v>19747.57</v>
      </c>
      <c r="M737" s="33">
        <f t="shared" si="60"/>
        <v>319480.74</v>
      </c>
      <c r="N737" s="235">
        <f t="shared" si="57"/>
        <v>0</v>
      </c>
      <c r="O737" s="35" t="s">
        <v>3327</v>
      </c>
      <c r="P737" s="35"/>
      <c r="Q737" s="39">
        <f>SUMIF('Antelope Bailey Split BA'!$B$7:$B$29,B737,'Antelope Bailey Split BA'!$C$7:$C$29)</f>
        <v>0</v>
      </c>
      <c r="R737" s="39" t="str">
        <f>IF(AND(Q737=1,'Plant Total by Account'!$J$1=2),"EKWRA","")</f>
        <v/>
      </c>
    </row>
    <row r="738" spans="1:18" x14ac:dyDescent="0.2">
      <c r="A738" s="31" t="s">
        <v>2565</v>
      </c>
      <c r="B738" s="36" t="s">
        <v>865</v>
      </c>
      <c r="C738" s="504" t="s">
        <v>3352</v>
      </c>
      <c r="D738" s="42">
        <v>277.31</v>
      </c>
      <c r="E738" s="42">
        <v>10192.93</v>
      </c>
      <c r="F738" s="42">
        <v>1729963.4</v>
      </c>
      <c r="G738" s="581">
        <f t="shared" si="56"/>
        <v>1740433.64</v>
      </c>
      <c r="H738" s="33">
        <v>0</v>
      </c>
      <c r="I738" s="33">
        <v>0</v>
      </c>
      <c r="J738" s="33">
        <v>0</v>
      </c>
      <c r="K738" s="33">
        <f t="shared" si="58"/>
        <v>277.31</v>
      </c>
      <c r="L738" s="33">
        <f t="shared" si="59"/>
        <v>10192.93</v>
      </c>
      <c r="M738" s="33">
        <f t="shared" si="60"/>
        <v>1729963.4</v>
      </c>
      <c r="N738" s="235">
        <f t="shared" si="57"/>
        <v>0</v>
      </c>
      <c r="O738" s="35" t="s">
        <v>3327</v>
      </c>
      <c r="P738" s="35"/>
      <c r="Q738" s="39">
        <f>SUMIF('Antelope Bailey Split BA'!$B$7:$B$29,B738,'Antelope Bailey Split BA'!$C$7:$C$29)</f>
        <v>0</v>
      </c>
      <c r="R738" s="39" t="str">
        <f>IF(AND(Q738=1,'Plant Total by Account'!$J$1=2),"EKWRA","")</f>
        <v/>
      </c>
    </row>
    <row r="739" spans="1:18" x14ac:dyDescent="0.2">
      <c r="A739" s="31" t="s">
        <v>3219</v>
      </c>
      <c r="B739" s="36" t="s">
        <v>866</v>
      </c>
      <c r="C739" s="504" t="s">
        <v>3352</v>
      </c>
      <c r="D739" s="42">
        <v>2925.23</v>
      </c>
      <c r="E739" s="42">
        <v>37972.33</v>
      </c>
      <c r="F739" s="42">
        <v>1839318.7399999998</v>
      </c>
      <c r="G739" s="581">
        <f t="shared" si="56"/>
        <v>1880216.2999999998</v>
      </c>
      <c r="H739" s="33">
        <v>0</v>
      </c>
      <c r="I739" s="33">
        <v>0</v>
      </c>
      <c r="J739" s="33">
        <v>0</v>
      </c>
      <c r="K739" s="33">
        <f t="shared" si="58"/>
        <v>2925.23</v>
      </c>
      <c r="L739" s="33">
        <f t="shared" si="59"/>
        <v>37972.33</v>
      </c>
      <c r="M739" s="33">
        <f t="shared" si="60"/>
        <v>1839318.7399999998</v>
      </c>
      <c r="N739" s="235">
        <f t="shared" si="57"/>
        <v>0</v>
      </c>
      <c r="O739" s="35" t="s">
        <v>3327</v>
      </c>
      <c r="P739" s="35"/>
      <c r="Q739" s="39">
        <f>SUMIF('Antelope Bailey Split BA'!$B$7:$B$29,B739,'Antelope Bailey Split BA'!$C$7:$C$29)</f>
        <v>0</v>
      </c>
      <c r="R739" s="39" t="str">
        <f>IF(AND(Q739=1,'Plant Total by Account'!$J$1=2),"EKWRA","")</f>
        <v/>
      </c>
    </row>
    <row r="740" spans="1:18" x14ac:dyDescent="0.2">
      <c r="A740" s="31" t="s">
        <v>2566</v>
      </c>
      <c r="B740" s="36" t="s">
        <v>867</v>
      </c>
      <c r="C740" s="504" t="s">
        <v>3352</v>
      </c>
      <c r="D740" s="42">
        <v>286.16000000000003</v>
      </c>
      <c r="E740" s="42">
        <v>2667.94</v>
      </c>
      <c r="F740" s="42">
        <v>235191.14</v>
      </c>
      <c r="G740" s="581">
        <f t="shared" si="56"/>
        <v>238145.24000000002</v>
      </c>
      <c r="H740" s="33">
        <v>0</v>
      </c>
      <c r="I740" s="33">
        <v>0</v>
      </c>
      <c r="J740" s="33">
        <v>0</v>
      </c>
      <c r="K740" s="33">
        <f t="shared" si="58"/>
        <v>286.16000000000003</v>
      </c>
      <c r="L740" s="33">
        <f t="shared" si="59"/>
        <v>2667.94</v>
      </c>
      <c r="M740" s="33">
        <f t="shared" si="60"/>
        <v>235191.14</v>
      </c>
      <c r="N740" s="235">
        <f t="shared" si="57"/>
        <v>0</v>
      </c>
      <c r="O740" s="35" t="s">
        <v>3327</v>
      </c>
      <c r="P740" s="35"/>
      <c r="Q740" s="39">
        <f>SUMIF('Antelope Bailey Split BA'!$B$7:$B$29,B740,'Antelope Bailey Split BA'!$C$7:$C$29)</f>
        <v>0</v>
      </c>
      <c r="R740" s="39" t="str">
        <f>IF(AND(Q740=1,'Plant Total by Account'!$J$1=2),"EKWRA","")</f>
        <v/>
      </c>
    </row>
    <row r="741" spans="1:18" x14ac:dyDescent="0.2">
      <c r="A741" s="31" t="s">
        <v>2567</v>
      </c>
      <c r="B741" s="36" t="s">
        <v>868</v>
      </c>
      <c r="C741" s="504" t="s">
        <v>3352</v>
      </c>
      <c r="D741" s="42">
        <v>833.67000000000007</v>
      </c>
      <c r="E741" s="42">
        <v>42485.64</v>
      </c>
      <c r="F741" s="42">
        <v>762571.6</v>
      </c>
      <c r="G741" s="581">
        <f t="shared" si="56"/>
        <v>805890.90999999992</v>
      </c>
      <c r="H741" s="33">
        <v>0</v>
      </c>
      <c r="I741" s="33">
        <v>0</v>
      </c>
      <c r="J741" s="33">
        <v>0</v>
      </c>
      <c r="K741" s="33">
        <f t="shared" si="58"/>
        <v>833.67000000000007</v>
      </c>
      <c r="L741" s="33">
        <f t="shared" si="59"/>
        <v>42485.64</v>
      </c>
      <c r="M741" s="33">
        <f t="shared" si="60"/>
        <v>762571.6</v>
      </c>
      <c r="N741" s="235">
        <f t="shared" si="57"/>
        <v>0</v>
      </c>
      <c r="O741" s="35" t="s">
        <v>3327</v>
      </c>
      <c r="P741" s="35"/>
      <c r="Q741" s="39">
        <f>SUMIF('Antelope Bailey Split BA'!$B$7:$B$29,B741,'Antelope Bailey Split BA'!$C$7:$C$29)</f>
        <v>0</v>
      </c>
      <c r="R741" s="39" t="str">
        <f>IF(AND(Q741=1,'Plant Total by Account'!$J$1=2),"EKWRA","")</f>
        <v/>
      </c>
    </row>
    <row r="742" spans="1:18" x14ac:dyDescent="0.2">
      <c r="A742" s="31" t="s">
        <v>3220</v>
      </c>
      <c r="B742" s="36" t="s">
        <v>869</v>
      </c>
      <c r="C742" s="504" t="s">
        <v>3352</v>
      </c>
      <c r="D742" s="42">
        <v>673.69</v>
      </c>
      <c r="E742" s="42">
        <v>0</v>
      </c>
      <c r="F742" s="42">
        <v>109422.81999999999</v>
      </c>
      <c r="G742" s="581">
        <f t="shared" si="56"/>
        <v>110096.51</v>
      </c>
      <c r="H742" s="33">
        <v>0</v>
      </c>
      <c r="I742" s="33">
        <v>0</v>
      </c>
      <c r="J742" s="33">
        <v>0</v>
      </c>
      <c r="K742" s="33">
        <f t="shared" si="58"/>
        <v>673.69</v>
      </c>
      <c r="L742" s="33">
        <f t="shared" si="59"/>
        <v>0</v>
      </c>
      <c r="M742" s="33">
        <f t="shared" si="60"/>
        <v>109422.81999999999</v>
      </c>
      <c r="N742" s="235">
        <f t="shared" si="57"/>
        <v>0</v>
      </c>
      <c r="O742" s="35" t="s">
        <v>3327</v>
      </c>
      <c r="P742" s="35"/>
      <c r="Q742" s="39">
        <f>SUMIF('Antelope Bailey Split BA'!$B$7:$B$29,B742,'Antelope Bailey Split BA'!$C$7:$C$29)</f>
        <v>0</v>
      </c>
      <c r="R742" s="39" t="str">
        <f>IF(AND(Q742=1,'Plant Total by Account'!$J$1=2),"EKWRA","")</f>
        <v/>
      </c>
    </row>
    <row r="743" spans="1:18" x14ac:dyDescent="0.2">
      <c r="A743" s="31" t="s">
        <v>3221</v>
      </c>
      <c r="B743" s="36" t="s">
        <v>870</v>
      </c>
      <c r="C743" s="504" t="s">
        <v>3352</v>
      </c>
      <c r="D743" s="42">
        <v>27719.14</v>
      </c>
      <c r="E743" s="42">
        <v>311746.73000000004</v>
      </c>
      <c r="F743" s="42">
        <v>5894334.8499999996</v>
      </c>
      <c r="G743" s="581">
        <f t="shared" si="56"/>
        <v>6233800.7199999997</v>
      </c>
      <c r="H743" s="33">
        <v>0</v>
      </c>
      <c r="I743" s="33">
        <v>0</v>
      </c>
      <c r="J743" s="33">
        <v>0</v>
      </c>
      <c r="K743" s="33">
        <f t="shared" si="58"/>
        <v>27719.14</v>
      </c>
      <c r="L743" s="33">
        <f t="shared" si="59"/>
        <v>311746.73000000004</v>
      </c>
      <c r="M743" s="33">
        <f t="shared" si="60"/>
        <v>5894334.8499999996</v>
      </c>
      <c r="N743" s="235">
        <f t="shared" si="57"/>
        <v>0</v>
      </c>
      <c r="O743" s="35" t="s">
        <v>3327</v>
      </c>
      <c r="P743" s="35"/>
      <c r="Q743" s="39">
        <f>SUMIF('Antelope Bailey Split BA'!$B$7:$B$29,B743,'Antelope Bailey Split BA'!$C$7:$C$29)</f>
        <v>0</v>
      </c>
      <c r="R743" s="39" t="str">
        <f>IF(AND(Q743=1,'Plant Total by Account'!$J$1=2),"EKWRA","")</f>
        <v/>
      </c>
    </row>
    <row r="744" spans="1:18" x14ac:dyDescent="0.2">
      <c r="A744" s="31" t="s">
        <v>3222</v>
      </c>
      <c r="B744" s="36" t="s">
        <v>871</v>
      </c>
      <c r="C744" s="504" t="s">
        <v>3352</v>
      </c>
      <c r="D744" s="42">
        <v>320.32</v>
      </c>
      <c r="E744" s="42">
        <v>49102.82</v>
      </c>
      <c r="F744" s="42">
        <v>205142.93</v>
      </c>
      <c r="G744" s="581">
        <f t="shared" si="56"/>
        <v>254566.07</v>
      </c>
      <c r="H744" s="33">
        <v>0</v>
      </c>
      <c r="I744" s="33">
        <v>0</v>
      </c>
      <c r="J744" s="33">
        <v>0</v>
      </c>
      <c r="K744" s="33">
        <f t="shared" si="58"/>
        <v>320.32</v>
      </c>
      <c r="L744" s="33">
        <f t="shared" si="59"/>
        <v>49102.82</v>
      </c>
      <c r="M744" s="33">
        <f t="shared" si="60"/>
        <v>205142.93</v>
      </c>
      <c r="N744" s="235">
        <f t="shared" si="57"/>
        <v>0</v>
      </c>
      <c r="O744" s="35" t="s">
        <v>3327</v>
      </c>
      <c r="P744" s="35"/>
      <c r="Q744" s="39">
        <f>SUMIF('Antelope Bailey Split BA'!$B$7:$B$29,B744,'Antelope Bailey Split BA'!$C$7:$C$29)</f>
        <v>0</v>
      </c>
      <c r="R744" s="39" t="str">
        <f>IF(AND(Q744=1,'Plant Total by Account'!$J$1=2),"EKWRA","")</f>
        <v/>
      </c>
    </row>
    <row r="745" spans="1:18" x14ac:dyDescent="0.2">
      <c r="A745" s="31" t="s">
        <v>3223</v>
      </c>
      <c r="B745" s="36" t="s">
        <v>872</v>
      </c>
      <c r="C745" s="504" t="s">
        <v>3352</v>
      </c>
      <c r="D745" s="42">
        <v>5029.16</v>
      </c>
      <c r="E745" s="42">
        <v>1940.49</v>
      </c>
      <c r="F745" s="42">
        <v>407228.04000000021</v>
      </c>
      <c r="G745" s="581">
        <f t="shared" si="56"/>
        <v>414197.69000000024</v>
      </c>
      <c r="H745" s="33">
        <v>0</v>
      </c>
      <c r="I745" s="33">
        <v>0</v>
      </c>
      <c r="J745" s="33">
        <v>0</v>
      </c>
      <c r="K745" s="33">
        <f t="shared" si="58"/>
        <v>5029.16</v>
      </c>
      <c r="L745" s="33">
        <f t="shared" si="59"/>
        <v>1940.49</v>
      </c>
      <c r="M745" s="33">
        <f t="shared" si="60"/>
        <v>407228.04000000021</v>
      </c>
      <c r="N745" s="235">
        <f t="shared" si="57"/>
        <v>0</v>
      </c>
      <c r="O745" s="35" t="s">
        <v>3327</v>
      </c>
      <c r="P745" s="35"/>
      <c r="Q745" s="39">
        <f>SUMIF('Antelope Bailey Split BA'!$B$7:$B$29,B745,'Antelope Bailey Split BA'!$C$7:$C$29)</f>
        <v>0</v>
      </c>
      <c r="R745" s="39" t="str">
        <f>IF(AND(Q745=1,'Plant Total by Account'!$J$1=2),"EKWRA","")</f>
        <v/>
      </c>
    </row>
    <row r="746" spans="1:18" x14ac:dyDescent="0.2">
      <c r="A746" s="31" t="s">
        <v>3224</v>
      </c>
      <c r="B746" s="36" t="s">
        <v>3225</v>
      </c>
      <c r="C746" s="504"/>
      <c r="D746" s="42">
        <v>490933.9</v>
      </c>
      <c r="E746" s="42">
        <v>0</v>
      </c>
      <c r="F746" s="42">
        <v>0</v>
      </c>
      <c r="G746" s="581">
        <f t="shared" si="56"/>
        <v>490933.9</v>
      </c>
      <c r="H746" s="33">
        <v>0</v>
      </c>
      <c r="I746" s="33">
        <v>0</v>
      </c>
      <c r="J746" s="33">
        <v>0</v>
      </c>
      <c r="K746" s="33">
        <f t="shared" si="58"/>
        <v>490933.9</v>
      </c>
      <c r="L746" s="33">
        <f t="shared" si="59"/>
        <v>0</v>
      </c>
      <c r="M746" s="33">
        <f t="shared" si="60"/>
        <v>0</v>
      </c>
      <c r="N746" s="235">
        <f t="shared" si="57"/>
        <v>0</v>
      </c>
      <c r="O746" s="35" t="s">
        <v>3327</v>
      </c>
      <c r="P746" s="35"/>
      <c r="Q746" s="39">
        <f>SUMIF('Antelope Bailey Split BA'!$B$7:$B$29,B746,'Antelope Bailey Split BA'!$C$7:$C$29)</f>
        <v>0</v>
      </c>
      <c r="R746" s="39" t="str">
        <f>IF(AND(Q746=1,'Plant Total by Account'!$J$1=2),"EKWRA","")</f>
        <v/>
      </c>
    </row>
    <row r="747" spans="1:18" x14ac:dyDescent="0.2">
      <c r="A747" s="31" t="s">
        <v>2568</v>
      </c>
      <c r="B747" s="97" t="s">
        <v>873</v>
      </c>
      <c r="C747" s="504" t="s">
        <v>3352</v>
      </c>
      <c r="D747" s="42">
        <v>198.36</v>
      </c>
      <c r="E747" s="42">
        <v>28035.89</v>
      </c>
      <c r="F747" s="42">
        <v>438908.14</v>
      </c>
      <c r="G747" s="581">
        <f t="shared" si="56"/>
        <v>467142.39</v>
      </c>
      <c r="H747" s="33">
        <v>0</v>
      </c>
      <c r="I747" s="33">
        <v>0</v>
      </c>
      <c r="J747" s="33">
        <v>0</v>
      </c>
      <c r="K747" s="33">
        <f t="shared" si="58"/>
        <v>198.36</v>
      </c>
      <c r="L747" s="33">
        <f t="shared" si="59"/>
        <v>28035.89</v>
      </c>
      <c r="M747" s="33">
        <f t="shared" si="60"/>
        <v>438908.14</v>
      </c>
      <c r="N747" s="235">
        <f t="shared" si="57"/>
        <v>0</v>
      </c>
      <c r="O747" s="35" t="s">
        <v>3327</v>
      </c>
      <c r="P747" s="35"/>
      <c r="Q747" s="39">
        <f>SUMIF('Antelope Bailey Split BA'!$B$7:$B$29,B747,'Antelope Bailey Split BA'!$C$7:$C$29)</f>
        <v>0</v>
      </c>
      <c r="R747" s="39" t="str">
        <f>IF(AND(Q747=1,'Plant Total by Account'!$J$1=2),"EKWRA","")</f>
        <v/>
      </c>
    </row>
    <row r="748" spans="1:18" x14ac:dyDescent="0.2">
      <c r="A748" s="31" t="s">
        <v>2569</v>
      </c>
      <c r="B748" s="36" t="s">
        <v>874</v>
      </c>
      <c r="C748" s="504" t="s">
        <v>3352</v>
      </c>
      <c r="D748" s="42">
        <v>4351.78</v>
      </c>
      <c r="E748" s="42">
        <v>56728.94</v>
      </c>
      <c r="F748" s="42">
        <v>1267028.54</v>
      </c>
      <c r="G748" s="581">
        <f t="shared" si="56"/>
        <v>1328109.26</v>
      </c>
      <c r="H748" s="33">
        <v>0</v>
      </c>
      <c r="I748" s="33">
        <v>0</v>
      </c>
      <c r="J748" s="33">
        <v>0</v>
      </c>
      <c r="K748" s="33">
        <f t="shared" si="58"/>
        <v>4351.78</v>
      </c>
      <c r="L748" s="33">
        <f t="shared" si="59"/>
        <v>56728.94</v>
      </c>
      <c r="M748" s="33">
        <f t="shared" si="60"/>
        <v>1267028.54</v>
      </c>
      <c r="N748" s="235">
        <f t="shared" si="57"/>
        <v>0</v>
      </c>
      <c r="O748" s="35" t="s">
        <v>3327</v>
      </c>
      <c r="P748" s="35"/>
      <c r="Q748" s="39">
        <f>SUMIF('Antelope Bailey Split BA'!$B$7:$B$29,B748,'Antelope Bailey Split BA'!$C$7:$C$29)</f>
        <v>0</v>
      </c>
      <c r="R748" s="39" t="str">
        <f>IF(AND(Q748=1,'Plant Total by Account'!$J$1=2),"EKWRA","")</f>
        <v/>
      </c>
    </row>
    <row r="749" spans="1:18" x14ac:dyDescent="0.2">
      <c r="A749" s="31" t="s">
        <v>2570</v>
      </c>
      <c r="B749" s="36" t="s">
        <v>875</v>
      </c>
      <c r="C749" s="504" t="s">
        <v>3352</v>
      </c>
      <c r="D749" s="42">
        <v>549.52</v>
      </c>
      <c r="E749" s="42">
        <v>5255.02</v>
      </c>
      <c r="F749" s="42">
        <v>1034937.8899999999</v>
      </c>
      <c r="G749" s="581">
        <f t="shared" si="56"/>
        <v>1040742.4299999999</v>
      </c>
      <c r="H749" s="33">
        <v>0</v>
      </c>
      <c r="I749" s="33">
        <v>0</v>
      </c>
      <c r="J749" s="33">
        <v>0</v>
      </c>
      <c r="K749" s="33">
        <f t="shared" si="58"/>
        <v>549.52</v>
      </c>
      <c r="L749" s="33">
        <f t="shared" si="59"/>
        <v>5255.02</v>
      </c>
      <c r="M749" s="33">
        <f t="shared" si="60"/>
        <v>1034937.8899999999</v>
      </c>
      <c r="N749" s="235">
        <f t="shared" si="57"/>
        <v>0</v>
      </c>
      <c r="O749" s="35" t="s">
        <v>3327</v>
      </c>
      <c r="P749" s="35"/>
      <c r="Q749" s="39">
        <f>SUMIF('Antelope Bailey Split BA'!$B$7:$B$29,B749,'Antelope Bailey Split BA'!$C$7:$C$29)</f>
        <v>0</v>
      </c>
      <c r="R749" s="39" t="str">
        <f>IF(AND(Q749=1,'Plant Total by Account'!$J$1=2),"EKWRA","")</f>
        <v/>
      </c>
    </row>
    <row r="750" spans="1:18" x14ac:dyDescent="0.2">
      <c r="A750" s="31" t="s">
        <v>2571</v>
      </c>
      <c r="B750" s="36" t="s">
        <v>876</v>
      </c>
      <c r="C750" s="504" t="s">
        <v>3352</v>
      </c>
      <c r="D750" s="42">
        <v>0</v>
      </c>
      <c r="E750" s="42">
        <v>0</v>
      </c>
      <c r="F750" s="42">
        <v>2411588.2500000005</v>
      </c>
      <c r="G750" s="581">
        <f t="shared" si="56"/>
        <v>2411588.2500000005</v>
      </c>
      <c r="H750" s="33">
        <v>0</v>
      </c>
      <c r="I750" s="33">
        <v>0</v>
      </c>
      <c r="J750" s="33">
        <v>0</v>
      </c>
      <c r="K750" s="33">
        <f t="shared" si="58"/>
        <v>0</v>
      </c>
      <c r="L750" s="33">
        <f t="shared" si="59"/>
        <v>0</v>
      </c>
      <c r="M750" s="33">
        <f t="shared" si="60"/>
        <v>2411588.2500000005</v>
      </c>
      <c r="N750" s="235">
        <f t="shared" si="57"/>
        <v>0</v>
      </c>
      <c r="O750" s="35" t="s">
        <v>3327</v>
      </c>
      <c r="P750" s="35"/>
      <c r="Q750" s="39">
        <f>SUMIF('Antelope Bailey Split BA'!$B$7:$B$29,B750,'Antelope Bailey Split BA'!$C$7:$C$29)</f>
        <v>0</v>
      </c>
      <c r="R750" s="39" t="str">
        <f>IF(AND(Q750=1,'Plant Total by Account'!$J$1=2),"EKWRA","")</f>
        <v/>
      </c>
    </row>
    <row r="751" spans="1:18" x14ac:dyDescent="0.2">
      <c r="A751" s="31" t="s">
        <v>2572</v>
      </c>
      <c r="B751" s="36" t="s">
        <v>877</v>
      </c>
      <c r="C751" s="504" t="s">
        <v>3348</v>
      </c>
      <c r="D751" s="42">
        <v>0</v>
      </c>
      <c r="E751" s="42">
        <v>60359.960000000006</v>
      </c>
      <c r="F751" s="42">
        <v>0</v>
      </c>
      <c r="G751" s="581">
        <f t="shared" si="56"/>
        <v>60359.960000000006</v>
      </c>
      <c r="H751" s="33">
        <v>0</v>
      </c>
      <c r="I751" s="33">
        <v>0</v>
      </c>
      <c r="J751" s="33">
        <v>0</v>
      </c>
      <c r="K751" s="33">
        <f t="shared" si="58"/>
        <v>0</v>
      </c>
      <c r="L751" s="33">
        <f t="shared" si="59"/>
        <v>60359.960000000006</v>
      </c>
      <c r="M751" s="33">
        <f t="shared" si="60"/>
        <v>0</v>
      </c>
      <c r="N751" s="235">
        <f t="shared" si="57"/>
        <v>0</v>
      </c>
      <c r="O751" s="35" t="s">
        <v>3327</v>
      </c>
      <c r="P751" s="35"/>
      <c r="Q751" s="39">
        <f>SUMIF('Antelope Bailey Split BA'!$B$7:$B$29,B751,'Antelope Bailey Split BA'!$C$7:$C$29)</f>
        <v>0</v>
      </c>
      <c r="R751" s="39" t="str">
        <f>IF(AND(Q751=1,'Plant Total by Account'!$J$1=2),"EKWRA","")</f>
        <v/>
      </c>
    </row>
    <row r="752" spans="1:18" x14ac:dyDescent="0.2">
      <c r="A752" s="31" t="s">
        <v>2573</v>
      </c>
      <c r="B752" s="36" t="s">
        <v>878</v>
      </c>
      <c r="C752" s="504" t="s">
        <v>3352</v>
      </c>
      <c r="D752" s="42">
        <v>13.1</v>
      </c>
      <c r="E752" s="42">
        <v>10510.51</v>
      </c>
      <c r="F752" s="42">
        <v>189655.25</v>
      </c>
      <c r="G752" s="581">
        <f t="shared" si="56"/>
        <v>200178.86</v>
      </c>
      <c r="H752" s="33">
        <v>0</v>
      </c>
      <c r="I752" s="33">
        <v>0</v>
      </c>
      <c r="J752" s="33">
        <v>0</v>
      </c>
      <c r="K752" s="33">
        <f t="shared" si="58"/>
        <v>13.1</v>
      </c>
      <c r="L752" s="33">
        <f t="shared" si="59"/>
        <v>10510.51</v>
      </c>
      <c r="M752" s="33">
        <f t="shared" si="60"/>
        <v>189655.25</v>
      </c>
      <c r="N752" s="235">
        <f t="shared" si="57"/>
        <v>0</v>
      </c>
      <c r="O752" s="35" t="s">
        <v>3327</v>
      </c>
      <c r="P752" s="35"/>
      <c r="Q752" s="39">
        <f>SUMIF('Antelope Bailey Split BA'!$B$7:$B$29,B752,'Antelope Bailey Split BA'!$C$7:$C$29)</f>
        <v>0</v>
      </c>
      <c r="R752" s="39" t="str">
        <f>IF(AND(Q752=1,'Plant Total by Account'!$J$1=2),"EKWRA","")</f>
        <v/>
      </c>
    </row>
    <row r="753" spans="1:18" x14ac:dyDescent="0.2">
      <c r="A753" s="31" t="s">
        <v>3226</v>
      </c>
      <c r="B753" s="32" t="s">
        <v>879</v>
      </c>
      <c r="C753" s="504" t="s">
        <v>3348</v>
      </c>
      <c r="D753" s="42">
        <v>0</v>
      </c>
      <c r="E753" s="42">
        <v>34000.089999999997</v>
      </c>
      <c r="F753" s="42">
        <v>563603.96000000008</v>
      </c>
      <c r="G753" s="581">
        <f t="shared" si="56"/>
        <v>597604.05000000005</v>
      </c>
      <c r="H753" s="33">
        <v>0</v>
      </c>
      <c r="I753" s="33">
        <v>0</v>
      </c>
      <c r="J753" s="33">
        <v>0</v>
      </c>
      <c r="K753" s="33">
        <f t="shared" si="58"/>
        <v>0</v>
      </c>
      <c r="L753" s="33">
        <f t="shared" si="59"/>
        <v>34000.089999999997</v>
      </c>
      <c r="M753" s="33">
        <f t="shared" si="60"/>
        <v>563603.96000000008</v>
      </c>
      <c r="N753" s="235">
        <f t="shared" si="57"/>
        <v>0</v>
      </c>
      <c r="O753" s="35" t="s">
        <v>3327</v>
      </c>
      <c r="P753" s="35"/>
      <c r="Q753" s="39">
        <f>SUMIF('Antelope Bailey Split BA'!$B$7:$B$29,B753,'Antelope Bailey Split BA'!$C$7:$C$29)</f>
        <v>0</v>
      </c>
      <c r="R753" s="39" t="str">
        <f>IF(AND(Q753=1,'Plant Total by Account'!$J$1=2),"EKWRA","")</f>
        <v/>
      </c>
    </row>
    <row r="754" spans="1:18" x14ac:dyDescent="0.2">
      <c r="A754" s="31" t="s">
        <v>2574</v>
      </c>
      <c r="B754" s="36" t="s">
        <v>880</v>
      </c>
      <c r="C754" s="504" t="s">
        <v>3352</v>
      </c>
      <c r="D754" s="42">
        <v>0</v>
      </c>
      <c r="E754" s="42">
        <v>171.46</v>
      </c>
      <c r="F754" s="42">
        <v>360771.82999999996</v>
      </c>
      <c r="G754" s="581">
        <f t="shared" si="56"/>
        <v>360943.29</v>
      </c>
      <c r="H754" s="33">
        <v>0</v>
      </c>
      <c r="I754" s="33">
        <v>0</v>
      </c>
      <c r="J754" s="33">
        <v>0</v>
      </c>
      <c r="K754" s="33">
        <f t="shared" si="58"/>
        <v>0</v>
      </c>
      <c r="L754" s="33">
        <f t="shared" si="59"/>
        <v>171.46</v>
      </c>
      <c r="M754" s="33">
        <f t="shared" si="60"/>
        <v>360771.82999999996</v>
      </c>
      <c r="N754" s="235">
        <f t="shared" si="57"/>
        <v>0</v>
      </c>
      <c r="O754" s="35" t="s">
        <v>3327</v>
      </c>
      <c r="P754" s="35"/>
      <c r="Q754" s="39">
        <f>SUMIF('Antelope Bailey Split BA'!$B$7:$B$29,B754,'Antelope Bailey Split BA'!$C$7:$C$29)</f>
        <v>0</v>
      </c>
      <c r="R754" s="39" t="str">
        <f>IF(AND(Q754=1,'Plant Total by Account'!$J$1=2),"EKWRA","")</f>
        <v/>
      </c>
    </row>
    <row r="755" spans="1:18" x14ac:dyDescent="0.2">
      <c r="A755" s="31" t="s">
        <v>3227</v>
      </c>
      <c r="B755" s="36" t="s">
        <v>881</v>
      </c>
      <c r="C755" s="504" t="s">
        <v>3352</v>
      </c>
      <c r="D755" s="42">
        <v>0</v>
      </c>
      <c r="E755" s="42">
        <v>5082.4800000000005</v>
      </c>
      <c r="F755" s="42">
        <v>378182.41000000009</v>
      </c>
      <c r="G755" s="581">
        <f t="shared" si="56"/>
        <v>383264.89000000007</v>
      </c>
      <c r="H755" s="33">
        <v>0</v>
      </c>
      <c r="I755" s="33">
        <v>0</v>
      </c>
      <c r="J755" s="33">
        <v>0</v>
      </c>
      <c r="K755" s="33">
        <f t="shared" si="58"/>
        <v>0</v>
      </c>
      <c r="L755" s="33">
        <f t="shared" si="59"/>
        <v>5082.4800000000005</v>
      </c>
      <c r="M755" s="33">
        <f t="shared" si="60"/>
        <v>378182.41000000009</v>
      </c>
      <c r="N755" s="235">
        <f t="shared" si="57"/>
        <v>0</v>
      </c>
      <c r="O755" s="35" t="s">
        <v>3327</v>
      </c>
      <c r="P755" s="35"/>
      <c r="Q755" s="39">
        <f>SUMIF('Antelope Bailey Split BA'!$B$7:$B$29,B755,'Antelope Bailey Split BA'!$C$7:$C$29)</f>
        <v>0</v>
      </c>
      <c r="R755" s="39" t="str">
        <f>IF(AND(Q755=1,'Plant Total by Account'!$J$1=2),"EKWRA","")</f>
        <v/>
      </c>
    </row>
    <row r="756" spans="1:18" x14ac:dyDescent="0.2">
      <c r="A756" s="31" t="s">
        <v>3228</v>
      </c>
      <c r="B756" s="35" t="s">
        <v>882</v>
      </c>
      <c r="C756" s="504" t="s">
        <v>3352</v>
      </c>
      <c r="D756" s="42">
        <v>130.21</v>
      </c>
      <c r="E756" s="42">
        <v>0</v>
      </c>
      <c r="F756" s="42">
        <v>120233.44</v>
      </c>
      <c r="G756" s="581">
        <f t="shared" si="56"/>
        <v>120363.65000000001</v>
      </c>
      <c r="H756" s="33">
        <v>0</v>
      </c>
      <c r="I756" s="33">
        <v>0</v>
      </c>
      <c r="J756" s="33">
        <v>0</v>
      </c>
      <c r="K756" s="33">
        <f t="shared" si="58"/>
        <v>130.21</v>
      </c>
      <c r="L756" s="33">
        <f t="shared" si="59"/>
        <v>0</v>
      </c>
      <c r="M756" s="33">
        <f t="shared" si="60"/>
        <v>120233.44</v>
      </c>
      <c r="N756" s="235">
        <f t="shared" si="57"/>
        <v>0</v>
      </c>
      <c r="O756" s="35" t="s">
        <v>3327</v>
      </c>
      <c r="P756" s="35"/>
      <c r="Q756" s="39">
        <f>SUMIF('Antelope Bailey Split BA'!$B$7:$B$29,B756,'Antelope Bailey Split BA'!$C$7:$C$29)</f>
        <v>0</v>
      </c>
      <c r="R756" s="39" t="str">
        <f>IF(AND(Q756=1,'Plant Total by Account'!$J$1=2),"EKWRA","")</f>
        <v/>
      </c>
    </row>
    <row r="757" spans="1:18" x14ac:dyDescent="0.2">
      <c r="A757" s="31" t="s">
        <v>3229</v>
      </c>
      <c r="B757" s="98" t="s">
        <v>883</v>
      </c>
      <c r="C757" s="504" t="s">
        <v>3352</v>
      </c>
      <c r="D757" s="42">
        <v>1030.6400000000001</v>
      </c>
      <c r="E757" s="42">
        <v>83365.600000000006</v>
      </c>
      <c r="F757" s="42">
        <v>1682361.6500000004</v>
      </c>
      <c r="G757" s="581">
        <f t="shared" si="56"/>
        <v>1766757.8900000004</v>
      </c>
      <c r="H757" s="33">
        <v>0</v>
      </c>
      <c r="I757" s="33">
        <v>0</v>
      </c>
      <c r="J757" s="33">
        <v>0</v>
      </c>
      <c r="K757" s="33">
        <f t="shared" si="58"/>
        <v>1030.6400000000001</v>
      </c>
      <c r="L757" s="33">
        <f t="shared" si="59"/>
        <v>83365.600000000006</v>
      </c>
      <c r="M757" s="33">
        <f t="shared" si="60"/>
        <v>1682361.6500000004</v>
      </c>
      <c r="N757" s="235">
        <f t="shared" si="57"/>
        <v>0</v>
      </c>
      <c r="O757" s="35" t="s">
        <v>3327</v>
      </c>
      <c r="P757" s="35"/>
      <c r="Q757" s="39">
        <f>SUMIF('Antelope Bailey Split BA'!$B$7:$B$29,B757,'Antelope Bailey Split BA'!$C$7:$C$29)</f>
        <v>0</v>
      </c>
      <c r="R757" s="39" t="str">
        <f>IF(AND(Q757=1,'Plant Total by Account'!$J$1=2),"EKWRA","")</f>
        <v/>
      </c>
    </row>
    <row r="758" spans="1:18" x14ac:dyDescent="0.2">
      <c r="A758" s="31" t="s">
        <v>3230</v>
      </c>
      <c r="B758" s="97" t="s">
        <v>884</v>
      </c>
      <c r="C758" s="504" t="s">
        <v>3352</v>
      </c>
      <c r="D758" s="42">
        <v>878.58</v>
      </c>
      <c r="E758" s="42">
        <v>8846.39</v>
      </c>
      <c r="F758" s="42">
        <v>352788.64</v>
      </c>
      <c r="G758" s="581">
        <f t="shared" si="56"/>
        <v>362513.61</v>
      </c>
      <c r="H758" s="33">
        <v>0</v>
      </c>
      <c r="I758" s="33">
        <v>0</v>
      </c>
      <c r="J758" s="33">
        <v>0</v>
      </c>
      <c r="K758" s="33">
        <f t="shared" si="58"/>
        <v>878.58</v>
      </c>
      <c r="L758" s="33">
        <f t="shared" si="59"/>
        <v>8846.39</v>
      </c>
      <c r="M758" s="33">
        <f t="shared" si="60"/>
        <v>352788.64</v>
      </c>
      <c r="N758" s="235">
        <f t="shared" si="57"/>
        <v>0</v>
      </c>
      <c r="O758" s="35" t="s">
        <v>3327</v>
      </c>
      <c r="P758" s="35"/>
      <c r="Q758" s="39">
        <f>SUMIF('Antelope Bailey Split BA'!$B$7:$B$29,B758,'Antelope Bailey Split BA'!$C$7:$C$29)</f>
        <v>0</v>
      </c>
      <c r="R758" s="39" t="str">
        <f>IF(AND(Q758=1,'Plant Total by Account'!$J$1=2),"EKWRA","")</f>
        <v/>
      </c>
    </row>
    <row r="759" spans="1:18" x14ac:dyDescent="0.2">
      <c r="A759" s="31" t="s">
        <v>3231</v>
      </c>
      <c r="B759" s="35" t="s">
        <v>885</v>
      </c>
      <c r="C759" s="504" t="s">
        <v>3352</v>
      </c>
      <c r="D759" s="42">
        <v>492.39</v>
      </c>
      <c r="E759" s="42">
        <v>19648.75</v>
      </c>
      <c r="F759" s="42">
        <v>569152.24999999988</v>
      </c>
      <c r="G759" s="581">
        <f t="shared" si="56"/>
        <v>589293.3899999999</v>
      </c>
      <c r="H759" s="33">
        <v>0</v>
      </c>
      <c r="I759" s="33">
        <v>0</v>
      </c>
      <c r="J759" s="33">
        <v>0</v>
      </c>
      <c r="K759" s="33">
        <f t="shared" si="58"/>
        <v>492.39</v>
      </c>
      <c r="L759" s="33">
        <f t="shared" si="59"/>
        <v>19648.75</v>
      </c>
      <c r="M759" s="33">
        <f t="shared" si="60"/>
        <v>569152.24999999988</v>
      </c>
      <c r="N759" s="235">
        <f t="shared" si="57"/>
        <v>0</v>
      </c>
      <c r="O759" s="35" t="s">
        <v>3327</v>
      </c>
      <c r="P759" s="35"/>
      <c r="Q759" s="39">
        <f>SUMIF('Antelope Bailey Split BA'!$B$7:$B$29,B759,'Antelope Bailey Split BA'!$C$7:$C$29)</f>
        <v>0</v>
      </c>
      <c r="R759" s="39" t="str">
        <f>IF(AND(Q759=1,'Plant Total by Account'!$J$1=2),"EKWRA","")</f>
        <v/>
      </c>
    </row>
    <row r="760" spans="1:18" x14ac:dyDescent="0.2">
      <c r="A760" s="31" t="s">
        <v>2575</v>
      </c>
      <c r="B760" s="32" t="s">
        <v>886</v>
      </c>
      <c r="C760" s="504" t="s">
        <v>3352</v>
      </c>
      <c r="D760" s="42">
        <v>626.39</v>
      </c>
      <c r="E760" s="42">
        <v>277.75</v>
      </c>
      <c r="F760" s="42">
        <v>335831.28</v>
      </c>
      <c r="G760" s="581">
        <f t="shared" si="56"/>
        <v>336735.42000000004</v>
      </c>
      <c r="H760" s="33">
        <v>0</v>
      </c>
      <c r="I760" s="33">
        <v>0</v>
      </c>
      <c r="J760" s="33">
        <v>0</v>
      </c>
      <c r="K760" s="33">
        <f t="shared" si="58"/>
        <v>626.39</v>
      </c>
      <c r="L760" s="33">
        <f t="shared" si="59"/>
        <v>277.75</v>
      </c>
      <c r="M760" s="33">
        <f t="shared" si="60"/>
        <v>335831.28</v>
      </c>
      <c r="N760" s="235">
        <f t="shared" si="57"/>
        <v>0</v>
      </c>
      <c r="O760" s="35" t="s">
        <v>3327</v>
      </c>
      <c r="P760" s="35"/>
      <c r="Q760" s="39">
        <f>SUMIF('Antelope Bailey Split BA'!$B$7:$B$29,B760,'Antelope Bailey Split BA'!$C$7:$C$29)</f>
        <v>0</v>
      </c>
      <c r="R760" s="39" t="str">
        <f>IF(AND(Q760=1,'Plant Total by Account'!$J$1=2),"EKWRA","")</f>
        <v/>
      </c>
    </row>
    <row r="761" spans="1:18" x14ac:dyDescent="0.2">
      <c r="A761" s="31" t="s">
        <v>3232</v>
      </c>
      <c r="B761" s="36" t="s">
        <v>887</v>
      </c>
      <c r="C761" s="504" t="s">
        <v>3352</v>
      </c>
      <c r="D761" s="42">
        <v>0</v>
      </c>
      <c r="E761" s="42">
        <v>5148.4900000000007</v>
      </c>
      <c r="F761" s="42">
        <v>353019.2</v>
      </c>
      <c r="G761" s="581">
        <f t="shared" si="56"/>
        <v>358167.69</v>
      </c>
      <c r="H761" s="33">
        <v>0</v>
      </c>
      <c r="I761" s="33">
        <v>0</v>
      </c>
      <c r="J761" s="33">
        <v>0</v>
      </c>
      <c r="K761" s="33">
        <f t="shared" si="58"/>
        <v>0</v>
      </c>
      <c r="L761" s="33">
        <f t="shared" si="59"/>
        <v>5148.4900000000007</v>
      </c>
      <c r="M761" s="33">
        <f t="shared" si="60"/>
        <v>353019.2</v>
      </c>
      <c r="N761" s="235">
        <f t="shared" si="57"/>
        <v>0</v>
      </c>
      <c r="O761" s="35" t="s">
        <v>3327</v>
      </c>
      <c r="P761" s="35"/>
      <c r="Q761" s="39">
        <f>SUMIF('Antelope Bailey Split BA'!$B$7:$B$29,B761,'Antelope Bailey Split BA'!$C$7:$C$29)</f>
        <v>0</v>
      </c>
      <c r="R761" s="39" t="str">
        <f>IF(AND(Q761=1,'Plant Total by Account'!$J$1=2),"EKWRA","")</f>
        <v/>
      </c>
    </row>
    <row r="762" spans="1:18" x14ac:dyDescent="0.2">
      <c r="A762" s="31" t="s">
        <v>2576</v>
      </c>
      <c r="B762" s="36" t="s">
        <v>888</v>
      </c>
      <c r="C762" s="504" t="s">
        <v>3352</v>
      </c>
      <c r="D762" s="42">
        <v>47783.43</v>
      </c>
      <c r="E762" s="42">
        <v>47640.5</v>
      </c>
      <c r="F762" s="42">
        <v>1012700.6400000001</v>
      </c>
      <c r="G762" s="581">
        <f t="shared" si="56"/>
        <v>1108124.57</v>
      </c>
      <c r="H762" s="33">
        <v>0</v>
      </c>
      <c r="I762" s="33">
        <v>0</v>
      </c>
      <c r="J762" s="33">
        <v>0</v>
      </c>
      <c r="K762" s="33">
        <f t="shared" si="58"/>
        <v>47783.43</v>
      </c>
      <c r="L762" s="33">
        <f t="shared" si="59"/>
        <v>47640.5</v>
      </c>
      <c r="M762" s="33">
        <f t="shared" si="60"/>
        <v>1012700.6400000001</v>
      </c>
      <c r="N762" s="235">
        <f t="shared" si="57"/>
        <v>0</v>
      </c>
      <c r="O762" s="35" t="s">
        <v>3327</v>
      </c>
      <c r="P762" s="35"/>
      <c r="Q762" s="39">
        <f>SUMIF('Antelope Bailey Split BA'!$B$7:$B$29,B762,'Antelope Bailey Split BA'!$C$7:$C$29)</f>
        <v>0</v>
      </c>
      <c r="R762" s="39" t="str">
        <f>IF(AND(Q762=1,'Plant Total by Account'!$J$1=2),"EKWRA","")</f>
        <v/>
      </c>
    </row>
    <row r="763" spans="1:18" x14ac:dyDescent="0.2">
      <c r="A763" s="31" t="s">
        <v>3233</v>
      </c>
      <c r="B763" s="36" t="s">
        <v>889</v>
      </c>
      <c r="C763" s="504" t="s">
        <v>3352</v>
      </c>
      <c r="D763" s="42">
        <v>791.84</v>
      </c>
      <c r="E763" s="42">
        <v>161620.36000000002</v>
      </c>
      <c r="F763" s="42">
        <v>3504223.97</v>
      </c>
      <c r="G763" s="581">
        <f t="shared" si="56"/>
        <v>3666636.1700000004</v>
      </c>
      <c r="H763" s="33">
        <v>0</v>
      </c>
      <c r="I763" s="33">
        <v>0</v>
      </c>
      <c r="J763" s="33">
        <v>0</v>
      </c>
      <c r="K763" s="33">
        <f t="shared" si="58"/>
        <v>791.84</v>
      </c>
      <c r="L763" s="33">
        <f t="shared" si="59"/>
        <v>161620.36000000002</v>
      </c>
      <c r="M763" s="33">
        <f t="shared" si="60"/>
        <v>3504223.97</v>
      </c>
      <c r="N763" s="235">
        <f t="shared" si="57"/>
        <v>0</v>
      </c>
      <c r="O763" s="35" t="s">
        <v>3327</v>
      </c>
      <c r="P763" s="35"/>
      <c r="Q763" s="39">
        <f>SUMIF('Antelope Bailey Split BA'!$B$7:$B$29,B763,'Antelope Bailey Split BA'!$C$7:$C$29)</f>
        <v>0</v>
      </c>
      <c r="R763" s="39" t="str">
        <f>IF(AND(Q763=1,'Plant Total by Account'!$J$1=2),"EKWRA","")</f>
        <v/>
      </c>
    </row>
    <row r="764" spans="1:18" x14ac:dyDescent="0.2">
      <c r="A764" s="31" t="s">
        <v>3234</v>
      </c>
      <c r="B764" s="36" t="s">
        <v>890</v>
      </c>
      <c r="C764" s="504" t="s">
        <v>3352</v>
      </c>
      <c r="D764" s="42">
        <v>0</v>
      </c>
      <c r="E764" s="42">
        <v>0</v>
      </c>
      <c r="F764" s="42">
        <v>97299.89</v>
      </c>
      <c r="G764" s="581">
        <f t="shared" si="56"/>
        <v>97299.89</v>
      </c>
      <c r="H764" s="33">
        <v>0</v>
      </c>
      <c r="I764" s="33">
        <v>0</v>
      </c>
      <c r="J764" s="33">
        <v>0</v>
      </c>
      <c r="K764" s="33">
        <f t="shared" si="58"/>
        <v>0</v>
      </c>
      <c r="L764" s="33">
        <f t="shared" si="59"/>
        <v>0</v>
      </c>
      <c r="M764" s="33">
        <f t="shared" si="60"/>
        <v>97299.89</v>
      </c>
      <c r="N764" s="235">
        <f t="shared" si="57"/>
        <v>0</v>
      </c>
      <c r="O764" s="35" t="s">
        <v>3327</v>
      </c>
      <c r="P764" s="35"/>
      <c r="Q764" s="39">
        <f>SUMIF('Antelope Bailey Split BA'!$B$7:$B$29,B764,'Antelope Bailey Split BA'!$C$7:$C$29)</f>
        <v>0</v>
      </c>
      <c r="R764" s="39" t="str">
        <f>IF(AND(Q764=1,'Plant Total by Account'!$J$1=2),"EKWRA","")</f>
        <v/>
      </c>
    </row>
    <row r="765" spans="1:18" x14ac:dyDescent="0.2">
      <c r="A765" s="31" t="s">
        <v>3235</v>
      </c>
      <c r="B765" s="36" t="s">
        <v>891</v>
      </c>
      <c r="C765" s="504" t="s">
        <v>3352</v>
      </c>
      <c r="D765" s="42">
        <v>19369.740000000002</v>
      </c>
      <c r="E765" s="42">
        <v>76655.34</v>
      </c>
      <c r="F765" s="42">
        <v>1418139.9800000002</v>
      </c>
      <c r="G765" s="581">
        <f t="shared" si="56"/>
        <v>1514165.0600000003</v>
      </c>
      <c r="H765" s="33">
        <v>0</v>
      </c>
      <c r="I765" s="33">
        <v>0</v>
      </c>
      <c r="J765" s="33">
        <v>0</v>
      </c>
      <c r="K765" s="33">
        <f t="shared" si="58"/>
        <v>19369.740000000002</v>
      </c>
      <c r="L765" s="33">
        <f t="shared" si="59"/>
        <v>76655.34</v>
      </c>
      <c r="M765" s="33">
        <f t="shared" si="60"/>
        <v>1418139.9800000002</v>
      </c>
      <c r="N765" s="235">
        <f t="shared" si="57"/>
        <v>0</v>
      </c>
      <c r="O765" s="35" t="s">
        <v>3327</v>
      </c>
      <c r="P765" s="35"/>
      <c r="Q765" s="39">
        <f>SUMIF('Antelope Bailey Split BA'!$B$7:$B$29,B765,'Antelope Bailey Split BA'!$C$7:$C$29)</f>
        <v>0</v>
      </c>
      <c r="R765" s="39" t="str">
        <f>IF(AND(Q765=1,'Plant Total by Account'!$J$1=2),"EKWRA","")</f>
        <v/>
      </c>
    </row>
    <row r="766" spans="1:18" x14ac:dyDescent="0.2">
      <c r="A766" s="31" t="s">
        <v>2577</v>
      </c>
      <c r="B766" s="36" t="s">
        <v>897</v>
      </c>
      <c r="C766" s="504" t="s">
        <v>3352</v>
      </c>
      <c r="D766" s="42">
        <v>5113.45</v>
      </c>
      <c r="E766" s="42">
        <v>18375.66</v>
      </c>
      <c r="F766" s="42">
        <v>2598343.6099999994</v>
      </c>
      <c r="G766" s="581">
        <f t="shared" si="56"/>
        <v>2621832.7199999993</v>
      </c>
      <c r="H766" s="33">
        <v>0</v>
      </c>
      <c r="I766" s="33">
        <v>0</v>
      </c>
      <c r="J766" s="33">
        <v>0</v>
      </c>
      <c r="K766" s="33">
        <f t="shared" si="58"/>
        <v>5113.45</v>
      </c>
      <c r="L766" s="33">
        <f t="shared" si="59"/>
        <v>18375.66</v>
      </c>
      <c r="M766" s="33">
        <f t="shared" si="60"/>
        <v>2598343.6099999994</v>
      </c>
      <c r="N766" s="235">
        <f t="shared" si="57"/>
        <v>0</v>
      </c>
      <c r="O766" s="35" t="s">
        <v>3327</v>
      </c>
      <c r="P766" s="35"/>
      <c r="Q766" s="39">
        <f>SUMIF('Antelope Bailey Split BA'!$B$7:$B$29,B766,'Antelope Bailey Split BA'!$C$7:$C$29)</f>
        <v>0</v>
      </c>
      <c r="R766" s="39" t="str">
        <f>IF(AND(Q766=1,'Plant Total by Account'!$J$1=2),"EKWRA","")</f>
        <v/>
      </c>
    </row>
    <row r="767" spans="1:18" x14ac:dyDescent="0.2">
      <c r="A767" s="31" t="s">
        <v>3236</v>
      </c>
      <c r="B767" s="36" t="s">
        <v>898</v>
      </c>
      <c r="C767" s="504" t="s">
        <v>3352</v>
      </c>
      <c r="D767" s="42">
        <v>541.76</v>
      </c>
      <c r="E767" s="42">
        <v>0</v>
      </c>
      <c r="F767" s="42">
        <v>0</v>
      </c>
      <c r="G767" s="581">
        <f t="shared" si="56"/>
        <v>541.76</v>
      </c>
      <c r="H767" s="33">
        <v>0</v>
      </c>
      <c r="I767" s="33">
        <v>0</v>
      </c>
      <c r="J767" s="33">
        <v>0</v>
      </c>
      <c r="K767" s="33">
        <f t="shared" si="58"/>
        <v>541.76</v>
      </c>
      <c r="L767" s="33">
        <f t="shared" si="59"/>
        <v>0</v>
      </c>
      <c r="M767" s="33">
        <f t="shared" si="60"/>
        <v>0</v>
      </c>
      <c r="N767" s="235">
        <f t="shared" si="57"/>
        <v>0</v>
      </c>
      <c r="O767" s="35" t="s">
        <v>3327</v>
      </c>
      <c r="P767" s="35"/>
      <c r="Q767" s="39">
        <f>SUMIF('Antelope Bailey Split BA'!$B$7:$B$29,B767,'Antelope Bailey Split BA'!$C$7:$C$29)</f>
        <v>0</v>
      </c>
      <c r="R767" s="39" t="str">
        <f>IF(AND(Q767=1,'Plant Total by Account'!$J$1=2),"EKWRA","")</f>
        <v/>
      </c>
    </row>
    <row r="768" spans="1:18" x14ac:dyDescent="0.2">
      <c r="A768" s="31" t="s">
        <v>2578</v>
      </c>
      <c r="B768" s="97" t="s">
        <v>899</v>
      </c>
      <c r="C768" s="504" t="s">
        <v>3352</v>
      </c>
      <c r="D768" s="42">
        <v>18851.23</v>
      </c>
      <c r="E768" s="42">
        <v>171144.01</v>
      </c>
      <c r="F768" s="42">
        <v>1659224.5599999994</v>
      </c>
      <c r="G768" s="581">
        <f t="shared" si="56"/>
        <v>1849219.7999999993</v>
      </c>
      <c r="H768" s="33">
        <v>0</v>
      </c>
      <c r="I768" s="33">
        <v>0</v>
      </c>
      <c r="J768" s="33">
        <v>0</v>
      </c>
      <c r="K768" s="33">
        <f t="shared" si="58"/>
        <v>18851.23</v>
      </c>
      <c r="L768" s="33">
        <f t="shared" si="59"/>
        <v>171144.01</v>
      </c>
      <c r="M768" s="33">
        <f t="shared" si="60"/>
        <v>1659224.5599999994</v>
      </c>
      <c r="N768" s="235">
        <f t="shared" si="57"/>
        <v>0</v>
      </c>
      <c r="O768" s="35" t="s">
        <v>3327</v>
      </c>
      <c r="P768" s="35"/>
      <c r="Q768" s="39">
        <f>SUMIF('Antelope Bailey Split BA'!$B$7:$B$29,B768,'Antelope Bailey Split BA'!$C$7:$C$29)</f>
        <v>0</v>
      </c>
      <c r="R768" s="39" t="str">
        <f>IF(AND(Q768=1,'Plant Total by Account'!$J$1=2),"EKWRA","")</f>
        <v/>
      </c>
    </row>
    <row r="769" spans="1:18" x14ac:dyDescent="0.2">
      <c r="A769" s="31" t="s">
        <v>2579</v>
      </c>
      <c r="B769" s="36" t="s">
        <v>900</v>
      </c>
      <c r="C769" s="504" t="s">
        <v>3352</v>
      </c>
      <c r="D769" s="42">
        <v>1321.59</v>
      </c>
      <c r="E769" s="42">
        <v>10701.630000000001</v>
      </c>
      <c r="F769" s="42">
        <v>275604.84000000003</v>
      </c>
      <c r="G769" s="581">
        <f t="shared" si="56"/>
        <v>287628.06000000006</v>
      </c>
      <c r="H769" s="33">
        <v>0</v>
      </c>
      <c r="I769" s="33">
        <v>0</v>
      </c>
      <c r="J769" s="33">
        <v>0</v>
      </c>
      <c r="K769" s="33">
        <f t="shared" si="58"/>
        <v>1321.59</v>
      </c>
      <c r="L769" s="33">
        <f t="shared" si="59"/>
        <v>10701.630000000001</v>
      </c>
      <c r="M769" s="33">
        <f t="shared" si="60"/>
        <v>275604.84000000003</v>
      </c>
      <c r="N769" s="235">
        <f t="shared" si="57"/>
        <v>0</v>
      </c>
      <c r="O769" s="35" t="s">
        <v>3327</v>
      </c>
      <c r="P769" s="35"/>
      <c r="Q769" s="39">
        <f>SUMIF('Antelope Bailey Split BA'!$B$7:$B$29,B769,'Antelope Bailey Split BA'!$C$7:$C$29)</f>
        <v>0</v>
      </c>
      <c r="R769" s="39" t="str">
        <f>IF(AND(Q769=1,'Plant Total by Account'!$J$1=2),"EKWRA","")</f>
        <v/>
      </c>
    </row>
    <row r="770" spans="1:18" x14ac:dyDescent="0.2">
      <c r="A770" s="31" t="s">
        <v>2580</v>
      </c>
      <c r="B770" s="36" t="s">
        <v>901</v>
      </c>
      <c r="C770" s="504" t="s">
        <v>3352</v>
      </c>
      <c r="D770" s="42">
        <v>1642.02</v>
      </c>
      <c r="E770" s="42">
        <v>14557.04</v>
      </c>
      <c r="F770" s="42">
        <v>361901.52</v>
      </c>
      <c r="G770" s="581">
        <f t="shared" si="56"/>
        <v>378100.58</v>
      </c>
      <c r="H770" s="33">
        <v>0</v>
      </c>
      <c r="I770" s="33">
        <v>0</v>
      </c>
      <c r="J770" s="33">
        <v>0</v>
      </c>
      <c r="K770" s="33">
        <f t="shared" si="58"/>
        <v>1642.02</v>
      </c>
      <c r="L770" s="33">
        <f t="shared" si="59"/>
        <v>14557.04</v>
      </c>
      <c r="M770" s="33">
        <f t="shared" si="60"/>
        <v>361901.52</v>
      </c>
      <c r="N770" s="235">
        <f t="shared" si="57"/>
        <v>0</v>
      </c>
      <c r="O770" s="35" t="s">
        <v>3327</v>
      </c>
      <c r="P770" s="35"/>
      <c r="Q770" s="39">
        <f>SUMIF('Antelope Bailey Split BA'!$B$7:$B$29,B770,'Antelope Bailey Split BA'!$C$7:$C$29)</f>
        <v>0</v>
      </c>
      <c r="R770" s="39" t="str">
        <f>IF(AND(Q770=1,'Plant Total by Account'!$J$1=2),"EKWRA","")</f>
        <v/>
      </c>
    </row>
    <row r="771" spans="1:18" x14ac:dyDescent="0.2">
      <c r="A771" s="31" t="s">
        <v>3237</v>
      </c>
      <c r="B771" s="36" t="s">
        <v>902</v>
      </c>
      <c r="C771" s="504" t="s">
        <v>3352</v>
      </c>
      <c r="D771" s="42">
        <v>14356.130000000001</v>
      </c>
      <c r="E771" s="42">
        <v>16380.900000000001</v>
      </c>
      <c r="F771" s="42">
        <v>544296.75000000012</v>
      </c>
      <c r="G771" s="581">
        <f t="shared" si="56"/>
        <v>575033.78000000014</v>
      </c>
      <c r="H771" s="33">
        <v>0</v>
      </c>
      <c r="I771" s="33">
        <v>0</v>
      </c>
      <c r="J771" s="33">
        <v>0</v>
      </c>
      <c r="K771" s="33">
        <f t="shared" si="58"/>
        <v>14356.130000000001</v>
      </c>
      <c r="L771" s="33">
        <f t="shared" si="59"/>
        <v>16380.900000000001</v>
      </c>
      <c r="M771" s="33">
        <f t="shared" si="60"/>
        <v>544296.75000000012</v>
      </c>
      <c r="N771" s="235">
        <f t="shared" si="57"/>
        <v>0</v>
      </c>
      <c r="O771" s="35" t="s">
        <v>3327</v>
      </c>
      <c r="P771" s="35"/>
      <c r="Q771" s="39">
        <f>SUMIF('Antelope Bailey Split BA'!$B$7:$B$29,B771,'Antelope Bailey Split BA'!$C$7:$C$29)</f>
        <v>0</v>
      </c>
      <c r="R771" s="39" t="str">
        <f>IF(AND(Q771=1,'Plant Total by Account'!$J$1=2),"EKWRA","")</f>
        <v/>
      </c>
    </row>
    <row r="772" spans="1:18" x14ac:dyDescent="0.2">
      <c r="A772" s="31" t="s">
        <v>3238</v>
      </c>
      <c r="B772" s="36" t="s">
        <v>903</v>
      </c>
      <c r="C772" s="504" t="s">
        <v>3352</v>
      </c>
      <c r="D772" s="42">
        <v>0</v>
      </c>
      <c r="E772" s="42">
        <v>35510.74</v>
      </c>
      <c r="F772" s="42">
        <v>1596119.4100000004</v>
      </c>
      <c r="G772" s="581">
        <f t="shared" si="56"/>
        <v>1631630.1500000004</v>
      </c>
      <c r="H772" s="33">
        <v>0</v>
      </c>
      <c r="I772" s="33">
        <v>0</v>
      </c>
      <c r="J772" s="33">
        <v>0</v>
      </c>
      <c r="K772" s="33">
        <f t="shared" si="58"/>
        <v>0</v>
      </c>
      <c r="L772" s="33">
        <f t="shared" si="59"/>
        <v>35510.74</v>
      </c>
      <c r="M772" s="33">
        <f t="shared" si="60"/>
        <v>1596119.4100000004</v>
      </c>
      <c r="N772" s="235">
        <f t="shared" si="57"/>
        <v>0</v>
      </c>
      <c r="O772" s="35" t="s">
        <v>3327</v>
      </c>
      <c r="P772" s="35"/>
      <c r="Q772" s="39">
        <f>SUMIF('Antelope Bailey Split BA'!$B$7:$B$29,B772,'Antelope Bailey Split BA'!$C$7:$C$29)</f>
        <v>0</v>
      </c>
      <c r="R772" s="39" t="str">
        <f>IF(AND(Q772=1,'Plant Total by Account'!$J$1=2),"EKWRA","")</f>
        <v/>
      </c>
    </row>
    <row r="773" spans="1:18" x14ac:dyDescent="0.2">
      <c r="A773" s="31" t="s">
        <v>3239</v>
      </c>
      <c r="B773" s="36" t="s">
        <v>904</v>
      </c>
      <c r="C773" s="504" t="s">
        <v>3352</v>
      </c>
      <c r="D773" s="42">
        <v>7369.71</v>
      </c>
      <c r="E773" s="42">
        <v>4830.6200000000008</v>
      </c>
      <c r="F773" s="42">
        <v>507532.71000000008</v>
      </c>
      <c r="G773" s="581">
        <f t="shared" si="56"/>
        <v>519733.0400000001</v>
      </c>
      <c r="H773" s="33">
        <v>0</v>
      </c>
      <c r="I773" s="33">
        <v>0</v>
      </c>
      <c r="J773" s="33">
        <v>0</v>
      </c>
      <c r="K773" s="33">
        <f t="shared" si="58"/>
        <v>7369.71</v>
      </c>
      <c r="L773" s="33">
        <f t="shared" si="59"/>
        <v>4830.6200000000008</v>
      </c>
      <c r="M773" s="33">
        <f t="shared" si="60"/>
        <v>507532.71000000008</v>
      </c>
      <c r="N773" s="235">
        <f t="shared" si="57"/>
        <v>0</v>
      </c>
      <c r="O773" s="35" t="s">
        <v>3327</v>
      </c>
      <c r="P773" s="35"/>
      <c r="Q773" s="39">
        <f>SUMIF('Antelope Bailey Split BA'!$B$7:$B$29,B773,'Antelope Bailey Split BA'!$C$7:$C$29)</f>
        <v>0</v>
      </c>
      <c r="R773" s="39" t="str">
        <f>IF(AND(Q773=1,'Plant Total by Account'!$J$1=2),"EKWRA","")</f>
        <v/>
      </c>
    </row>
    <row r="774" spans="1:18" x14ac:dyDescent="0.2">
      <c r="A774" s="31" t="s">
        <v>2581</v>
      </c>
      <c r="B774" s="36" t="s">
        <v>905</v>
      </c>
      <c r="C774" s="504" t="s">
        <v>3352</v>
      </c>
      <c r="D774" s="42">
        <v>1500.67</v>
      </c>
      <c r="E774" s="42">
        <v>5387617.3699999992</v>
      </c>
      <c r="F774" s="42">
        <v>370045.19</v>
      </c>
      <c r="G774" s="581">
        <f t="shared" si="56"/>
        <v>5759163.2299999995</v>
      </c>
      <c r="H774" s="33">
        <v>0</v>
      </c>
      <c r="I774" s="33">
        <v>0</v>
      </c>
      <c r="J774" s="33">
        <v>0</v>
      </c>
      <c r="K774" s="33">
        <f t="shared" si="58"/>
        <v>1500.67</v>
      </c>
      <c r="L774" s="33">
        <f t="shared" si="59"/>
        <v>5387617.3699999992</v>
      </c>
      <c r="M774" s="33">
        <f t="shared" si="60"/>
        <v>370045.19</v>
      </c>
      <c r="N774" s="235">
        <f t="shared" si="57"/>
        <v>0</v>
      </c>
      <c r="O774" s="35" t="s">
        <v>3327</v>
      </c>
      <c r="P774" s="35"/>
      <c r="Q774" s="39">
        <f>SUMIF('Antelope Bailey Split BA'!$B$7:$B$29,B774,'Antelope Bailey Split BA'!$C$7:$C$29)</f>
        <v>0</v>
      </c>
      <c r="R774" s="39" t="str">
        <f>IF(AND(Q774=1,'Plant Total by Account'!$J$1=2),"EKWRA","")</f>
        <v/>
      </c>
    </row>
    <row r="775" spans="1:18" x14ac:dyDescent="0.2">
      <c r="A775" s="31" t="s">
        <v>3240</v>
      </c>
      <c r="B775" s="36" t="s">
        <v>906</v>
      </c>
      <c r="C775" s="504" t="s">
        <v>3352</v>
      </c>
      <c r="D775" s="42">
        <v>1404.49</v>
      </c>
      <c r="E775" s="42">
        <v>11388.67</v>
      </c>
      <c r="F775" s="42">
        <v>285037.62</v>
      </c>
      <c r="G775" s="581">
        <f t="shared" si="56"/>
        <v>297830.77999999997</v>
      </c>
      <c r="H775" s="33">
        <v>0</v>
      </c>
      <c r="I775" s="33">
        <v>0</v>
      </c>
      <c r="J775" s="33">
        <v>0</v>
      </c>
      <c r="K775" s="33">
        <f t="shared" si="58"/>
        <v>1404.49</v>
      </c>
      <c r="L775" s="33">
        <f t="shared" si="59"/>
        <v>11388.67</v>
      </c>
      <c r="M775" s="33">
        <f t="shared" si="60"/>
        <v>285037.62</v>
      </c>
      <c r="N775" s="235">
        <f t="shared" si="57"/>
        <v>0</v>
      </c>
      <c r="O775" s="35" t="s">
        <v>3327</v>
      </c>
      <c r="P775" s="35"/>
      <c r="Q775" s="39">
        <f>SUMIF('Antelope Bailey Split BA'!$B$7:$B$29,B775,'Antelope Bailey Split BA'!$C$7:$C$29)</f>
        <v>0</v>
      </c>
      <c r="R775" s="39" t="str">
        <f>IF(AND(Q775=1,'Plant Total by Account'!$J$1=2),"EKWRA","")</f>
        <v/>
      </c>
    </row>
    <row r="776" spans="1:18" x14ac:dyDescent="0.2">
      <c r="A776" s="31" t="s">
        <v>3241</v>
      </c>
      <c r="B776" s="36" t="s">
        <v>907</v>
      </c>
      <c r="C776" s="504" t="s">
        <v>3352</v>
      </c>
      <c r="D776" s="42">
        <v>6198.17</v>
      </c>
      <c r="E776" s="42">
        <v>48973.22</v>
      </c>
      <c r="F776" s="42">
        <v>1856256.2500000005</v>
      </c>
      <c r="G776" s="581">
        <f t="shared" si="56"/>
        <v>1911427.6400000004</v>
      </c>
      <c r="H776" s="33">
        <v>0</v>
      </c>
      <c r="I776" s="33">
        <v>0</v>
      </c>
      <c r="J776" s="33">
        <v>0</v>
      </c>
      <c r="K776" s="33">
        <f t="shared" si="58"/>
        <v>6198.17</v>
      </c>
      <c r="L776" s="33">
        <f t="shared" si="59"/>
        <v>48973.22</v>
      </c>
      <c r="M776" s="33">
        <f t="shared" si="60"/>
        <v>1856256.2500000005</v>
      </c>
      <c r="N776" s="235">
        <f t="shared" si="57"/>
        <v>0</v>
      </c>
      <c r="O776" s="35" t="s">
        <v>3327</v>
      </c>
      <c r="P776" s="35"/>
      <c r="Q776" s="39">
        <f>SUMIF('Antelope Bailey Split BA'!$B$7:$B$29,B776,'Antelope Bailey Split BA'!$C$7:$C$29)</f>
        <v>0</v>
      </c>
      <c r="R776" s="39" t="str">
        <f>IF(AND(Q776=1,'Plant Total by Account'!$J$1=2),"EKWRA","")</f>
        <v/>
      </c>
    </row>
    <row r="777" spans="1:18" x14ac:dyDescent="0.2">
      <c r="A777" s="31" t="s">
        <v>3242</v>
      </c>
      <c r="B777" s="36" t="s">
        <v>908</v>
      </c>
      <c r="C777" s="504" t="s">
        <v>3352</v>
      </c>
      <c r="D777" s="42">
        <v>7366.87</v>
      </c>
      <c r="E777" s="42">
        <v>29035.35</v>
      </c>
      <c r="F777" s="42">
        <v>1601576.58</v>
      </c>
      <c r="G777" s="581">
        <f t="shared" si="56"/>
        <v>1637978.8</v>
      </c>
      <c r="H777" s="33">
        <v>0</v>
      </c>
      <c r="I777" s="33">
        <v>0</v>
      </c>
      <c r="J777" s="33">
        <v>0</v>
      </c>
      <c r="K777" s="33">
        <f t="shared" si="58"/>
        <v>7366.87</v>
      </c>
      <c r="L777" s="33">
        <f t="shared" si="59"/>
        <v>29035.35</v>
      </c>
      <c r="M777" s="33">
        <f t="shared" si="60"/>
        <v>1601576.58</v>
      </c>
      <c r="N777" s="235">
        <f t="shared" si="57"/>
        <v>0</v>
      </c>
      <c r="O777" s="35" t="s">
        <v>3327</v>
      </c>
      <c r="P777" s="35"/>
      <c r="Q777" s="39">
        <f>SUMIF('Antelope Bailey Split BA'!$B$7:$B$29,B777,'Antelope Bailey Split BA'!$C$7:$C$29)</f>
        <v>0</v>
      </c>
      <c r="R777" s="39" t="str">
        <f>IF(AND(Q777=1,'Plant Total by Account'!$J$1=2),"EKWRA","")</f>
        <v/>
      </c>
    </row>
    <row r="778" spans="1:18" x14ac:dyDescent="0.2">
      <c r="A778" s="31" t="s">
        <v>2582</v>
      </c>
      <c r="B778" s="36" t="s">
        <v>909</v>
      </c>
      <c r="C778" s="504" t="s">
        <v>3352</v>
      </c>
      <c r="D778" s="42">
        <v>0</v>
      </c>
      <c r="E778" s="42">
        <v>4042.87</v>
      </c>
      <c r="F778" s="42">
        <v>3378.6</v>
      </c>
      <c r="G778" s="581">
        <f t="shared" si="56"/>
        <v>7421.4699999999993</v>
      </c>
      <c r="H778" s="33">
        <v>0</v>
      </c>
      <c r="I778" s="33">
        <v>0</v>
      </c>
      <c r="J778" s="33">
        <v>0</v>
      </c>
      <c r="K778" s="33">
        <f t="shared" si="58"/>
        <v>0</v>
      </c>
      <c r="L778" s="33">
        <f t="shared" si="59"/>
        <v>4042.87</v>
      </c>
      <c r="M778" s="33">
        <f t="shared" si="60"/>
        <v>3378.6</v>
      </c>
      <c r="N778" s="235">
        <f t="shared" si="57"/>
        <v>0</v>
      </c>
      <c r="O778" s="35" t="s">
        <v>3327</v>
      </c>
      <c r="P778" s="35"/>
      <c r="Q778" s="39">
        <f>SUMIF('Antelope Bailey Split BA'!$B$7:$B$29,B778,'Antelope Bailey Split BA'!$C$7:$C$29)</f>
        <v>0</v>
      </c>
      <c r="R778" s="39" t="str">
        <f>IF(AND(Q778=1,'Plant Total by Account'!$J$1=2),"EKWRA","")</f>
        <v/>
      </c>
    </row>
    <row r="779" spans="1:18" x14ac:dyDescent="0.2">
      <c r="A779" s="31" t="s">
        <v>3243</v>
      </c>
      <c r="B779" s="36" t="s">
        <v>910</v>
      </c>
      <c r="C779" s="504" t="s">
        <v>3352</v>
      </c>
      <c r="D779" s="42">
        <v>22641.760000000002</v>
      </c>
      <c r="E779" s="42">
        <v>7065.26</v>
      </c>
      <c r="F779" s="42">
        <v>542555.12</v>
      </c>
      <c r="G779" s="581">
        <f t="shared" ref="G779:G841" si="61">SUM(D779:F779)</f>
        <v>572262.14</v>
      </c>
      <c r="H779" s="33">
        <v>0</v>
      </c>
      <c r="I779" s="33">
        <v>0</v>
      </c>
      <c r="J779" s="33">
        <v>0</v>
      </c>
      <c r="K779" s="33">
        <f t="shared" si="58"/>
        <v>22641.760000000002</v>
      </c>
      <c r="L779" s="33">
        <f t="shared" si="59"/>
        <v>7065.26</v>
      </c>
      <c r="M779" s="33">
        <f t="shared" si="60"/>
        <v>542555.12</v>
      </c>
      <c r="N779" s="235">
        <f t="shared" ref="N779:N841" si="62">G779-SUM(H779:M779)</f>
        <v>0</v>
      </c>
      <c r="O779" s="35" t="s">
        <v>3327</v>
      </c>
      <c r="P779" s="35"/>
      <c r="Q779" s="39">
        <f>SUMIF('Antelope Bailey Split BA'!$B$7:$B$29,B779,'Antelope Bailey Split BA'!$C$7:$C$29)</f>
        <v>0</v>
      </c>
      <c r="R779" s="39" t="str">
        <f>IF(AND(Q779=1,'Plant Total by Account'!$J$1=2),"EKWRA","")</f>
        <v/>
      </c>
    </row>
    <row r="780" spans="1:18" x14ac:dyDescent="0.2">
      <c r="A780" s="31" t="s">
        <v>2583</v>
      </c>
      <c r="B780" s="36" t="s">
        <v>911</v>
      </c>
      <c r="C780" s="504" t="s">
        <v>3352</v>
      </c>
      <c r="D780" s="42">
        <v>38511.25</v>
      </c>
      <c r="E780" s="42">
        <v>2562.0300000000002</v>
      </c>
      <c r="F780" s="42">
        <v>64718.239999999998</v>
      </c>
      <c r="G780" s="581">
        <f t="shared" si="61"/>
        <v>105791.51999999999</v>
      </c>
      <c r="H780" s="33">
        <v>0</v>
      </c>
      <c r="I780" s="33">
        <v>0</v>
      </c>
      <c r="J780" s="33">
        <v>0</v>
      </c>
      <c r="K780" s="33">
        <f t="shared" si="58"/>
        <v>38511.25</v>
      </c>
      <c r="L780" s="33">
        <f t="shared" si="59"/>
        <v>2562.0300000000002</v>
      </c>
      <c r="M780" s="33">
        <f t="shared" si="60"/>
        <v>64718.239999999998</v>
      </c>
      <c r="N780" s="235">
        <f t="shared" si="62"/>
        <v>0</v>
      </c>
      <c r="O780" s="35" t="s">
        <v>3327</v>
      </c>
      <c r="P780" s="35"/>
      <c r="Q780" s="39">
        <f>SUMIF('Antelope Bailey Split BA'!$B$7:$B$29,B780,'Antelope Bailey Split BA'!$C$7:$C$29)</f>
        <v>0</v>
      </c>
      <c r="R780" s="39" t="str">
        <f>IF(AND(Q780=1,'Plant Total by Account'!$J$1=2),"EKWRA","")</f>
        <v/>
      </c>
    </row>
    <row r="781" spans="1:18" x14ac:dyDescent="0.2">
      <c r="A781" s="31" t="s">
        <v>3244</v>
      </c>
      <c r="B781" s="36" t="s">
        <v>912</v>
      </c>
      <c r="C781" s="504" t="s">
        <v>3352</v>
      </c>
      <c r="D781" s="42">
        <v>2201.4</v>
      </c>
      <c r="E781" s="42">
        <v>24756.86</v>
      </c>
      <c r="F781" s="42">
        <v>547022.67000000004</v>
      </c>
      <c r="G781" s="581">
        <f t="shared" si="61"/>
        <v>573980.93000000005</v>
      </c>
      <c r="H781" s="33">
        <v>0</v>
      </c>
      <c r="I781" s="33">
        <v>0</v>
      </c>
      <c r="J781" s="33">
        <v>0</v>
      </c>
      <c r="K781" s="33">
        <f t="shared" si="58"/>
        <v>2201.4</v>
      </c>
      <c r="L781" s="33">
        <f t="shared" si="59"/>
        <v>24756.86</v>
      </c>
      <c r="M781" s="33">
        <f t="shared" si="60"/>
        <v>547022.67000000004</v>
      </c>
      <c r="N781" s="235">
        <f t="shared" si="62"/>
        <v>0</v>
      </c>
      <c r="O781" s="35" t="s">
        <v>3327</v>
      </c>
      <c r="P781" s="35"/>
      <c r="Q781" s="39">
        <f>SUMIF('Antelope Bailey Split BA'!$B$7:$B$29,B781,'Antelope Bailey Split BA'!$C$7:$C$29)</f>
        <v>0</v>
      </c>
      <c r="R781" s="39" t="str">
        <f>IF(AND(Q781=1,'Plant Total by Account'!$J$1=2),"EKWRA","")</f>
        <v/>
      </c>
    </row>
    <row r="782" spans="1:18" x14ac:dyDescent="0.2">
      <c r="A782" s="31" t="s">
        <v>3245</v>
      </c>
      <c r="B782" s="36" t="s">
        <v>913</v>
      </c>
      <c r="C782" s="504" t="s">
        <v>3352</v>
      </c>
      <c r="D782" s="42">
        <v>0</v>
      </c>
      <c r="E782" s="42">
        <v>981.44</v>
      </c>
      <c r="F782" s="42">
        <v>104023.27</v>
      </c>
      <c r="G782" s="581">
        <f t="shared" si="61"/>
        <v>105004.71</v>
      </c>
      <c r="H782" s="33">
        <v>0</v>
      </c>
      <c r="I782" s="33">
        <v>0</v>
      </c>
      <c r="J782" s="33">
        <v>0</v>
      </c>
      <c r="K782" s="33">
        <f t="shared" si="58"/>
        <v>0</v>
      </c>
      <c r="L782" s="33">
        <f t="shared" si="59"/>
        <v>981.44</v>
      </c>
      <c r="M782" s="33">
        <f t="shared" si="60"/>
        <v>104023.27</v>
      </c>
      <c r="N782" s="235">
        <f t="shared" si="62"/>
        <v>0</v>
      </c>
      <c r="O782" s="35" t="s">
        <v>3327</v>
      </c>
      <c r="P782" s="35"/>
      <c r="Q782" s="39">
        <f>SUMIF('Antelope Bailey Split BA'!$B$7:$B$29,B782,'Antelope Bailey Split BA'!$C$7:$C$29)</f>
        <v>0</v>
      </c>
      <c r="R782" s="39" t="str">
        <f>IF(AND(Q782=1,'Plant Total by Account'!$J$1=2),"EKWRA","")</f>
        <v/>
      </c>
    </row>
    <row r="783" spans="1:18" x14ac:dyDescent="0.2">
      <c r="A783" s="31" t="s">
        <v>3246</v>
      </c>
      <c r="B783" s="36" t="s">
        <v>914</v>
      </c>
      <c r="C783" s="504" t="s">
        <v>3352</v>
      </c>
      <c r="D783" s="42">
        <v>729.35</v>
      </c>
      <c r="E783" s="42">
        <v>58832.83</v>
      </c>
      <c r="F783" s="42">
        <v>2103168.3400000003</v>
      </c>
      <c r="G783" s="581">
        <f t="shared" si="61"/>
        <v>2162730.5200000005</v>
      </c>
      <c r="H783" s="33">
        <v>0</v>
      </c>
      <c r="I783" s="33">
        <v>0</v>
      </c>
      <c r="J783" s="33">
        <v>0</v>
      </c>
      <c r="K783" s="33">
        <f t="shared" ref="K783:K845" si="63">D783</f>
        <v>729.35</v>
      </c>
      <c r="L783" s="33">
        <f t="shared" ref="L783:L845" si="64">E783</f>
        <v>58832.83</v>
      </c>
      <c r="M783" s="33">
        <f t="shared" ref="M783:M845" si="65">F783</f>
        <v>2103168.3400000003</v>
      </c>
      <c r="N783" s="235">
        <f t="shared" si="62"/>
        <v>0</v>
      </c>
      <c r="O783" s="35" t="s">
        <v>3327</v>
      </c>
      <c r="P783" s="35"/>
      <c r="Q783" s="39">
        <f>SUMIF('Antelope Bailey Split BA'!$B$7:$B$29,B783,'Antelope Bailey Split BA'!$C$7:$C$29)</f>
        <v>0</v>
      </c>
      <c r="R783" s="39" t="str">
        <f>IF(AND(Q783=1,'Plant Total by Account'!$J$1=2),"EKWRA","")</f>
        <v/>
      </c>
    </row>
    <row r="784" spans="1:18" x14ac:dyDescent="0.2">
      <c r="A784" s="31" t="s">
        <v>3247</v>
      </c>
      <c r="B784" s="36" t="s">
        <v>915</v>
      </c>
      <c r="C784" s="504" t="s">
        <v>3352</v>
      </c>
      <c r="D784" s="42">
        <v>1067.48</v>
      </c>
      <c r="E784" s="42">
        <v>5747.9000000000005</v>
      </c>
      <c r="F784" s="42">
        <v>210331.71</v>
      </c>
      <c r="G784" s="581">
        <f t="shared" si="61"/>
        <v>217147.09</v>
      </c>
      <c r="H784" s="33">
        <v>0</v>
      </c>
      <c r="I784" s="33">
        <v>0</v>
      </c>
      <c r="J784" s="33">
        <v>0</v>
      </c>
      <c r="K784" s="33">
        <f t="shared" si="63"/>
        <v>1067.48</v>
      </c>
      <c r="L784" s="33">
        <f t="shared" si="64"/>
        <v>5747.9000000000005</v>
      </c>
      <c r="M784" s="33">
        <f t="shared" si="65"/>
        <v>210331.71</v>
      </c>
      <c r="N784" s="235">
        <f t="shared" si="62"/>
        <v>0</v>
      </c>
      <c r="O784" s="35" t="s">
        <v>3327</v>
      </c>
      <c r="P784" s="35"/>
      <c r="Q784" s="39">
        <f>SUMIF('Antelope Bailey Split BA'!$B$7:$B$29,B784,'Antelope Bailey Split BA'!$C$7:$C$29)</f>
        <v>0</v>
      </c>
      <c r="R784" s="39" t="str">
        <f>IF(AND(Q784=1,'Plant Total by Account'!$J$1=2),"EKWRA","")</f>
        <v/>
      </c>
    </row>
    <row r="785" spans="1:18" x14ac:dyDescent="0.2">
      <c r="A785" s="31" t="s">
        <v>3248</v>
      </c>
      <c r="B785" s="36" t="s">
        <v>916</v>
      </c>
      <c r="C785" s="504" t="s">
        <v>3352</v>
      </c>
      <c r="D785" s="42">
        <v>4212.4799999999996</v>
      </c>
      <c r="E785" s="42">
        <v>137798.84</v>
      </c>
      <c r="F785" s="42">
        <v>1999014.4600000004</v>
      </c>
      <c r="G785" s="581">
        <f t="shared" si="61"/>
        <v>2141025.7800000003</v>
      </c>
      <c r="H785" s="33">
        <v>0</v>
      </c>
      <c r="I785" s="33">
        <v>0</v>
      </c>
      <c r="J785" s="33">
        <v>0</v>
      </c>
      <c r="K785" s="33">
        <f t="shared" si="63"/>
        <v>4212.4799999999996</v>
      </c>
      <c r="L785" s="33">
        <f t="shared" si="64"/>
        <v>137798.84</v>
      </c>
      <c r="M785" s="33">
        <f t="shared" si="65"/>
        <v>1999014.4600000004</v>
      </c>
      <c r="N785" s="235">
        <f t="shared" si="62"/>
        <v>0</v>
      </c>
      <c r="O785" s="35" t="s">
        <v>3327</v>
      </c>
      <c r="P785" s="35"/>
      <c r="Q785" s="39">
        <f>SUMIF('Antelope Bailey Split BA'!$B$7:$B$29,B785,'Antelope Bailey Split BA'!$C$7:$C$29)</f>
        <v>0</v>
      </c>
      <c r="R785" s="39" t="str">
        <f>IF(AND(Q785=1,'Plant Total by Account'!$J$1=2),"EKWRA","")</f>
        <v/>
      </c>
    </row>
    <row r="786" spans="1:18" x14ac:dyDescent="0.2">
      <c r="A786" s="31" t="s">
        <v>3249</v>
      </c>
      <c r="B786" s="36" t="s">
        <v>917</v>
      </c>
      <c r="C786" s="504" t="s">
        <v>3352</v>
      </c>
      <c r="D786" s="42">
        <v>0</v>
      </c>
      <c r="E786" s="42">
        <v>119811.65</v>
      </c>
      <c r="F786" s="42">
        <v>203391.54000000012</v>
      </c>
      <c r="G786" s="581">
        <f t="shared" si="61"/>
        <v>323203.19000000012</v>
      </c>
      <c r="H786" s="33">
        <v>0</v>
      </c>
      <c r="I786" s="33">
        <v>0</v>
      </c>
      <c r="J786" s="33">
        <v>0</v>
      </c>
      <c r="K786" s="33">
        <f t="shared" si="63"/>
        <v>0</v>
      </c>
      <c r="L786" s="33">
        <f t="shared" si="64"/>
        <v>119811.65</v>
      </c>
      <c r="M786" s="33">
        <f t="shared" si="65"/>
        <v>203391.54000000012</v>
      </c>
      <c r="N786" s="235">
        <f t="shared" si="62"/>
        <v>0</v>
      </c>
      <c r="O786" s="35" t="s">
        <v>3327</v>
      </c>
      <c r="P786" s="35"/>
      <c r="Q786" s="39">
        <f>SUMIF('Antelope Bailey Split BA'!$B$7:$B$29,B786,'Antelope Bailey Split BA'!$C$7:$C$29)</f>
        <v>0</v>
      </c>
      <c r="R786" s="39" t="str">
        <f>IF(AND(Q786=1,'Plant Total by Account'!$J$1=2),"EKWRA","")</f>
        <v/>
      </c>
    </row>
    <row r="787" spans="1:18" x14ac:dyDescent="0.2">
      <c r="A787" s="31" t="s">
        <v>3250</v>
      </c>
      <c r="B787" s="36" t="s">
        <v>918</v>
      </c>
      <c r="C787" s="504" t="s">
        <v>3352</v>
      </c>
      <c r="D787" s="42">
        <v>1361.77</v>
      </c>
      <c r="E787" s="42">
        <v>11705.03</v>
      </c>
      <c r="F787" s="42">
        <v>155116.76000000004</v>
      </c>
      <c r="G787" s="581">
        <f t="shared" si="61"/>
        <v>168183.56000000003</v>
      </c>
      <c r="H787" s="33">
        <v>0</v>
      </c>
      <c r="I787" s="33">
        <v>0</v>
      </c>
      <c r="J787" s="33">
        <v>0</v>
      </c>
      <c r="K787" s="33">
        <f t="shared" si="63"/>
        <v>1361.77</v>
      </c>
      <c r="L787" s="33">
        <f t="shared" si="64"/>
        <v>11705.03</v>
      </c>
      <c r="M787" s="33">
        <f t="shared" si="65"/>
        <v>155116.76000000004</v>
      </c>
      <c r="N787" s="235">
        <f t="shared" si="62"/>
        <v>0</v>
      </c>
      <c r="O787" s="35" t="s">
        <v>3327</v>
      </c>
      <c r="P787" s="35"/>
      <c r="Q787" s="39">
        <f>SUMIF('Antelope Bailey Split BA'!$B$7:$B$29,B787,'Antelope Bailey Split BA'!$C$7:$C$29)</f>
        <v>0</v>
      </c>
      <c r="R787" s="39" t="str">
        <f>IF(AND(Q787=1,'Plant Total by Account'!$J$1=2),"EKWRA","")</f>
        <v/>
      </c>
    </row>
    <row r="788" spans="1:18" x14ac:dyDescent="0.2">
      <c r="A788" s="31" t="s">
        <v>3251</v>
      </c>
      <c r="B788" s="36" t="s">
        <v>919</v>
      </c>
      <c r="C788" s="504" t="s">
        <v>3352</v>
      </c>
      <c r="D788" s="42">
        <v>470.65000000000003</v>
      </c>
      <c r="E788" s="42">
        <v>123403.77</v>
      </c>
      <c r="F788" s="42">
        <v>1527913.7499999998</v>
      </c>
      <c r="G788" s="581">
        <f t="shared" si="61"/>
        <v>1651788.1699999997</v>
      </c>
      <c r="H788" s="33">
        <v>0</v>
      </c>
      <c r="I788" s="33">
        <v>0</v>
      </c>
      <c r="J788" s="33">
        <v>0</v>
      </c>
      <c r="K788" s="33">
        <f t="shared" si="63"/>
        <v>470.65000000000003</v>
      </c>
      <c r="L788" s="33">
        <f t="shared" si="64"/>
        <v>123403.77</v>
      </c>
      <c r="M788" s="33">
        <f t="shared" si="65"/>
        <v>1527913.7499999998</v>
      </c>
      <c r="N788" s="235">
        <f t="shared" si="62"/>
        <v>0</v>
      </c>
      <c r="O788" s="35" t="s">
        <v>3327</v>
      </c>
      <c r="P788" s="35"/>
      <c r="Q788" s="39">
        <f>SUMIF('Antelope Bailey Split BA'!$B$7:$B$29,B788,'Antelope Bailey Split BA'!$C$7:$C$29)</f>
        <v>0</v>
      </c>
      <c r="R788" s="39" t="str">
        <f>IF(AND(Q788=1,'Plant Total by Account'!$J$1=2),"EKWRA","")</f>
        <v/>
      </c>
    </row>
    <row r="789" spans="1:18" x14ac:dyDescent="0.2">
      <c r="A789" s="31" t="s">
        <v>3252</v>
      </c>
      <c r="B789" s="36" t="s">
        <v>920</v>
      </c>
      <c r="C789" s="504" t="s">
        <v>3352</v>
      </c>
      <c r="D789" s="42">
        <v>367.53000000000003</v>
      </c>
      <c r="E789" s="42">
        <v>0</v>
      </c>
      <c r="F789" s="42">
        <v>258165.45</v>
      </c>
      <c r="G789" s="581">
        <f t="shared" si="61"/>
        <v>258532.98</v>
      </c>
      <c r="H789" s="33">
        <v>0</v>
      </c>
      <c r="I789" s="33">
        <v>0</v>
      </c>
      <c r="J789" s="33">
        <v>0</v>
      </c>
      <c r="K789" s="33">
        <f t="shared" si="63"/>
        <v>367.53000000000003</v>
      </c>
      <c r="L789" s="33">
        <f t="shared" si="64"/>
        <v>0</v>
      </c>
      <c r="M789" s="33">
        <f t="shared" si="65"/>
        <v>258165.45</v>
      </c>
      <c r="N789" s="235">
        <f t="shared" si="62"/>
        <v>0</v>
      </c>
      <c r="O789" s="35" t="s">
        <v>3327</v>
      </c>
      <c r="P789" s="35"/>
      <c r="Q789" s="39">
        <f>SUMIF('Antelope Bailey Split BA'!$B$7:$B$29,B789,'Antelope Bailey Split BA'!$C$7:$C$29)</f>
        <v>0</v>
      </c>
      <c r="R789" s="39" t="str">
        <f>IF(AND(Q789=1,'Plant Total by Account'!$J$1=2),"EKWRA","")</f>
        <v/>
      </c>
    </row>
    <row r="790" spans="1:18" x14ac:dyDescent="0.2">
      <c r="A790" s="31" t="s">
        <v>2584</v>
      </c>
      <c r="B790" s="36" t="s">
        <v>921</v>
      </c>
      <c r="C790" s="504" t="s">
        <v>3352</v>
      </c>
      <c r="D790" s="42">
        <v>564.65</v>
      </c>
      <c r="E790" s="42">
        <v>0</v>
      </c>
      <c r="F790" s="42">
        <v>230501.08</v>
      </c>
      <c r="G790" s="581">
        <f t="shared" si="61"/>
        <v>231065.72999999998</v>
      </c>
      <c r="H790" s="33">
        <v>0</v>
      </c>
      <c r="I790" s="33">
        <v>0</v>
      </c>
      <c r="J790" s="33">
        <v>0</v>
      </c>
      <c r="K790" s="33">
        <f t="shared" si="63"/>
        <v>564.65</v>
      </c>
      <c r="L790" s="33">
        <f t="shared" si="64"/>
        <v>0</v>
      </c>
      <c r="M790" s="33">
        <f t="shared" si="65"/>
        <v>230501.08</v>
      </c>
      <c r="N790" s="235">
        <f t="shared" si="62"/>
        <v>0</v>
      </c>
      <c r="O790" s="35" t="s">
        <v>3327</v>
      </c>
      <c r="P790" s="35"/>
      <c r="Q790" s="39">
        <f>SUMIF('Antelope Bailey Split BA'!$B$7:$B$29,B790,'Antelope Bailey Split BA'!$C$7:$C$29)</f>
        <v>0</v>
      </c>
      <c r="R790" s="39" t="str">
        <f>IF(AND(Q790=1,'Plant Total by Account'!$J$1=2),"EKWRA","")</f>
        <v/>
      </c>
    </row>
    <row r="791" spans="1:18" x14ac:dyDescent="0.2">
      <c r="A791" s="31" t="s">
        <v>3253</v>
      </c>
      <c r="B791" s="36" t="s">
        <v>922</v>
      </c>
      <c r="C791" s="504" t="s">
        <v>3352</v>
      </c>
      <c r="D791" s="42">
        <v>1071.8499999999999</v>
      </c>
      <c r="E791" s="42">
        <v>86.73</v>
      </c>
      <c r="F791" s="42">
        <v>155658.25000000003</v>
      </c>
      <c r="G791" s="581">
        <f t="shared" si="61"/>
        <v>156816.83000000002</v>
      </c>
      <c r="H791" s="33">
        <v>0</v>
      </c>
      <c r="I791" s="33">
        <v>0</v>
      </c>
      <c r="J791" s="33">
        <v>0</v>
      </c>
      <c r="K791" s="33">
        <f t="shared" si="63"/>
        <v>1071.8499999999999</v>
      </c>
      <c r="L791" s="33">
        <f t="shared" si="64"/>
        <v>86.73</v>
      </c>
      <c r="M791" s="33">
        <f t="shared" si="65"/>
        <v>155658.25000000003</v>
      </c>
      <c r="N791" s="235">
        <f t="shared" si="62"/>
        <v>0</v>
      </c>
      <c r="O791" s="35" t="s">
        <v>3327</v>
      </c>
      <c r="P791" s="35"/>
      <c r="Q791" s="39">
        <f>SUMIF('Antelope Bailey Split BA'!$B$7:$B$29,B791,'Antelope Bailey Split BA'!$C$7:$C$29)</f>
        <v>0</v>
      </c>
      <c r="R791" s="39" t="str">
        <f>IF(AND(Q791=1,'Plant Total by Account'!$J$1=2),"EKWRA","")</f>
        <v/>
      </c>
    </row>
    <row r="792" spans="1:18" x14ac:dyDescent="0.2">
      <c r="A792" s="31" t="s">
        <v>3254</v>
      </c>
      <c r="B792" s="36" t="s">
        <v>923</v>
      </c>
      <c r="C792" s="504" t="s">
        <v>3353</v>
      </c>
      <c r="D792" s="42">
        <v>0</v>
      </c>
      <c r="E792" s="42">
        <v>0</v>
      </c>
      <c r="F792" s="42">
        <v>20648.89</v>
      </c>
      <c r="G792" s="581">
        <f t="shared" si="61"/>
        <v>20648.89</v>
      </c>
      <c r="H792" s="33">
        <v>0</v>
      </c>
      <c r="I792" s="33">
        <v>0</v>
      </c>
      <c r="J792" s="33">
        <v>0</v>
      </c>
      <c r="K792" s="33">
        <f t="shared" si="63"/>
        <v>0</v>
      </c>
      <c r="L792" s="33">
        <f t="shared" si="64"/>
        <v>0</v>
      </c>
      <c r="M792" s="33">
        <f t="shared" si="65"/>
        <v>20648.89</v>
      </c>
      <c r="N792" s="235">
        <f t="shared" si="62"/>
        <v>0</v>
      </c>
      <c r="O792" s="35" t="s">
        <v>3327</v>
      </c>
      <c r="P792" s="35"/>
      <c r="Q792" s="39">
        <f>SUMIF('Antelope Bailey Split BA'!$B$7:$B$29,B792,'Antelope Bailey Split BA'!$C$7:$C$29)</f>
        <v>0</v>
      </c>
      <c r="R792" s="39" t="str">
        <f>IF(AND(Q792=1,'Plant Total by Account'!$J$1=2),"EKWRA","")</f>
        <v/>
      </c>
    </row>
    <row r="793" spans="1:18" x14ac:dyDescent="0.2">
      <c r="A793" s="31" t="s">
        <v>2585</v>
      </c>
      <c r="B793" s="36" t="s">
        <v>2261</v>
      </c>
      <c r="C793" s="504" t="s">
        <v>3255</v>
      </c>
      <c r="D793" s="42">
        <v>0</v>
      </c>
      <c r="E793" s="42">
        <v>17441.689999999999</v>
      </c>
      <c r="F793" s="42">
        <v>0</v>
      </c>
      <c r="G793" s="581">
        <f t="shared" si="61"/>
        <v>17441.689999999999</v>
      </c>
      <c r="H793" s="33">
        <v>0</v>
      </c>
      <c r="I793" s="33">
        <v>0</v>
      </c>
      <c r="J793" s="33">
        <v>0</v>
      </c>
      <c r="K793" s="33">
        <f t="shared" si="63"/>
        <v>0</v>
      </c>
      <c r="L793" s="33">
        <f t="shared" si="64"/>
        <v>17441.689999999999</v>
      </c>
      <c r="M793" s="33">
        <f t="shared" si="65"/>
        <v>0</v>
      </c>
      <c r="N793" s="235">
        <f t="shared" si="62"/>
        <v>0</v>
      </c>
      <c r="O793" s="35" t="s">
        <v>3327</v>
      </c>
      <c r="P793" s="35"/>
      <c r="Q793" s="39">
        <f>SUMIF('Antelope Bailey Split BA'!$B$7:$B$29,B793,'Antelope Bailey Split BA'!$C$7:$C$29)</f>
        <v>0</v>
      </c>
      <c r="R793" s="39" t="str">
        <f>IF(AND(Q793=1,'Plant Total by Account'!$J$1=2),"EKWRA","")</f>
        <v/>
      </c>
    </row>
    <row r="794" spans="1:18" x14ac:dyDescent="0.2">
      <c r="A794" s="31" t="s">
        <v>3256</v>
      </c>
      <c r="B794" s="36" t="s">
        <v>924</v>
      </c>
      <c r="C794" s="504" t="s">
        <v>3352</v>
      </c>
      <c r="D794" s="42">
        <v>0</v>
      </c>
      <c r="E794" s="42">
        <v>4851.96</v>
      </c>
      <c r="F794" s="42">
        <v>93022.22</v>
      </c>
      <c r="G794" s="581">
        <f t="shared" si="61"/>
        <v>97874.180000000008</v>
      </c>
      <c r="H794" s="33">
        <v>0</v>
      </c>
      <c r="I794" s="33">
        <v>0</v>
      </c>
      <c r="J794" s="33">
        <v>0</v>
      </c>
      <c r="K794" s="33">
        <f t="shared" si="63"/>
        <v>0</v>
      </c>
      <c r="L794" s="33">
        <f t="shared" si="64"/>
        <v>4851.96</v>
      </c>
      <c r="M794" s="33">
        <f t="shared" si="65"/>
        <v>93022.22</v>
      </c>
      <c r="N794" s="235">
        <f t="shared" si="62"/>
        <v>0</v>
      </c>
      <c r="O794" s="35" t="s">
        <v>3327</v>
      </c>
      <c r="P794" s="35"/>
      <c r="Q794" s="39">
        <f>SUMIF('Antelope Bailey Split BA'!$B$7:$B$29,B794,'Antelope Bailey Split BA'!$C$7:$C$29)</f>
        <v>0</v>
      </c>
      <c r="R794" s="39" t="str">
        <f>IF(AND(Q794=1,'Plant Total by Account'!$J$1=2),"EKWRA","")</f>
        <v/>
      </c>
    </row>
    <row r="795" spans="1:18" x14ac:dyDescent="0.2">
      <c r="A795" s="31" t="s">
        <v>3257</v>
      </c>
      <c r="B795" s="36" t="s">
        <v>925</v>
      </c>
      <c r="C795" s="504" t="s">
        <v>3353</v>
      </c>
      <c r="D795" s="42">
        <v>62251.45</v>
      </c>
      <c r="E795" s="42">
        <v>111531.65</v>
      </c>
      <c r="F795" s="42">
        <v>7625196.9900000002</v>
      </c>
      <c r="G795" s="581">
        <f t="shared" si="61"/>
        <v>7798980.0899999999</v>
      </c>
      <c r="H795" s="33">
        <v>0</v>
      </c>
      <c r="I795" s="33">
        <v>0</v>
      </c>
      <c r="J795" s="33">
        <v>0</v>
      </c>
      <c r="K795" s="33">
        <f t="shared" si="63"/>
        <v>62251.45</v>
      </c>
      <c r="L795" s="33">
        <f t="shared" si="64"/>
        <v>111531.65</v>
      </c>
      <c r="M795" s="33">
        <f t="shared" si="65"/>
        <v>7625196.9900000002</v>
      </c>
      <c r="N795" s="235">
        <f t="shared" si="62"/>
        <v>0</v>
      </c>
      <c r="O795" s="35" t="s">
        <v>3327</v>
      </c>
      <c r="P795" s="35"/>
      <c r="Q795" s="39">
        <f>SUMIF('Antelope Bailey Split BA'!$B$7:$B$29,B795,'Antelope Bailey Split BA'!$C$7:$C$29)</f>
        <v>0</v>
      </c>
      <c r="R795" s="39" t="str">
        <f>IF(AND(Q795=1,'Plant Total by Account'!$J$1=2),"EKWRA","")</f>
        <v/>
      </c>
    </row>
    <row r="796" spans="1:18" x14ac:dyDescent="0.2">
      <c r="A796" s="31" t="s">
        <v>3258</v>
      </c>
      <c r="B796" s="36" t="s">
        <v>926</v>
      </c>
      <c r="C796" s="504" t="s">
        <v>3353</v>
      </c>
      <c r="D796" s="42">
        <v>10198.66</v>
      </c>
      <c r="E796" s="42">
        <v>628536.56999999995</v>
      </c>
      <c r="F796" s="42">
        <v>18113430.960000005</v>
      </c>
      <c r="G796" s="581">
        <f t="shared" si="61"/>
        <v>18752166.190000005</v>
      </c>
      <c r="H796" s="33">
        <v>0</v>
      </c>
      <c r="I796" s="33">
        <v>0</v>
      </c>
      <c r="J796" s="33">
        <v>0</v>
      </c>
      <c r="K796" s="33">
        <f t="shared" si="63"/>
        <v>10198.66</v>
      </c>
      <c r="L796" s="33">
        <f t="shared" si="64"/>
        <v>628536.56999999995</v>
      </c>
      <c r="M796" s="33">
        <f t="shared" si="65"/>
        <v>18113430.960000005</v>
      </c>
      <c r="N796" s="235">
        <f t="shared" si="62"/>
        <v>0</v>
      </c>
      <c r="O796" s="35" t="s">
        <v>3327</v>
      </c>
      <c r="P796" s="35"/>
      <c r="Q796" s="39">
        <f>SUMIF('Antelope Bailey Split BA'!$B$7:$B$29,B796,'Antelope Bailey Split BA'!$C$7:$C$29)</f>
        <v>0</v>
      </c>
      <c r="R796" s="39" t="str">
        <f>IF(AND(Q796=1,'Plant Total by Account'!$J$1=2),"EKWRA","")</f>
        <v/>
      </c>
    </row>
    <row r="797" spans="1:18" x14ac:dyDescent="0.2">
      <c r="A797" s="31" t="s">
        <v>2586</v>
      </c>
      <c r="B797" s="36" t="s">
        <v>927</v>
      </c>
      <c r="C797" s="504" t="s">
        <v>3352</v>
      </c>
      <c r="D797" s="42">
        <v>1974.8300000000002</v>
      </c>
      <c r="E797" s="42">
        <v>104038.18999999999</v>
      </c>
      <c r="F797" s="42">
        <v>734191.60000000021</v>
      </c>
      <c r="G797" s="581">
        <f t="shared" si="61"/>
        <v>840204.62000000023</v>
      </c>
      <c r="H797" s="33">
        <v>0</v>
      </c>
      <c r="I797" s="33">
        <v>0</v>
      </c>
      <c r="J797" s="33">
        <v>0</v>
      </c>
      <c r="K797" s="33">
        <f t="shared" si="63"/>
        <v>1974.8300000000002</v>
      </c>
      <c r="L797" s="33">
        <f t="shared" si="64"/>
        <v>104038.18999999999</v>
      </c>
      <c r="M797" s="33">
        <f t="shared" si="65"/>
        <v>734191.60000000021</v>
      </c>
      <c r="N797" s="235">
        <f t="shared" si="62"/>
        <v>0</v>
      </c>
      <c r="O797" s="35" t="s">
        <v>3327</v>
      </c>
      <c r="P797" s="35"/>
      <c r="Q797" s="39">
        <f>SUMIF('Antelope Bailey Split BA'!$B$7:$B$29,B797,'Antelope Bailey Split BA'!$C$7:$C$29)</f>
        <v>0</v>
      </c>
      <c r="R797" s="39" t="str">
        <f>IF(AND(Q797=1,'Plant Total by Account'!$J$1=2),"EKWRA","")</f>
        <v/>
      </c>
    </row>
    <row r="798" spans="1:18" x14ac:dyDescent="0.2">
      <c r="A798" s="31" t="s">
        <v>3259</v>
      </c>
      <c r="B798" s="36" t="s">
        <v>928</v>
      </c>
      <c r="C798" s="504" t="s">
        <v>3352</v>
      </c>
      <c r="D798" s="42">
        <v>0</v>
      </c>
      <c r="E798" s="42">
        <v>19777.29</v>
      </c>
      <c r="F798" s="42">
        <v>764629.09999999974</v>
      </c>
      <c r="G798" s="581">
        <f t="shared" si="61"/>
        <v>784406.38999999978</v>
      </c>
      <c r="H798" s="33">
        <v>0</v>
      </c>
      <c r="I798" s="33">
        <v>0</v>
      </c>
      <c r="J798" s="33">
        <v>0</v>
      </c>
      <c r="K798" s="33">
        <f t="shared" si="63"/>
        <v>0</v>
      </c>
      <c r="L798" s="33">
        <f t="shared" si="64"/>
        <v>19777.29</v>
      </c>
      <c r="M798" s="33">
        <f t="shared" si="65"/>
        <v>764629.09999999974</v>
      </c>
      <c r="N798" s="235">
        <f t="shared" si="62"/>
        <v>0</v>
      </c>
      <c r="O798" s="35" t="s">
        <v>3327</v>
      </c>
      <c r="P798" s="35"/>
      <c r="Q798" s="39">
        <f>SUMIF('Antelope Bailey Split BA'!$B$7:$B$29,B798,'Antelope Bailey Split BA'!$C$7:$C$29)</f>
        <v>0</v>
      </c>
      <c r="R798" s="39" t="str">
        <f>IF(AND(Q798=1,'Plant Total by Account'!$J$1=2),"EKWRA","")</f>
        <v/>
      </c>
    </row>
    <row r="799" spans="1:18" x14ac:dyDescent="0.2">
      <c r="A799" s="31" t="s">
        <v>3260</v>
      </c>
      <c r="B799" s="98" t="s">
        <v>138</v>
      </c>
      <c r="C799" s="504" t="s">
        <v>3348</v>
      </c>
      <c r="D799" s="42">
        <v>631.66999999999996</v>
      </c>
      <c r="E799" s="42">
        <v>0</v>
      </c>
      <c r="F799" s="42">
        <v>0</v>
      </c>
      <c r="G799" s="581">
        <f t="shared" si="61"/>
        <v>631.66999999999996</v>
      </c>
      <c r="H799" s="33">
        <v>0</v>
      </c>
      <c r="I799" s="33">
        <v>0</v>
      </c>
      <c r="J799" s="33">
        <v>0</v>
      </c>
      <c r="K799" s="33">
        <f t="shared" si="63"/>
        <v>631.66999999999996</v>
      </c>
      <c r="L799" s="33">
        <f t="shared" si="64"/>
        <v>0</v>
      </c>
      <c r="M799" s="33">
        <f t="shared" si="65"/>
        <v>0</v>
      </c>
      <c r="N799" s="235">
        <f t="shared" si="62"/>
        <v>0</v>
      </c>
      <c r="O799" s="35" t="s">
        <v>3327</v>
      </c>
      <c r="P799" s="35"/>
      <c r="Q799" s="39">
        <f>SUMIF('Antelope Bailey Split BA'!$B$7:$B$29,B799,'Antelope Bailey Split BA'!$C$7:$C$29)</f>
        <v>0</v>
      </c>
      <c r="R799" s="39" t="str">
        <f>IF(AND(Q799=1,'Plant Total by Account'!$J$1=2),"EKWRA","")</f>
        <v/>
      </c>
    </row>
    <row r="800" spans="1:18" x14ac:dyDescent="0.2">
      <c r="A800" s="31" t="s">
        <v>2587</v>
      </c>
      <c r="B800" s="35" t="s">
        <v>929</v>
      </c>
      <c r="C800" s="504" t="s">
        <v>3348</v>
      </c>
      <c r="D800" s="42">
        <v>2300.5500000000002</v>
      </c>
      <c r="E800" s="42">
        <v>78245.97</v>
      </c>
      <c r="F800" s="42">
        <v>541247.65000000026</v>
      </c>
      <c r="G800" s="581">
        <f t="shared" si="61"/>
        <v>621794.17000000027</v>
      </c>
      <c r="H800" s="33">
        <v>0</v>
      </c>
      <c r="I800" s="33">
        <v>0</v>
      </c>
      <c r="J800" s="33">
        <v>0</v>
      </c>
      <c r="K800" s="33">
        <f t="shared" si="63"/>
        <v>2300.5500000000002</v>
      </c>
      <c r="L800" s="33">
        <f t="shared" si="64"/>
        <v>78245.97</v>
      </c>
      <c r="M800" s="33">
        <f t="shared" si="65"/>
        <v>541247.65000000026</v>
      </c>
      <c r="N800" s="235">
        <f t="shared" si="62"/>
        <v>0</v>
      </c>
      <c r="O800" s="35" t="s">
        <v>3327</v>
      </c>
      <c r="P800" s="35"/>
      <c r="Q800" s="39">
        <f>SUMIF('Antelope Bailey Split BA'!$B$7:$B$29,B800,'Antelope Bailey Split BA'!$C$7:$C$29)</f>
        <v>0</v>
      </c>
      <c r="R800" s="39" t="str">
        <f>IF(AND(Q800=1,'Plant Total by Account'!$J$1=2),"EKWRA","")</f>
        <v/>
      </c>
    </row>
    <row r="801" spans="1:18" x14ac:dyDescent="0.2">
      <c r="A801" s="31" t="s">
        <v>3261</v>
      </c>
      <c r="B801" s="36" t="s">
        <v>930</v>
      </c>
      <c r="C801" s="504" t="s">
        <v>3353</v>
      </c>
      <c r="D801" s="42">
        <v>18384.34</v>
      </c>
      <c r="E801" s="42">
        <v>0</v>
      </c>
      <c r="F801" s="42">
        <v>124385.51000000001</v>
      </c>
      <c r="G801" s="581">
        <f t="shared" si="61"/>
        <v>142769.85</v>
      </c>
      <c r="H801" s="33">
        <v>0</v>
      </c>
      <c r="I801" s="33">
        <v>0</v>
      </c>
      <c r="J801" s="33">
        <v>0</v>
      </c>
      <c r="K801" s="33">
        <f t="shared" si="63"/>
        <v>18384.34</v>
      </c>
      <c r="L801" s="33">
        <f t="shared" si="64"/>
        <v>0</v>
      </c>
      <c r="M801" s="33">
        <f t="shared" si="65"/>
        <v>124385.51000000001</v>
      </c>
      <c r="N801" s="235">
        <f t="shared" si="62"/>
        <v>0</v>
      </c>
      <c r="O801" s="35" t="s">
        <v>3327</v>
      </c>
      <c r="P801" s="35"/>
      <c r="Q801" s="39">
        <f>SUMIF('Antelope Bailey Split BA'!$B$7:$B$29,B801,'Antelope Bailey Split BA'!$C$7:$C$29)</f>
        <v>0</v>
      </c>
      <c r="R801" s="39" t="str">
        <f>IF(AND(Q801=1,'Plant Total by Account'!$J$1=2),"EKWRA","")</f>
        <v/>
      </c>
    </row>
    <row r="802" spans="1:18" x14ac:dyDescent="0.2">
      <c r="A802" s="31" t="s">
        <v>2589</v>
      </c>
      <c r="B802" s="36" t="s">
        <v>931</v>
      </c>
      <c r="C802" s="504" t="s">
        <v>3348</v>
      </c>
      <c r="D802" s="42">
        <v>0</v>
      </c>
      <c r="E802" s="42">
        <v>0</v>
      </c>
      <c r="F802" s="42">
        <v>3088.34</v>
      </c>
      <c r="G802" s="581">
        <f t="shared" si="61"/>
        <v>3088.34</v>
      </c>
      <c r="H802" s="33">
        <v>0</v>
      </c>
      <c r="I802" s="33">
        <v>0</v>
      </c>
      <c r="J802" s="33">
        <v>0</v>
      </c>
      <c r="K802" s="33">
        <f t="shared" si="63"/>
        <v>0</v>
      </c>
      <c r="L802" s="33">
        <f t="shared" si="64"/>
        <v>0</v>
      </c>
      <c r="M802" s="33">
        <f t="shared" si="65"/>
        <v>3088.34</v>
      </c>
      <c r="N802" s="235">
        <f t="shared" si="62"/>
        <v>0</v>
      </c>
      <c r="O802" s="35" t="s">
        <v>3327</v>
      </c>
      <c r="P802" s="35"/>
      <c r="Q802" s="39">
        <f>SUMIF('Antelope Bailey Split BA'!$B$7:$B$29,B802,'Antelope Bailey Split BA'!$C$7:$C$29)</f>
        <v>0</v>
      </c>
      <c r="R802" s="39" t="str">
        <f>IF(AND(Q802=1,'Plant Total by Account'!$J$1=2),"EKWRA","")</f>
        <v/>
      </c>
    </row>
    <row r="803" spans="1:18" x14ac:dyDescent="0.2">
      <c r="A803" s="31" t="s">
        <v>2593</v>
      </c>
      <c r="B803" s="36" t="s">
        <v>1236</v>
      </c>
      <c r="C803" s="504" t="s">
        <v>3348</v>
      </c>
      <c r="D803" s="42">
        <v>0</v>
      </c>
      <c r="E803" s="42">
        <v>0</v>
      </c>
      <c r="F803" s="42">
        <v>212955.95</v>
      </c>
      <c r="G803" s="581">
        <f t="shared" si="61"/>
        <v>212955.95</v>
      </c>
      <c r="H803" s="33">
        <v>0</v>
      </c>
      <c r="I803" s="33">
        <v>0</v>
      </c>
      <c r="J803" s="33">
        <v>0</v>
      </c>
      <c r="K803" s="33">
        <f t="shared" si="63"/>
        <v>0</v>
      </c>
      <c r="L803" s="33">
        <f t="shared" si="64"/>
        <v>0</v>
      </c>
      <c r="M803" s="33">
        <f t="shared" si="65"/>
        <v>212955.95</v>
      </c>
      <c r="N803" s="235">
        <f t="shared" si="62"/>
        <v>0</v>
      </c>
      <c r="O803" s="35" t="s">
        <v>3327</v>
      </c>
      <c r="P803" s="35"/>
      <c r="Q803" s="39">
        <f>SUMIF('Antelope Bailey Split BA'!$B$7:$B$29,B803,'Antelope Bailey Split BA'!$C$7:$C$29)</f>
        <v>0</v>
      </c>
      <c r="R803" s="39" t="str">
        <f>IF(AND(Q803=1,'Plant Total by Account'!$J$1=2),"EKWRA","")</f>
        <v/>
      </c>
    </row>
    <row r="804" spans="1:18" x14ac:dyDescent="0.2">
      <c r="A804" s="31" t="s">
        <v>2594</v>
      </c>
      <c r="B804" s="36" t="s">
        <v>1237</v>
      </c>
      <c r="C804" s="504" t="s">
        <v>3348</v>
      </c>
      <c r="D804" s="42">
        <v>0</v>
      </c>
      <c r="E804" s="42">
        <v>0</v>
      </c>
      <c r="F804" s="42">
        <v>8980.19</v>
      </c>
      <c r="G804" s="581">
        <f t="shared" si="61"/>
        <v>8980.19</v>
      </c>
      <c r="H804" s="33">
        <v>0</v>
      </c>
      <c r="I804" s="33">
        <v>0</v>
      </c>
      <c r="J804" s="33">
        <v>0</v>
      </c>
      <c r="K804" s="33">
        <f t="shared" si="63"/>
        <v>0</v>
      </c>
      <c r="L804" s="33">
        <f t="shared" si="64"/>
        <v>0</v>
      </c>
      <c r="M804" s="33">
        <f t="shared" si="65"/>
        <v>8980.19</v>
      </c>
      <c r="N804" s="235">
        <f t="shared" si="62"/>
        <v>0</v>
      </c>
      <c r="O804" s="35" t="s">
        <v>3327</v>
      </c>
      <c r="P804" s="35"/>
      <c r="Q804" s="39">
        <f>SUMIF('Antelope Bailey Split BA'!$B$7:$B$29,B804,'Antelope Bailey Split BA'!$C$7:$C$29)</f>
        <v>0</v>
      </c>
      <c r="R804" s="39" t="str">
        <f>IF(AND(Q804=1,'Plant Total by Account'!$J$1=2),"EKWRA","")</f>
        <v/>
      </c>
    </row>
    <row r="805" spans="1:18" x14ac:dyDescent="0.2">
      <c r="A805" s="31" t="s">
        <v>2608</v>
      </c>
      <c r="B805" s="98" t="s">
        <v>933</v>
      </c>
      <c r="C805" s="504" t="s">
        <v>3348</v>
      </c>
      <c r="D805" s="42">
        <v>0</v>
      </c>
      <c r="E805" s="42">
        <v>0</v>
      </c>
      <c r="F805" s="42">
        <v>2340.3000000000002</v>
      </c>
      <c r="G805" s="581">
        <f t="shared" si="61"/>
        <v>2340.3000000000002</v>
      </c>
      <c r="H805" s="33">
        <v>0</v>
      </c>
      <c r="I805" s="33">
        <v>0</v>
      </c>
      <c r="J805" s="33">
        <v>0</v>
      </c>
      <c r="K805" s="33">
        <f t="shared" si="63"/>
        <v>0</v>
      </c>
      <c r="L805" s="33">
        <f t="shared" si="64"/>
        <v>0</v>
      </c>
      <c r="M805" s="33">
        <f t="shared" si="65"/>
        <v>2340.3000000000002</v>
      </c>
      <c r="N805" s="235">
        <f t="shared" si="62"/>
        <v>0</v>
      </c>
      <c r="O805" s="35" t="s">
        <v>3327</v>
      </c>
      <c r="P805" s="35"/>
      <c r="Q805" s="39">
        <f>SUMIF('Antelope Bailey Split BA'!$B$7:$B$29,B805,'Antelope Bailey Split BA'!$C$7:$C$29)</f>
        <v>0</v>
      </c>
      <c r="R805" s="39" t="str">
        <f>IF(AND(Q805=1,'Plant Total by Account'!$J$1=2),"EKWRA","")</f>
        <v/>
      </c>
    </row>
    <row r="806" spans="1:18" x14ac:dyDescent="0.2">
      <c r="A806" s="31" t="s">
        <v>2609</v>
      </c>
      <c r="B806" s="97" t="s">
        <v>934</v>
      </c>
      <c r="C806" s="504" t="s">
        <v>3348</v>
      </c>
      <c r="D806" s="42">
        <v>0</v>
      </c>
      <c r="E806" s="42">
        <v>0</v>
      </c>
      <c r="F806" s="42">
        <v>73.350000000000009</v>
      </c>
      <c r="G806" s="581">
        <f t="shared" si="61"/>
        <v>73.350000000000009</v>
      </c>
      <c r="H806" s="33">
        <v>0</v>
      </c>
      <c r="I806" s="33">
        <v>0</v>
      </c>
      <c r="J806" s="33">
        <v>0</v>
      </c>
      <c r="K806" s="33">
        <f t="shared" si="63"/>
        <v>0</v>
      </c>
      <c r="L806" s="33">
        <f t="shared" si="64"/>
        <v>0</v>
      </c>
      <c r="M806" s="33">
        <f t="shared" si="65"/>
        <v>73.350000000000009</v>
      </c>
      <c r="N806" s="235">
        <f t="shared" si="62"/>
        <v>0</v>
      </c>
      <c r="O806" s="35" t="s">
        <v>3327</v>
      </c>
      <c r="P806" s="35"/>
      <c r="Q806" s="39">
        <f>SUMIF('Antelope Bailey Split BA'!$B$7:$B$29,B806,'Antelope Bailey Split BA'!$C$7:$C$29)</f>
        <v>0</v>
      </c>
      <c r="R806" s="39" t="str">
        <f>IF(AND(Q806=1,'Plant Total by Account'!$J$1=2),"EKWRA","")</f>
        <v/>
      </c>
    </row>
    <row r="807" spans="1:18" x14ac:dyDescent="0.2">
      <c r="A807" s="31" t="s">
        <v>2610</v>
      </c>
      <c r="B807" s="97" t="s">
        <v>935</v>
      </c>
      <c r="C807" s="504" t="s">
        <v>3348</v>
      </c>
      <c r="D807" s="42">
        <v>0</v>
      </c>
      <c r="E807" s="42">
        <v>0</v>
      </c>
      <c r="F807" s="42">
        <v>8852.61</v>
      </c>
      <c r="G807" s="581">
        <f t="shared" si="61"/>
        <v>8852.61</v>
      </c>
      <c r="H807" s="33">
        <v>0</v>
      </c>
      <c r="I807" s="33">
        <v>0</v>
      </c>
      <c r="J807" s="33">
        <v>0</v>
      </c>
      <c r="K807" s="33">
        <f t="shared" si="63"/>
        <v>0</v>
      </c>
      <c r="L807" s="33">
        <f t="shared" si="64"/>
        <v>0</v>
      </c>
      <c r="M807" s="33">
        <f t="shared" si="65"/>
        <v>8852.61</v>
      </c>
      <c r="N807" s="235">
        <f t="shared" si="62"/>
        <v>0</v>
      </c>
      <c r="O807" s="35" t="s">
        <v>3327</v>
      </c>
      <c r="P807" s="35"/>
      <c r="Q807" s="39">
        <f>SUMIF('Antelope Bailey Split BA'!$B$7:$B$29,B807,'Antelope Bailey Split BA'!$C$7:$C$29)</f>
        <v>0</v>
      </c>
      <c r="R807" s="39" t="str">
        <f>IF(AND(Q807=1,'Plant Total by Account'!$J$1=2),"EKWRA","")</f>
        <v/>
      </c>
    </row>
    <row r="808" spans="1:18" x14ac:dyDescent="0.2">
      <c r="A808" s="31" t="s">
        <v>2611</v>
      </c>
      <c r="B808" s="97" t="s">
        <v>936</v>
      </c>
      <c r="C808" s="504" t="s">
        <v>3348</v>
      </c>
      <c r="D808" s="42">
        <v>0</v>
      </c>
      <c r="E808" s="42">
        <v>0</v>
      </c>
      <c r="F808" s="42">
        <v>805330.87</v>
      </c>
      <c r="G808" s="581">
        <f t="shared" si="61"/>
        <v>805330.87</v>
      </c>
      <c r="H808" s="33">
        <v>0</v>
      </c>
      <c r="I808" s="33">
        <v>0</v>
      </c>
      <c r="J808" s="33">
        <v>0</v>
      </c>
      <c r="K808" s="33">
        <f t="shared" si="63"/>
        <v>0</v>
      </c>
      <c r="L808" s="33">
        <f t="shared" si="64"/>
        <v>0</v>
      </c>
      <c r="M808" s="33">
        <f t="shared" si="65"/>
        <v>805330.87</v>
      </c>
      <c r="N808" s="235">
        <f t="shared" si="62"/>
        <v>0</v>
      </c>
      <c r="O808" s="35" t="s">
        <v>3327</v>
      </c>
      <c r="P808" s="35"/>
      <c r="Q808" s="39">
        <f>SUMIF('Antelope Bailey Split BA'!$B$7:$B$29,B808,'Antelope Bailey Split BA'!$C$7:$C$29)</f>
        <v>0</v>
      </c>
      <c r="R808" s="39" t="str">
        <f>IF(AND(Q808=1,'Plant Total by Account'!$J$1=2),"EKWRA","")</f>
        <v/>
      </c>
    </row>
    <row r="809" spans="1:18" x14ac:dyDescent="0.2">
      <c r="A809" s="31" t="s">
        <v>2612</v>
      </c>
      <c r="B809" s="98" t="s">
        <v>1249</v>
      </c>
      <c r="C809" s="504" t="s">
        <v>3348</v>
      </c>
      <c r="D809" s="42">
        <v>0</v>
      </c>
      <c r="E809" s="42">
        <v>0</v>
      </c>
      <c r="F809" s="42">
        <v>403043.26</v>
      </c>
      <c r="G809" s="581">
        <f t="shared" si="61"/>
        <v>403043.26</v>
      </c>
      <c r="H809" s="33">
        <v>0</v>
      </c>
      <c r="I809" s="33">
        <v>0</v>
      </c>
      <c r="J809" s="33">
        <v>0</v>
      </c>
      <c r="K809" s="33">
        <f t="shared" si="63"/>
        <v>0</v>
      </c>
      <c r="L809" s="33">
        <f t="shared" si="64"/>
        <v>0</v>
      </c>
      <c r="M809" s="33">
        <f t="shared" si="65"/>
        <v>403043.26</v>
      </c>
      <c r="N809" s="235">
        <f t="shared" si="62"/>
        <v>0</v>
      </c>
      <c r="O809" s="35" t="s">
        <v>3327</v>
      </c>
      <c r="P809" s="35"/>
      <c r="Q809" s="39">
        <f>SUMIF('Antelope Bailey Split BA'!$B$7:$B$29,B809,'Antelope Bailey Split BA'!$C$7:$C$29)</f>
        <v>0</v>
      </c>
      <c r="R809" s="39" t="str">
        <f>IF(AND(Q809=1,'Plant Total by Account'!$J$1=2),"EKWRA","")</f>
        <v/>
      </c>
    </row>
    <row r="810" spans="1:18" x14ac:dyDescent="0.2">
      <c r="A810" s="31" t="s">
        <v>2613</v>
      </c>
      <c r="B810" s="97" t="s">
        <v>937</v>
      </c>
      <c r="C810" s="504" t="s">
        <v>3348</v>
      </c>
      <c r="D810" s="42">
        <v>2413.9500000000003</v>
      </c>
      <c r="E810" s="42">
        <v>0</v>
      </c>
      <c r="F810" s="42">
        <v>0</v>
      </c>
      <c r="G810" s="581">
        <f t="shared" si="61"/>
        <v>2413.9500000000003</v>
      </c>
      <c r="H810" s="33">
        <v>0</v>
      </c>
      <c r="I810" s="33">
        <v>0</v>
      </c>
      <c r="J810" s="33">
        <v>0</v>
      </c>
      <c r="K810" s="33">
        <f t="shared" si="63"/>
        <v>2413.9500000000003</v>
      </c>
      <c r="L810" s="33">
        <f t="shared" si="64"/>
        <v>0</v>
      </c>
      <c r="M810" s="33">
        <f t="shared" si="65"/>
        <v>0</v>
      </c>
      <c r="N810" s="235">
        <f t="shared" si="62"/>
        <v>0</v>
      </c>
      <c r="O810" s="35" t="s">
        <v>3327</v>
      </c>
      <c r="P810" s="35"/>
      <c r="Q810" s="39">
        <f>SUMIF('Antelope Bailey Split BA'!$B$7:$B$29,B810,'Antelope Bailey Split BA'!$C$7:$C$29)</f>
        <v>0</v>
      </c>
      <c r="R810" s="39" t="str">
        <f>IF(AND(Q810=1,'Plant Total by Account'!$J$1=2),"EKWRA","")</f>
        <v/>
      </c>
    </row>
    <row r="811" spans="1:18" x14ac:dyDescent="0.2">
      <c r="A811" s="31" t="s">
        <v>3262</v>
      </c>
      <c r="B811" s="35" t="s">
        <v>938</v>
      </c>
      <c r="C811" s="504" t="s">
        <v>3353</v>
      </c>
      <c r="D811" s="42">
        <v>0</v>
      </c>
      <c r="E811" s="42">
        <v>2408.94</v>
      </c>
      <c r="F811" s="42">
        <v>66022.219999999987</v>
      </c>
      <c r="G811" s="581">
        <f t="shared" si="61"/>
        <v>68431.159999999989</v>
      </c>
      <c r="H811" s="33">
        <v>0</v>
      </c>
      <c r="I811" s="33">
        <v>0</v>
      </c>
      <c r="J811" s="33">
        <v>0</v>
      </c>
      <c r="K811" s="33">
        <f t="shared" si="63"/>
        <v>0</v>
      </c>
      <c r="L811" s="33">
        <f t="shared" si="64"/>
        <v>2408.94</v>
      </c>
      <c r="M811" s="33">
        <f t="shared" si="65"/>
        <v>66022.219999999987</v>
      </c>
      <c r="N811" s="235">
        <f t="shared" si="62"/>
        <v>0</v>
      </c>
      <c r="O811" s="35" t="s">
        <v>3327</v>
      </c>
      <c r="P811" s="35"/>
      <c r="Q811" s="39">
        <f>SUMIF('Antelope Bailey Split BA'!$B$7:$B$29,B811,'Antelope Bailey Split BA'!$C$7:$C$29)</f>
        <v>0</v>
      </c>
      <c r="R811" s="39" t="str">
        <f>IF(AND(Q811=1,'Plant Total by Account'!$J$1=2),"EKWRA","")</f>
        <v/>
      </c>
    </row>
    <row r="812" spans="1:18" x14ac:dyDescent="0.2">
      <c r="A812" s="31" t="s">
        <v>3263</v>
      </c>
      <c r="B812" s="97" t="s">
        <v>939</v>
      </c>
      <c r="C812" s="504" t="s">
        <v>3353</v>
      </c>
      <c r="D812" s="42">
        <v>0</v>
      </c>
      <c r="E812" s="42">
        <v>50768.229999999996</v>
      </c>
      <c r="F812" s="42">
        <v>146231.32</v>
      </c>
      <c r="G812" s="581">
        <f t="shared" si="61"/>
        <v>196999.55</v>
      </c>
      <c r="H812" s="33">
        <v>0</v>
      </c>
      <c r="I812" s="33">
        <v>0</v>
      </c>
      <c r="J812" s="33">
        <v>0</v>
      </c>
      <c r="K812" s="33">
        <f t="shared" si="63"/>
        <v>0</v>
      </c>
      <c r="L812" s="33">
        <f t="shared" si="64"/>
        <v>50768.229999999996</v>
      </c>
      <c r="M812" s="33">
        <f t="shared" si="65"/>
        <v>146231.32</v>
      </c>
      <c r="N812" s="235">
        <f t="shared" si="62"/>
        <v>0</v>
      </c>
      <c r="O812" s="35" t="s">
        <v>3327</v>
      </c>
      <c r="P812" s="35"/>
      <c r="Q812" s="39">
        <f>SUMIF('Antelope Bailey Split BA'!$B$7:$B$29,B812,'Antelope Bailey Split BA'!$C$7:$C$29)</f>
        <v>0</v>
      </c>
      <c r="R812" s="39" t="str">
        <f>IF(AND(Q812=1,'Plant Total by Account'!$J$1=2),"EKWRA","")</f>
        <v/>
      </c>
    </row>
    <row r="813" spans="1:18" x14ac:dyDescent="0.2">
      <c r="A813" s="31" t="s">
        <v>3264</v>
      </c>
      <c r="B813" s="97" t="s">
        <v>940</v>
      </c>
      <c r="C813" s="504" t="s">
        <v>3353</v>
      </c>
      <c r="D813" s="42">
        <v>9273.31</v>
      </c>
      <c r="E813" s="42">
        <v>12771.01</v>
      </c>
      <c r="F813" s="42">
        <v>494641.20999999996</v>
      </c>
      <c r="G813" s="581">
        <f t="shared" si="61"/>
        <v>516685.52999999997</v>
      </c>
      <c r="H813" s="33">
        <v>0</v>
      </c>
      <c r="I813" s="33">
        <v>0</v>
      </c>
      <c r="J813" s="33">
        <v>0</v>
      </c>
      <c r="K813" s="33">
        <f t="shared" si="63"/>
        <v>9273.31</v>
      </c>
      <c r="L813" s="33">
        <f t="shared" si="64"/>
        <v>12771.01</v>
      </c>
      <c r="M813" s="33">
        <f t="shared" si="65"/>
        <v>494641.20999999996</v>
      </c>
      <c r="N813" s="235">
        <f t="shared" si="62"/>
        <v>0</v>
      </c>
      <c r="O813" s="35" t="s">
        <v>3327</v>
      </c>
      <c r="P813" s="35"/>
      <c r="Q813" s="39">
        <f>SUMIF('Antelope Bailey Split BA'!$B$7:$B$29,B813,'Antelope Bailey Split BA'!$C$7:$C$29)</f>
        <v>0</v>
      </c>
      <c r="R813" s="39" t="str">
        <f>IF(AND(Q813=1,'Plant Total by Account'!$J$1=2),"EKWRA","")</f>
        <v/>
      </c>
    </row>
    <row r="814" spans="1:18" x14ac:dyDescent="0.2">
      <c r="A814" s="31" t="s">
        <v>3265</v>
      </c>
      <c r="B814" s="97" t="s">
        <v>941</v>
      </c>
      <c r="C814" s="504" t="s">
        <v>3353</v>
      </c>
      <c r="D814" s="42">
        <v>7866.9000000000005</v>
      </c>
      <c r="E814" s="42">
        <v>7027.56</v>
      </c>
      <c r="F814" s="42">
        <v>381389.15000000014</v>
      </c>
      <c r="G814" s="581">
        <f t="shared" si="61"/>
        <v>396283.61000000016</v>
      </c>
      <c r="H814" s="33">
        <v>0</v>
      </c>
      <c r="I814" s="33">
        <v>0</v>
      </c>
      <c r="J814" s="33">
        <v>0</v>
      </c>
      <c r="K814" s="33">
        <f t="shared" si="63"/>
        <v>7866.9000000000005</v>
      </c>
      <c r="L814" s="33">
        <f t="shared" si="64"/>
        <v>7027.56</v>
      </c>
      <c r="M814" s="33">
        <f t="shared" si="65"/>
        <v>381389.15000000014</v>
      </c>
      <c r="N814" s="235">
        <f t="shared" si="62"/>
        <v>0</v>
      </c>
      <c r="O814" s="35" t="s">
        <v>3327</v>
      </c>
      <c r="P814" s="35"/>
      <c r="Q814" s="39">
        <f>SUMIF('Antelope Bailey Split BA'!$B$7:$B$29,B814,'Antelope Bailey Split BA'!$C$7:$C$29)</f>
        <v>0</v>
      </c>
      <c r="R814" s="39" t="str">
        <f>IF(AND(Q814=1,'Plant Total by Account'!$J$1=2),"EKWRA","")</f>
        <v/>
      </c>
    </row>
    <row r="815" spans="1:18" x14ac:dyDescent="0.2">
      <c r="A815" s="31" t="s">
        <v>2622</v>
      </c>
      <c r="B815" s="97" t="s">
        <v>942</v>
      </c>
      <c r="C815" s="504" t="s">
        <v>3353</v>
      </c>
      <c r="D815" s="42">
        <v>0</v>
      </c>
      <c r="E815" s="42">
        <v>2685.41</v>
      </c>
      <c r="F815" s="42">
        <v>1294904.2599999998</v>
      </c>
      <c r="G815" s="581">
        <f t="shared" si="61"/>
        <v>1297589.6699999997</v>
      </c>
      <c r="H815" s="33">
        <v>0</v>
      </c>
      <c r="I815" s="33">
        <v>0</v>
      </c>
      <c r="J815" s="33">
        <v>0</v>
      </c>
      <c r="K815" s="33">
        <f t="shared" si="63"/>
        <v>0</v>
      </c>
      <c r="L815" s="33">
        <f t="shared" si="64"/>
        <v>2685.41</v>
      </c>
      <c r="M815" s="33">
        <f t="shared" si="65"/>
        <v>1294904.2599999998</v>
      </c>
      <c r="N815" s="235">
        <f t="shared" si="62"/>
        <v>0</v>
      </c>
      <c r="O815" s="35" t="s">
        <v>3327</v>
      </c>
      <c r="P815" s="35"/>
      <c r="Q815" s="39">
        <f>SUMIF('Antelope Bailey Split BA'!$B$7:$B$29,B815,'Antelope Bailey Split BA'!$C$7:$C$29)</f>
        <v>0</v>
      </c>
      <c r="R815" s="39" t="str">
        <f>IF(AND(Q815=1,'Plant Total by Account'!$J$1=2),"EKWRA","")</f>
        <v/>
      </c>
    </row>
    <row r="816" spans="1:18" x14ac:dyDescent="0.2">
      <c r="A816" s="31" t="s">
        <v>3266</v>
      </c>
      <c r="B816" s="97" t="s">
        <v>943</v>
      </c>
      <c r="C816" s="504" t="s">
        <v>3353</v>
      </c>
      <c r="D816" s="42">
        <v>0</v>
      </c>
      <c r="E816" s="42">
        <v>5308.61</v>
      </c>
      <c r="F816" s="42">
        <v>341042.21</v>
      </c>
      <c r="G816" s="581">
        <f t="shared" si="61"/>
        <v>346350.82</v>
      </c>
      <c r="H816" s="33">
        <v>0</v>
      </c>
      <c r="I816" s="33">
        <v>0</v>
      </c>
      <c r="J816" s="33">
        <v>0</v>
      </c>
      <c r="K816" s="33">
        <f t="shared" si="63"/>
        <v>0</v>
      </c>
      <c r="L816" s="33">
        <f t="shared" si="64"/>
        <v>5308.61</v>
      </c>
      <c r="M816" s="33">
        <f t="shared" si="65"/>
        <v>341042.21</v>
      </c>
      <c r="N816" s="235">
        <f t="shared" si="62"/>
        <v>0</v>
      </c>
      <c r="O816" s="35" t="s">
        <v>3327</v>
      </c>
      <c r="P816" s="35"/>
      <c r="Q816" s="39">
        <f>SUMIF('Antelope Bailey Split BA'!$B$7:$B$29,B816,'Antelope Bailey Split BA'!$C$7:$C$29)</f>
        <v>0</v>
      </c>
      <c r="R816" s="39" t="str">
        <f>IF(AND(Q816=1,'Plant Total by Account'!$J$1=2),"EKWRA","")</f>
        <v/>
      </c>
    </row>
    <row r="817" spans="1:18" x14ac:dyDescent="0.2">
      <c r="A817" s="31" t="s">
        <v>3267</v>
      </c>
      <c r="B817" s="97" t="s">
        <v>944</v>
      </c>
      <c r="C817" s="504" t="s">
        <v>3353</v>
      </c>
      <c r="D817" s="42">
        <v>0</v>
      </c>
      <c r="E817" s="42">
        <v>2990.62</v>
      </c>
      <c r="F817" s="42">
        <v>1281905.58</v>
      </c>
      <c r="G817" s="581">
        <f t="shared" si="61"/>
        <v>1284896.2000000002</v>
      </c>
      <c r="H817" s="33">
        <v>0</v>
      </c>
      <c r="I817" s="33">
        <v>0</v>
      </c>
      <c r="J817" s="33">
        <v>0</v>
      </c>
      <c r="K817" s="33">
        <f t="shared" si="63"/>
        <v>0</v>
      </c>
      <c r="L817" s="33">
        <f t="shared" si="64"/>
        <v>2990.62</v>
      </c>
      <c r="M817" s="33">
        <f t="shared" si="65"/>
        <v>1281905.58</v>
      </c>
      <c r="N817" s="235">
        <f t="shared" si="62"/>
        <v>0</v>
      </c>
      <c r="O817" s="35" t="s">
        <v>3327</v>
      </c>
      <c r="P817" s="35"/>
      <c r="Q817" s="39">
        <f>SUMIF('Antelope Bailey Split BA'!$B$7:$B$29,B817,'Antelope Bailey Split BA'!$C$7:$C$29)</f>
        <v>0</v>
      </c>
      <c r="R817" s="39" t="str">
        <f>IF(AND(Q817=1,'Plant Total by Account'!$J$1=2),"EKWRA","")</f>
        <v/>
      </c>
    </row>
    <row r="818" spans="1:18" x14ac:dyDescent="0.2">
      <c r="A818" s="31" t="s">
        <v>3268</v>
      </c>
      <c r="B818" s="97" t="s">
        <v>945</v>
      </c>
      <c r="C818" s="504" t="s">
        <v>3353</v>
      </c>
      <c r="D818" s="42">
        <v>0</v>
      </c>
      <c r="E818" s="42">
        <v>7504.5</v>
      </c>
      <c r="F818" s="42">
        <v>72781.679999999993</v>
      </c>
      <c r="G818" s="581">
        <f t="shared" si="61"/>
        <v>80286.179999999993</v>
      </c>
      <c r="H818" s="33">
        <v>0</v>
      </c>
      <c r="I818" s="33">
        <v>0</v>
      </c>
      <c r="J818" s="33">
        <v>0</v>
      </c>
      <c r="K818" s="33">
        <f t="shared" si="63"/>
        <v>0</v>
      </c>
      <c r="L818" s="33">
        <f t="shared" si="64"/>
        <v>7504.5</v>
      </c>
      <c r="M818" s="33">
        <f t="shared" si="65"/>
        <v>72781.679999999993</v>
      </c>
      <c r="N818" s="235">
        <f t="shared" si="62"/>
        <v>0</v>
      </c>
      <c r="O818" s="35" t="s">
        <v>3327</v>
      </c>
      <c r="P818" s="35"/>
      <c r="Q818" s="39">
        <f>SUMIF('Antelope Bailey Split BA'!$B$7:$B$29,B818,'Antelope Bailey Split BA'!$C$7:$C$29)</f>
        <v>0</v>
      </c>
      <c r="R818" s="39" t="str">
        <f>IF(AND(Q818=1,'Plant Total by Account'!$J$1=2),"EKWRA","")</f>
        <v/>
      </c>
    </row>
    <row r="819" spans="1:18" x14ac:dyDescent="0.2">
      <c r="A819" s="31" t="s">
        <v>3269</v>
      </c>
      <c r="B819" s="97" t="s">
        <v>946</v>
      </c>
      <c r="C819" s="504" t="s">
        <v>3353</v>
      </c>
      <c r="D819" s="42">
        <v>2627.53</v>
      </c>
      <c r="E819" s="42">
        <v>1972.25</v>
      </c>
      <c r="F819" s="42">
        <v>384899.74</v>
      </c>
      <c r="G819" s="581">
        <f t="shared" si="61"/>
        <v>389499.52</v>
      </c>
      <c r="H819" s="33">
        <v>0</v>
      </c>
      <c r="I819" s="33">
        <v>0</v>
      </c>
      <c r="J819" s="33">
        <v>0</v>
      </c>
      <c r="K819" s="33">
        <f t="shared" si="63"/>
        <v>2627.53</v>
      </c>
      <c r="L819" s="33">
        <f t="shared" si="64"/>
        <v>1972.25</v>
      </c>
      <c r="M819" s="33">
        <f t="shared" si="65"/>
        <v>384899.74</v>
      </c>
      <c r="N819" s="235">
        <f t="shared" si="62"/>
        <v>0</v>
      </c>
      <c r="O819" s="35" t="s">
        <v>3327</v>
      </c>
      <c r="P819" s="35"/>
      <c r="Q819" s="39">
        <f>SUMIF('Antelope Bailey Split BA'!$B$7:$B$29,B819,'Antelope Bailey Split BA'!$C$7:$C$29)</f>
        <v>0</v>
      </c>
      <c r="R819" s="39" t="str">
        <f>IF(AND(Q819=1,'Plant Total by Account'!$J$1=2),"EKWRA","")</f>
        <v/>
      </c>
    </row>
    <row r="820" spans="1:18" ht="13.5" customHeight="1" x14ac:dyDescent="0.2">
      <c r="A820" s="31" t="s">
        <v>3270</v>
      </c>
      <c r="B820" s="97" t="s">
        <v>947</v>
      </c>
      <c r="C820" s="504" t="s">
        <v>3353</v>
      </c>
      <c r="D820" s="42">
        <v>8184.45</v>
      </c>
      <c r="E820" s="42">
        <v>18408.050000000003</v>
      </c>
      <c r="F820" s="42">
        <v>1678215.7300000007</v>
      </c>
      <c r="G820" s="581">
        <f t="shared" si="61"/>
        <v>1704808.2300000007</v>
      </c>
      <c r="H820" s="33">
        <v>0</v>
      </c>
      <c r="I820" s="33">
        <v>0</v>
      </c>
      <c r="J820" s="33">
        <v>0</v>
      </c>
      <c r="K820" s="33">
        <f t="shared" si="63"/>
        <v>8184.45</v>
      </c>
      <c r="L820" s="33">
        <f t="shared" si="64"/>
        <v>18408.050000000003</v>
      </c>
      <c r="M820" s="33">
        <f t="shared" si="65"/>
        <v>1678215.7300000007</v>
      </c>
      <c r="N820" s="235">
        <f t="shared" si="62"/>
        <v>0</v>
      </c>
      <c r="O820" s="35" t="s">
        <v>3327</v>
      </c>
      <c r="P820" s="35"/>
      <c r="Q820" s="39">
        <f>SUMIF('Antelope Bailey Split BA'!$B$7:$B$29,B820,'Antelope Bailey Split BA'!$C$7:$C$29)</f>
        <v>0</v>
      </c>
      <c r="R820" s="39" t="str">
        <f>IF(AND(Q820=1,'Plant Total by Account'!$J$1=2),"EKWRA","")</f>
        <v/>
      </c>
    </row>
    <row r="821" spans="1:18" x14ac:dyDescent="0.2">
      <c r="A821" s="31" t="s">
        <v>3271</v>
      </c>
      <c r="B821" s="97" t="s">
        <v>948</v>
      </c>
      <c r="C821" s="504" t="s">
        <v>3353</v>
      </c>
      <c r="D821" s="42">
        <v>5964.82</v>
      </c>
      <c r="E821" s="42">
        <v>19739.809999999998</v>
      </c>
      <c r="F821" s="42">
        <v>305634.16000000003</v>
      </c>
      <c r="G821" s="581">
        <f t="shared" si="61"/>
        <v>331338.79000000004</v>
      </c>
      <c r="H821" s="33">
        <v>0</v>
      </c>
      <c r="I821" s="33">
        <v>0</v>
      </c>
      <c r="J821" s="33">
        <v>0</v>
      </c>
      <c r="K821" s="33">
        <f t="shared" si="63"/>
        <v>5964.82</v>
      </c>
      <c r="L821" s="33">
        <f t="shared" si="64"/>
        <v>19739.809999999998</v>
      </c>
      <c r="M821" s="33">
        <f t="shared" si="65"/>
        <v>305634.16000000003</v>
      </c>
      <c r="N821" s="235">
        <f t="shared" si="62"/>
        <v>0</v>
      </c>
      <c r="O821" s="35" t="s">
        <v>3327</v>
      </c>
      <c r="P821" s="35"/>
      <c r="Q821" s="39">
        <f>SUMIF('Antelope Bailey Split BA'!$B$7:$B$29,B821,'Antelope Bailey Split BA'!$C$7:$C$29)</f>
        <v>0</v>
      </c>
      <c r="R821" s="39" t="str">
        <f>IF(AND(Q821=1,'Plant Total by Account'!$J$1=2),"EKWRA","")</f>
        <v/>
      </c>
    </row>
    <row r="822" spans="1:18" x14ac:dyDescent="0.2">
      <c r="A822" s="31" t="s">
        <v>2623</v>
      </c>
      <c r="B822" s="97" t="s">
        <v>949</v>
      </c>
      <c r="C822" s="504" t="s">
        <v>3353</v>
      </c>
      <c r="D822" s="42">
        <v>0</v>
      </c>
      <c r="E822" s="42">
        <v>28500.09</v>
      </c>
      <c r="F822" s="42">
        <v>368969.9</v>
      </c>
      <c r="G822" s="581">
        <f t="shared" si="61"/>
        <v>397469.99000000005</v>
      </c>
      <c r="H822" s="33">
        <v>0</v>
      </c>
      <c r="I822" s="33">
        <v>0</v>
      </c>
      <c r="J822" s="33">
        <v>0</v>
      </c>
      <c r="K822" s="33">
        <f t="shared" si="63"/>
        <v>0</v>
      </c>
      <c r="L822" s="33">
        <f t="shared" si="64"/>
        <v>28500.09</v>
      </c>
      <c r="M822" s="33">
        <f t="shared" si="65"/>
        <v>368969.9</v>
      </c>
      <c r="N822" s="235">
        <f t="shared" si="62"/>
        <v>0</v>
      </c>
      <c r="O822" s="35" t="s">
        <v>3327</v>
      </c>
      <c r="P822" s="35"/>
      <c r="Q822" s="39">
        <f>SUMIF('Antelope Bailey Split BA'!$B$7:$B$29,B822,'Antelope Bailey Split BA'!$C$7:$C$29)</f>
        <v>0</v>
      </c>
      <c r="R822" s="39" t="str">
        <f>IF(AND(Q822=1,'Plant Total by Account'!$J$1=2),"EKWRA","")</f>
        <v/>
      </c>
    </row>
    <row r="823" spans="1:18" x14ac:dyDescent="0.2">
      <c r="A823" s="31" t="s">
        <v>3272</v>
      </c>
      <c r="B823" s="97" t="s">
        <v>950</v>
      </c>
      <c r="C823" s="504" t="s">
        <v>3353</v>
      </c>
      <c r="D823" s="42">
        <v>0</v>
      </c>
      <c r="E823" s="42">
        <v>0</v>
      </c>
      <c r="F823" s="42">
        <v>128111.88</v>
      </c>
      <c r="G823" s="581">
        <f t="shared" si="61"/>
        <v>128111.88</v>
      </c>
      <c r="H823" s="33">
        <v>0</v>
      </c>
      <c r="I823" s="33">
        <v>0</v>
      </c>
      <c r="J823" s="33">
        <v>0</v>
      </c>
      <c r="K823" s="33">
        <f t="shared" si="63"/>
        <v>0</v>
      </c>
      <c r="L823" s="33">
        <f t="shared" si="64"/>
        <v>0</v>
      </c>
      <c r="M823" s="33">
        <f t="shared" si="65"/>
        <v>128111.88</v>
      </c>
      <c r="N823" s="235">
        <f t="shared" si="62"/>
        <v>0</v>
      </c>
      <c r="O823" s="35" t="s">
        <v>3327</v>
      </c>
      <c r="P823" s="35"/>
      <c r="Q823" s="39">
        <f>SUMIF('Antelope Bailey Split BA'!$B$7:$B$29,B823,'Antelope Bailey Split BA'!$C$7:$C$29)</f>
        <v>0</v>
      </c>
      <c r="R823" s="39" t="str">
        <f>IF(AND(Q823=1,'Plant Total by Account'!$J$1=2),"EKWRA","")</f>
        <v/>
      </c>
    </row>
    <row r="824" spans="1:18" x14ac:dyDescent="0.2">
      <c r="A824" s="31" t="s">
        <v>3273</v>
      </c>
      <c r="B824" s="97" t="s">
        <v>951</v>
      </c>
      <c r="C824" s="504" t="s">
        <v>3353</v>
      </c>
      <c r="D824" s="42">
        <v>0</v>
      </c>
      <c r="E824" s="42">
        <v>13247.060000000001</v>
      </c>
      <c r="F824" s="42">
        <v>428755.65000000014</v>
      </c>
      <c r="G824" s="581">
        <f t="shared" si="61"/>
        <v>442002.71000000014</v>
      </c>
      <c r="H824" s="33">
        <v>0</v>
      </c>
      <c r="I824" s="33">
        <v>0</v>
      </c>
      <c r="J824" s="33">
        <v>0</v>
      </c>
      <c r="K824" s="33">
        <f t="shared" si="63"/>
        <v>0</v>
      </c>
      <c r="L824" s="33">
        <f t="shared" si="64"/>
        <v>13247.060000000001</v>
      </c>
      <c r="M824" s="33">
        <f t="shared" si="65"/>
        <v>428755.65000000014</v>
      </c>
      <c r="N824" s="235">
        <f t="shared" si="62"/>
        <v>0</v>
      </c>
      <c r="O824" s="35" t="s">
        <v>3327</v>
      </c>
      <c r="P824" s="35"/>
      <c r="Q824" s="39">
        <f>SUMIF('Antelope Bailey Split BA'!$B$7:$B$29,B824,'Antelope Bailey Split BA'!$C$7:$C$29)</f>
        <v>0</v>
      </c>
      <c r="R824" s="39" t="str">
        <f>IF(AND(Q824=1,'Plant Total by Account'!$J$1=2),"EKWRA","")</f>
        <v/>
      </c>
    </row>
    <row r="825" spans="1:18" x14ac:dyDescent="0.2">
      <c r="A825" s="31" t="s">
        <v>3274</v>
      </c>
      <c r="B825" s="97" t="s">
        <v>952</v>
      </c>
      <c r="C825" s="504" t="s">
        <v>3353</v>
      </c>
      <c r="D825" s="42">
        <v>308987.93</v>
      </c>
      <c r="E825" s="42">
        <v>390418.87000000005</v>
      </c>
      <c r="F825" s="42">
        <v>2477303.9600000004</v>
      </c>
      <c r="G825" s="581">
        <f t="shared" si="61"/>
        <v>3176710.7600000007</v>
      </c>
      <c r="H825" s="33">
        <v>0</v>
      </c>
      <c r="I825" s="33">
        <v>0</v>
      </c>
      <c r="J825" s="33">
        <v>0</v>
      </c>
      <c r="K825" s="33">
        <f t="shared" si="63"/>
        <v>308987.93</v>
      </c>
      <c r="L825" s="33">
        <f t="shared" si="64"/>
        <v>390418.87000000005</v>
      </c>
      <c r="M825" s="33">
        <f t="shared" si="65"/>
        <v>2477303.9600000004</v>
      </c>
      <c r="N825" s="235">
        <f t="shared" si="62"/>
        <v>0</v>
      </c>
      <c r="O825" s="35" t="s">
        <v>3327</v>
      </c>
      <c r="P825" s="35"/>
      <c r="Q825" s="39">
        <f>SUMIF('Antelope Bailey Split BA'!$B$7:$B$29,B825,'Antelope Bailey Split BA'!$C$7:$C$29)</f>
        <v>0</v>
      </c>
      <c r="R825" s="39" t="str">
        <f>IF(AND(Q825=1,'Plant Total by Account'!$J$1=2),"EKWRA","")</f>
        <v/>
      </c>
    </row>
    <row r="826" spans="1:18" x14ac:dyDescent="0.2">
      <c r="A826" s="31" t="s">
        <v>3275</v>
      </c>
      <c r="B826" s="97" t="s">
        <v>953</v>
      </c>
      <c r="C826" s="504" t="s">
        <v>3353</v>
      </c>
      <c r="D826" s="42">
        <v>60389.310000000005</v>
      </c>
      <c r="E826" s="42">
        <v>219229.65</v>
      </c>
      <c r="F826" s="42">
        <v>7457365.8899999969</v>
      </c>
      <c r="G826" s="581">
        <f t="shared" si="61"/>
        <v>7736984.8499999968</v>
      </c>
      <c r="H826" s="33">
        <v>0</v>
      </c>
      <c r="I826" s="33">
        <v>0</v>
      </c>
      <c r="J826" s="33">
        <v>0</v>
      </c>
      <c r="K826" s="33">
        <f t="shared" si="63"/>
        <v>60389.310000000005</v>
      </c>
      <c r="L826" s="33">
        <f t="shared" si="64"/>
        <v>219229.65</v>
      </c>
      <c r="M826" s="33">
        <f t="shared" si="65"/>
        <v>7457365.8899999969</v>
      </c>
      <c r="N826" s="235">
        <f t="shared" si="62"/>
        <v>0</v>
      </c>
      <c r="O826" s="35" t="s">
        <v>3327</v>
      </c>
      <c r="P826" s="35"/>
      <c r="Q826" s="39">
        <f>SUMIF('Antelope Bailey Split BA'!$B$7:$B$29,B826,'Antelope Bailey Split BA'!$C$7:$C$29)</f>
        <v>0</v>
      </c>
      <c r="R826" s="39" t="str">
        <f>IF(AND(Q826=1,'Plant Total by Account'!$J$1=2),"EKWRA","")</f>
        <v/>
      </c>
    </row>
    <row r="827" spans="1:18" x14ac:dyDescent="0.2">
      <c r="A827" s="31" t="s">
        <v>3276</v>
      </c>
      <c r="B827" s="97" t="s">
        <v>954</v>
      </c>
      <c r="C827" s="504" t="s">
        <v>3353</v>
      </c>
      <c r="D827" s="42">
        <v>0</v>
      </c>
      <c r="E827" s="42">
        <v>15163.28</v>
      </c>
      <c r="F827" s="42">
        <v>309807.49</v>
      </c>
      <c r="G827" s="581">
        <f t="shared" si="61"/>
        <v>324970.77</v>
      </c>
      <c r="H827" s="33">
        <v>0</v>
      </c>
      <c r="I827" s="33">
        <v>0</v>
      </c>
      <c r="J827" s="33">
        <v>0</v>
      </c>
      <c r="K827" s="33">
        <f t="shared" si="63"/>
        <v>0</v>
      </c>
      <c r="L827" s="33">
        <f t="shared" si="64"/>
        <v>15163.28</v>
      </c>
      <c r="M827" s="33">
        <f t="shared" si="65"/>
        <v>309807.49</v>
      </c>
      <c r="N827" s="235">
        <f t="shared" si="62"/>
        <v>0</v>
      </c>
      <c r="O827" s="35" t="s">
        <v>3327</v>
      </c>
      <c r="P827" s="35"/>
      <c r="Q827" s="39">
        <f>SUMIF('Antelope Bailey Split BA'!$B$7:$B$29,B827,'Antelope Bailey Split BA'!$C$7:$C$29)</f>
        <v>0</v>
      </c>
      <c r="R827" s="39" t="str">
        <f>IF(AND(Q827=1,'Plant Total by Account'!$J$1=2),"EKWRA","")</f>
        <v/>
      </c>
    </row>
    <row r="828" spans="1:18" x14ac:dyDescent="0.2">
      <c r="A828" s="31" t="s">
        <v>3277</v>
      </c>
      <c r="B828" s="97" t="s">
        <v>955</v>
      </c>
      <c r="C828" s="504" t="s">
        <v>3353</v>
      </c>
      <c r="D828" s="42">
        <v>0</v>
      </c>
      <c r="E828" s="42">
        <v>17703.25</v>
      </c>
      <c r="F828" s="42">
        <v>126572.24</v>
      </c>
      <c r="G828" s="581">
        <f t="shared" si="61"/>
        <v>144275.49</v>
      </c>
      <c r="H828" s="33">
        <v>0</v>
      </c>
      <c r="I828" s="33">
        <v>0</v>
      </c>
      <c r="J828" s="33">
        <v>0</v>
      </c>
      <c r="K828" s="33">
        <f t="shared" si="63"/>
        <v>0</v>
      </c>
      <c r="L828" s="33">
        <f t="shared" si="64"/>
        <v>17703.25</v>
      </c>
      <c r="M828" s="33">
        <f t="shared" si="65"/>
        <v>126572.24</v>
      </c>
      <c r="N828" s="235">
        <f t="shared" si="62"/>
        <v>0</v>
      </c>
      <c r="O828" s="35" t="s">
        <v>3327</v>
      </c>
      <c r="P828" s="35"/>
      <c r="Q828" s="39">
        <f>SUMIF('Antelope Bailey Split BA'!$B$7:$B$29,B828,'Antelope Bailey Split BA'!$C$7:$C$29)</f>
        <v>0</v>
      </c>
      <c r="R828" s="39" t="str">
        <f>IF(AND(Q828=1,'Plant Total by Account'!$J$1=2),"EKWRA","")</f>
        <v/>
      </c>
    </row>
    <row r="829" spans="1:18" x14ac:dyDescent="0.2">
      <c r="A829" s="31" t="s">
        <v>3278</v>
      </c>
      <c r="B829" s="97" t="s">
        <v>956</v>
      </c>
      <c r="C829" s="504" t="s">
        <v>3353</v>
      </c>
      <c r="D829" s="42">
        <v>0</v>
      </c>
      <c r="E829" s="42">
        <v>32070.51</v>
      </c>
      <c r="F829" s="42">
        <v>3254323.4900000021</v>
      </c>
      <c r="G829" s="581">
        <f t="shared" si="61"/>
        <v>3286394.0000000019</v>
      </c>
      <c r="H829" s="33">
        <v>0</v>
      </c>
      <c r="I829" s="33">
        <v>0</v>
      </c>
      <c r="J829" s="33">
        <v>0</v>
      </c>
      <c r="K829" s="33">
        <f t="shared" si="63"/>
        <v>0</v>
      </c>
      <c r="L829" s="33">
        <f t="shared" si="64"/>
        <v>32070.51</v>
      </c>
      <c r="M829" s="33">
        <f t="shared" si="65"/>
        <v>3254323.4900000021</v>
      </c>
      <c r="N829" s="235">
        <f t="shared" si="62"/>
        <v>0</v>
      </c>
      <c r="O829" s="35" t="s">
        <v>3327</v>
      </c>
      <c r="P829" s="35"/>
      <c r="Q829" s="39">
        <f>SUMIF('Antelope Bailey Split BA'!$B$7:$B$29,B829,'Antelope Bailey Split BA'!$C$7:$C$29)</f>
        <v>0</v>
      </c>
      <c r="R829" s="39" t="str">
        <f>IF(AND(Q829=1,'Plant Total by Account'!$J$1=2),"EKWRA","")</f>
        <v/>
      </c>
    </row>
    <row r="830" spans="1:18" x14ac:dyDescent="0.2">
      <c r="A830" s="31" t="s">
        <v>2624</v>
      </c>
      <c r="B830" s="97" t="s">
        <v>957</v>
      </c>
      <c r="C830" s="504" t="s">
        <v>3353</v>
      </c>
      <c r="D830" s="42">
        <v>12955.66</v>
      </c>
      <c r="E830" s="42">
        <v>782016.91999999981</v>
      </c>
      <c r="F830" s="42">
        <v>8711978.1199999955</v>
      </c>
      <c r="G830" s="581">
        <f t="shared" si="61"/>
        <v>9506950.6999999955</v>
      </c>
      <c r="H830" s="33">
        <v>0</v>
      </c>
      <c r="I830" s="33">
        <v>0</v>
      </c>
      <c r="J830" s="33">
        <v>0</v>
      </c>
      <c r="K830" s="33">
        <f t="shared" si="63"/>
        <v>12955.66</v>
      </c>
      <c r="L830" s="33">
        <f t="shared" si="64"/>
        <v>782016.91999999981</v>
      </c>
      <c r="M830" s="33">
        <f t="shared" si="65"/>
        <v>8711978.1199999955</v>
      </c>
      <c r="N830" s="235">
        <f t="shared" si="62"/>
        <v>0</v>
      </c>
      <c r="O830" s="35" t="s">
        <v>3327</v>
      </c>
      <c r="P830" s="35"/>
      <c r="Q830" s="39">
        <f>SUMIF('Antelope Bailey Split BA'!$B$7:$B$29,B830,'Antelope Bailey Split BA'!$C$7:$C$29)</f>
        <v>0</v>
      </c>
      <c r="R830" s="39" t="str">
        <f>IF(AND(Q830=1,'Plant Total by Account'!$J$1=2),"EKWRA","")</f>
        <v/>
      </c>
    </row>
    <row r="831" spans="1:18" x14ac:dyDescent="0.2">
      <c r="A831" s="31" t="s">
        <v>3279</v>
      </c>
      <c r="B831" s="97" t="s">
        <v>958</v>
      </c>
      <c r="C831" s="504" t="s">
        <v>3353</v>
      </c>
      <c r="D831" s="42">
        <v>0</v>
      </c>
      <c r="E831" s="42">
        <v>21202.050000000003</v>
      </c>
      <c r="F831" s="42">
        <v>492492.08</v>
      </c>
      <c r="G831" s="581">
        <f t="shared" si="61"/>
        <v>513694.13</v>
      </c>
      <c r="H831" s="33">
        <v>0</v>
      </c>
      <c r="I831" s="33">
        <v>0</v>
      </c>
      <c r="J831" s="33">
        <v>0</v>
      </c>
      <c r="K831" s="33">
        <f t="shared" si="63"/>
        <v>0</v>
      </c>
      <c r="L831" s="33">
        <f t="shared" si="64"/>
        <v>21202.050000000003</v>
      </c>
      <c r="M831" s="33">
        <f t="shared" si="65"/>
        <v>492492.08</v>
      </c>
      <c r="N831" s="235">
        <f t="shared" si="62"/>
        <v>0</v>
      </c>
      <c r="O831" s="35" t="s">
        <v>3327</v>
      </c>
      <c r="P831" s="35"/>
      <c r="Q831" s="39">
        <f>SUMIF('Antelope Bailey Split BA'!$B$7:$B$29,B831,'Antelope Bailey Split BA'!$C$7:$C$29)</f>
        <v>0</v>
      </c>
      <c r="R831" s="39" t="str">
        <f>IF(AND(Q831=1,'Plant Total by Account'!$J$1=2),"EKWRA","")</f>
        <v/>
      </c>
    </row>
    <row r="832" spans="1:18" x14ac:dyDescent="0.2">
      <c r="A832" s="31" t="s">
        <v>3280</v>
      </c>
      <c r="B832" s="97" t="s">
        <v>959</v>
      </c>
      <c r="C832" s="504" t="s">
        <v>3353</v>
      </c>
      <c r="D832" s="42">
        <v>191.86</v>
      </c>
      <c r="E832" s="42">
        <v>3899.54</v>
      </c>
      <c r="F832" s="42">
        <v>102233.79000000001</v>
      </c>
      <c r="G832" s="581">
        <f t="shared" si="61"/>
        <v>106325.19</v>
      </c>
      <c r="H832" s="33">
        <v>0</v>
      </c>
      <c r="I832" s="33">
        <v>0</v>
      </c>
      <c r="J832" s="33">
        <v>0</v>
      </c>
      <c r="K832" s="33">
        <f t="shared" si="63"/>
        <v>191.86</v>
      </c>
      <c r="L832" s="33">
        <f t="shared" si="64"/>
        <v>3899.54</v>
      </c>
      <c r="M832" s="33">
        <f t="shared" si="65"/>
        <v>102233.79000000001</v>
      </c>
      <c r="N832" s="235">
        <f t="shared" si="62"/>
        <v>0</v>
      </c>
      <c r="O832" s="35" t="s">
        <v>3327</v>
      </c>
      <c r="P832" s="35"/>
      <c r="Q832" s="39">
        <f>SUMIF('Antelope Bailey Split BA'!$B$7:$B$29,B832,'Antelope Bailey Split BA'!$C$7:$C$29)</f>
        <v>0</v>
      </c>
      <c r="R832" s="39" t="str">
        <f>IF(AND(Q832=1,'Plant Total by Account'!$J$1=2),"EKWRA","")</f>
        <v/>
      </c>
    </row>
    <row r="833" spans="1:18" x14ac:dyDescent="0.2">
      <c r="A833" s="31" t="s">
        <v>3281</v>
      </c>
      <c r="B833" s="97" t="s">
        <v>960</v>
      </c>
      <c r="C833" s="504" t="s">
        <v>3353</v>
      </c>
      <c r="D833" s="42">
        <v>0</v>
      </c>
      <c r="E833" s="42">
        <v>6771.37</v>
      </c>
      <c r="F833" s="42">
        <v>242457.83999999997</v>
      </c>
      <c r="G833" s="581">
        <f t="shared" si="61"/>
        <v>249229.20999999996</v>
      </c>
      <c r="H833" s="33">
        <v>0</v>
      </c>
      <c r="I833" s="33">
        <v>0</v>
      </c>
      <c r="J833" s="33">
        <v>0</v>
      </c>
      <c r="K833" s="33">
        <f t="shared" si="63"/>
        <v>0</v>
      </c>
      <c r="L833" s="33">
        <f t="shared" si="64"/>
        <v>6771.37</v>
      </c>
      <c r="M833" s="33">
        <f t="shared" si="65"/>
        <v>242457.83999999997</v>
      </c>
      <c r="N833" s="235">
        <f t="shared" si="62"/>
        <v>0</v>
      </c>
      <c r="O833" s="35" t="s">
        <v>3327</v>
      </c>
      <c r="P833" s="35"/>
      <c r="Q833" s="39">
        <f>SUMIF('Antelope Bailey Split BA'!$B$7:$B$29,B833,'Antelope Bailey Split BA'!$C$7:$C$29)</f>
        <v>0</v>
      </c>
      <c r="R833" s="39" t="str">
        <f>IF(AND(Q833=1,'Plant Total by Account'!$J$1=2),"EKWRA","")</f>
        <v/>
      </c>
    </row>
    <row r="834" spans="1:18" x14ac:dyDescent="0.2">
      <c r="A834" s="31" t="s">
        <v>3282</v>
      </c>
      <c r="B834" s="97" t="s">
        <v>961</v>
      </c>
      <c r="C834" s="504" t="s">
        <v>3353</v>
      </c>
      <c r="D834" s="42">
        <v>6049.5599999999995</v>
      </c>
      <c r="E834" s="42">
        <v>7562.73</v>
      </c>
      <c r="F834" s="42">
        <v>610579.21</v>
      </c>
      <c r="G834" s="581">
        <f t="shared" si="61"/>
        <v>624191.5</v>
      </c>
      <c r="H834" s="33">
        <v>0</v>
      </c>
      <c r="I834" s="33">
        <v>0</v>
      </c>
      <c r="J834" s="33">
        <v>0</v>
      </c>
      <c r="K834" s="33">
        <f t="shared" si="63"/>
        <v>6049.5599999999995</v>
      </c>
      <c r="L834" s="33">
        <f t="shared" si="64"/>
        <v>7562.73</v>
      </c>
      <c r="M834" s="33">
        <f t="shared" si="65"/>
        <v>610579.21</v>
      </c>
      <c r="N834" s="235">
        <f t="shared" si="62"/>
        <v>0</v>
      </c>
      <c r="O834" s="35" t="s">
        <v>3327</v>
      </c>
      <c r="P834" s="35"/>
      <c r="Q834" s="39">
        <f>SUMIF('Antelope Bailey Split BA'!$B$7:$B$29,B834,'Antelope Bailey Split BA'!$C$7:$C$29)</f>
        <v>0</v>
      </c>
      <c r="R834" s="39" t="str">
        <f>IF(AND(Q834=1,'Plant Total by Account'!$J$1=2),"EKWRA","")</f>
        <v/>
      </c>
    </row>
    <row r="835" spans="1:18" x14ac:dyDescent="0.2">
      <c r="A835" s="31" t="s">
        <v>3283</v>
      </c>
      <c r="B835" s="97" t="s">
        <v>962</v>
      </c>
      <c r="C835" s="504" t="s">
        <v>3353</v>
      </c>
      <c r="D835" s="42">
        <v>10270.56</v>
      </c>
      <c r="E835" s="42">
        <v>2311.84</v>
      </c>
      <c r="F835" s="42">
        <v>579856.04</v>
      </c>
      <c r="G835" s="581">
        <f t="shared" si="61"/>
        <v>592438.44000000006</v>
      </c>
      <c r="H835" s="33">
        <v>0</v>
      </c>
      <c r="I835" s="33">
        <v>0</v>
      </c>
      <c r="J835" s="33">
        <v>0</v>
      </c>
      <c r="K835" s="33">
        <f t="shared" si="63"/>
        <v>10270.56</v>
      </c>
      <c r="L835" s="33">
        <f t="shared" si="64"/>
        <v>2311.84</v>
      </c>
      <c r="M835" s="33">
        <f t="shared" si="65"/>
        <v>579856.04</v>
      </c>
      <c r="N835" s="235">
        <f t="shared" si="62"/>
        <v>0</v>
      </c>
      <c r="O835" s="35" t="s">
        <v>3327</v>
      </c>
      <c r="P835" s="35"/>
      <c r="Q835" s="39">
        <f>SUMIF('Antelope Bailey Split BA'!$B$7:$B$29,B835,'Antelope Bailey Split BA'!$C$7:$C$29)</f>
        <v>0</v>
      </c>
      <c r="R835" s="39" t="str">
        <f>IF(AND(Q835=1,'Plant Total by Account'!$J$1=2),"EKWRA","")</f>
        <v/>
      </c>
    </row>
    <row r="836" spans="1:18" x14ac:dyDescent="0.2">
      <c r="A836" s="31" t="s">
        <v>3284</v>
      </c>
      <c r="B836" s="97" t="s">
        <v>963</v>
      </c>
      <c r="C836" s="504" t="s">
        <v>3353</v>
      </c>
      <c r="D836" s="42">
        <v>0</v>
      </c>
      <c r="E836" s="42">
        <v>7130.68</v>
      </c>
      <c r="F836" s="42">
        <v>616456.30000000028</v>
      </c>
      <c r="G836" s="581">
        <f t="shared" si="61"/>
        <v>623586.98000000033</v>
      </c>
      <c r="H836" s="33">
        <v>0</v>
      </c>
      <c r="I836" s="33">
        <v>0</v>
      </c>
      <c r="J836" s="33">
        <v>0</v>
      </c>
      <c r="K836" s="33">
        <f t="shared" si="63"/>
        <v>0</v>
      </c>
      <c r="L836" s="33">
        <f t="shared" si="64"/>
        <v>7130.68</v>
      </c>
      <c r="M836" s="33">
        <f t="shared" si="65"/>
        <v>616456.30000000028</v>
      </c>
      <c r="N836" s="235">
        <f t="shared" si="62"/>
        <v>0</v>
      </c>
      <c r="O836" s="35" t="s">
        <v>3327</v>
      </c>
      <c r="P836" s="35"/>
      <c r="Q836" s="39">
        <f>SUMIF('Antelope Bailey Split BA'!$B$7:$B$29,B836,'Antelope Bailey Split BA'!$C$7:$C$29)</f>
        <v>0</v>
      </c>
      <c r="R836" s="39" t="str">
        <f>IF(AND(Q836=1,'Plant Total by Account'!$J$1=2),"EKWRA","")</f>
        <v/>
      </c>
    </row>
    <row r="837" spans="1:18" x14ac:dyDescent="0.2">
      <c r="A837" s="31" t="s">
        <v>3285</v>
      </c>
      <c r="B837" s="97" t="s">
        <v>964</v>
      </c>
      <c r="C837" s="504" t="s">
        <v>3353</v>
      </c>
      <c r="D837" s="42">
        <v>0</v>
      </c>
      <c r="E837" s="42">
        <v>6862.91</v>
      </c>
      <c r="F837" s="42">
        <v>472349.49000000005</v>
      </c>
      <c r="G837" s="581">
        <f t="shared" si="61"/>
        <v>479212.4</v>
      </c>
      <c r="H837" s="33">
        <v>0</v>
      </c>
      <c r="I837" s="33">
        <v>0</v>
      </c>
      <c r="J837" s="33">
        <v>0</v>
      </c>
      <c r="K837" s="33">
        <f t="shared" si="63"/>
        <v>0</v>
      </c>
      <c r="L837" s="33">
        <f t="shared" si="64"/>
        <v>6862.91</v>
      </c>
      <c r="M837" s="33">
        <f t="shared" si="65"/>
        <v>472349.49000000005</v>
      </c>
      <c r="N837" s="235">
        <f t="shared" si="62"/>
        <v>0</v>
      </c>
      <c r="O837" s="35" t="s">
        <v>3327</v>
      </c>
      <c r="P837" s="35"/>
      <c r="Q837" s="39">
        <f>SUMIF('Antelope Bailey Split BA'!$B$7:$B$29,B837,'Antelope Bailey Split BA'!$C$7:$C$29)</f>
        <v>0</v>
      </c>
      <c r="R837" s="39" t="str">
        <f>IF(AND(Q837=1,'Plant Total by Account'!$J$1=2),"EKWRA","")</f>
        <v/>
      </c>
    </row>
    <row r="838" spans="1:18" x14ac:dyDescent="0.2">
      <c r="A838" s="31" t="s">
        <v>3286</v>
      </c>
      <c r="B838" s="97" t="s">
        <v>965</v>
      </c>
      <c r="C838" s="504" t="s">
        <v>3353</v>
      </c>
      <c r="D838" s="42">
        <v>9319.27</v>
      </c>
      <c r="E838" s="42">
        <v>1192.9000000000001</v>
      </c>
      <c r="F838" s="42">
        <v>538929.09000000008</v>
      </c>
      <c r="G838" s="581">
        <f t="shared" si="61"/>
        <v>549441.26000000013</v>
      </c>
      <c r="H838" s="33">
        <v>0</v>
      </c>
      <c r="I838" s="33">
        <v>0</v>
      </c>
      <c r="J838" s="33">
        <v>0</v>
      </c>
      <c r="K838" s="33">
        <f t="shared" si="63"/>
        <v>9319.27</v>
      </c>
      <c r="L838" s="33">
        <f t="shared" si="64"/>
        <v>1192.9000000000001</v>
      </c>
      <c r="M838" s="33">
        <f t="shared" si="65"/>
        <v>538929.09000000008</v>
      </c>
      <c r="N838" s="235">
        <f t="shared" si="62"/>
        <v>0</v>
      </c>
      <c r="O838" s="35" t="s">
        <v>3327</v>
      </c>
      <c r="P838" s="35"/>
      <c r="Q838" s="39">
        <f>SUMIF('Antelope Bailey Split BA'!$B$7:$B$29,B838,'Antelope Bailey Split BA'!$C$7:$C$29)</f>
        <v>0</v>
      </c>
      <c r="R838" s="39" t="str">
        <f>IF(AND(Q838=1,'Plant Total by Account'!$J$1=2),"EKWRA","")</f>
        <v/>
      </c>
    </row>
    <row r="839" spans="1:18" x14ac:dyDescent="0.2">
      <c r="A839" s="31" t="s">
        <v>3287</v>
      </c>
      <c r="B839" s="97" t="s">
        <v>966</v>
      </c>
      <c r="C839" s="504" t="s">
        <v>3353</v>
      </c>
      <c r="D839" s="42">
        <v>0</v>
      </c>
      <c r="E839" s="42">
        <v>3354.06</v>
      </c>
      <c r="F839" s="42">
        <v>755215.37</v>
      </c>
      <c r="G839" s="581">
        <f t="shared" si="61"/>
        <v>758569.43</v>
      </c>
      <c r="H839" s="33">
        <v>0</v>
      </c>
      <c r="I839" s="33">
        <v>0</v>
      </c>
      <c r="J839" s="33">
        <v>0</v>
      </c>
      <c r="K839" s="33">
        <f t="shared" si="63"/>
        <v>0</v>
      </c>
      <c r="L839" s="33">
        <f t="shared" si="64"/>
        <v>3354.06</v>
      </c>
      <c r="M839" s="33">
        <f t="shared" si="65"/>
        <v>755215.37</v>
      </c>
      <c r="N839" s="235">
        <f t="shared" si="62"/>
        <v>0</v>
      </c>
      <c r="O839" s="35" t="s">
        <v>3327</v>
      </c>
      <c r="P839" s="35"/>
      <c r="Q839" s="39">
        <f>SUMIF('Antelope Bailey Split BA'!$B$7:$B$29,B839,'Antelope Bailey Split BA'!$C$7:$C$29)</f>
        <v>0</v>
      </c>
      <c r="R839" s="39" t="str">
        <f>IF(AND(Q839=1,'Plant Total by Account'!$J$1=2),"EKWRA","")</f>
        <v/>
      </c>
    </row>
    <row r="840" spans="1:18" x14ac:dyDescent="0.2">
      <c r="A840" s="31" t="s">
        <v>3288</v>
      </c>
      <c r="B840" s="97" t="s">
        <v>967</v>
      </c>
      <c r="C840" s="504" t="s">
        <v>3353</v>
      </c>
      <c r="D840" s="42">
        <v>14155</v>
      </c>
      <c r="E840" s="42">
        <v>0</v>
      </c>
      <c r="F840" s="42">
        <v>293909.21999999997</v>
      </c>
      <c r="G840" s="581">
        <f t="shared" si="61"/>
        <v>308064.21999999997</v>
      </c>
      <c r="H840" s="33">
        <v>0</v>
      </c>
      <c r="I840" s="33">
        <v>0</v>
      </c>
      <c r="J840" s="33">
        <v>0</v>
      </c>
      <c r="K840" s="33">
        <f t="shared" si="63"/>
        <v>14155</v>
      </c>
      <c r="L840" s="33">
        <f t="shared" si="64"/>
        <v>0</v>
      </c>
      <c r="M840" s="33">
        <f t="shared" si="65"/>
        <v>293909.21999999997</v>
      </c>
      <c r="N840" s="235">
        <f t="shared" si="62"/>
        <v>0</v>
      </c>
      <c r="O840" s="35" t="s">
        <v>3327</v>
      </c>
      <c r="P840" s="35"/>
      <c r="Q840" s="39">
        <f>SUMIF('Antelope Bailey Split BA'!$B$7:$B$29,B840,'Antelope Bailey Split BA'!$C$7:$C$29)</f>
        <v>0</v>
      </c>
      <c r="R840" s="39" t="str">
        <f>IF(AND(Q840=1,'Plant Total by Account'!$J$1=2),"EKWRA","")</f>
        <v/>
      </c>
    </row>
    <row r="841" spans="1:18" x14ac:dyDescent="0.2">
      <c r="A841" s="31" t="s">
        <v>3289</v>
      </c>
      <c r="B841" s="97" t="s">
        <v>968</v>
      </c>
      <c r="C841" s="504" t="s">
        <v>3353</v>
      </c>
      <c r="D841" s="42">
        <v>0</v>
      </c>
      <c r="E841" s="42">
        <v>20622.46</v>
      </c>
      <c r="F841" s="42">
        <v>619944.27</v>
      </c>
      <c r="G841" s="581">
        <f t="shared" si="61"/>
        <v>640566.73</v>
      </c>
      <c r="H841" s="33">
        <v>0</v>
      </c>
      <c r="I841" s="33">
        <v>0</v>
      </c>
      <c r="J841" s="33">
        <v>0</v>
      </c>
      <c r="K841" s="33">
        <f t="shared" si="63"/>
        <v>0</v>
      </c>
      <c r="L841" s="33">
        <f t="shared" si="64"/>
        <v>20622.46</v>
      </c>
      <c r="M841" s="33">
        <f t="shared" si="65"/>
        <v>619944.27</v>
      </c>
      <c r="N841" s="235">
        <f t="shared" si="62"/>
        <v>0</v>
      </c>
      <c r="O841" s="35" t="s">
        <v>3327</v>
      </c>
      <c r="P841" s="35"/>
      <c r="Q841" s="39">
        <f>SUMIF('Antelope Bailey Split BA'!$B$7:$B$29,B841,'Antelope Bailey Split BA'!$C$7:$C$29)</f>
        <v>0</v>
      </c>
      <c r="R841" s="39" t="str">
        <f>IF(AND(Q841=1,'Plant Total by Account'!$J$1=2),"EKWRA","")</f>
        <v/>
      </c>
    </row>
    <row r="842" spans="1:18" x14ac:dyDescent="0.2">
      <c r="A842" s="31" t="s">
        <v>3290</v>
      </c>
      <c r="B842" s="97" t="s">
        <v>3291</v>
      </c>
      <c r="C842" s="504" t="s">
        <v>3353</v>
      </c>
      <c r="D842" s="42">
        <v>0</v>
      </c>
      <c r="E842" s="42">
        <v>46765.639999999992</v>
      </c>
      <c r="F842" s="42">
        <v>908919.36000000068</v>
      </c>
      <c r="G842" s="581">
        <f t="shared" ref="G842:G860" si="66">SUM(D842:F842)</f>
        <v>955685.0000000007</v>
      </c>
      <c r="H842" s="33">
        <v>0</v>
      </c>
      <c r="I842" s="33">
        <v>0</v>
      </c>
      <c r="J842" s="33">
        <v>0</v>
      </c>
      <c r="K842" s="33">
        <f t="shared" si="63"/>
        <v>0</v>
      </c>
      <c r="L842" s="33">
        <f t="shared" si="64"/>
        <v>46765.639999999992</v>
      </c>
      <c r="M842" s="33">
        <f t="shared" si="65"/>
        <v>908919.36000000068</v>
      </c>
      <c r="N842" s="235">
        <f t="shared" ref="N842:N861" si="67">G842-SUM(H842:M842)</f>
        <v>0</v>
      </c>
      <c r="O842" s="35" t="s">
        <v>3327</v>
      </c>
      <c r="P842" s="35"/>
      <c r="Q842" s="39">
        <f>SUMIF('Antelope Bailey Split BA'!$B$7:$B$29,B842,'Antelope Bailey Split BA'!$C$7:$C$29)</f>
        <v>0</v>
      </c>
      <c r="R842" s="39" t="str">
        <f>IF(AND(Q842=1,'Plant Total by Account'!$J$1=2),"EKWRA","")</f>
        <v/>
      </c>
    </row>
    <row r="843" spans="1:18" x14ac:dyDescent="0.2">
      <c r="A843" s="31" t="s">
        <v>3292</v>
      </c>
      <c r="B843" s="97" t="s">
        <v>969</v>
      </c>
      <c r="C843" s="504" t="s">
        <v>2629</v>
      </c>
      <c r="D843" s="42">
        <v>0</v>
      </c>
      <c r="E843" s="42">
        <v>8380.41</v>
      </c>
      <c r="F843" s="42">
        <v>0</v>
      </c>
      <c r="G843" s="581">
        <f t="shared" si="66"/>
        <v>8380.41</v>
      </c>
      <c r="H843" s="33">
        <v>0</v>
      </c>
      <c r="I843" s="33">
        <v>0</v>
      </c>
      <c r="J843" s="33">
        <v>0</v>
      </c>
      <c r="K843" s="33">
        <f t="shared" si="63"/>
        <v>0</v>
      </c>
      <c r="L843" s="33">
        <f t="shared" si="64"/>
        <v>8380.41</v>
      </c>
      <c r="M843" s="33">
        <f t="shared" si="65"/>
        <v>0</v>
      </c>
      <c r="N843" s="235">
        <f t="shared" si="67"/>
        <v>0</v>
      </c>
      <c r="O843" s="35" t="s">
        <v>3327</v>
      </c>
      <c r="P843" s="35"/>
      <c r="Q843" s="39">
        <f>SUMIF('Antelope Bailey Split BA'!$B$7:$B$29,B843,'Antelope Bailey Split BA'!$C$7:$C$29)</f>
        <v>0</v>
      </c>
      <c r="R843" s="39" t="str">
        <f>IF(AND(Q843=1,'Plant Total by Account'!$J$1=2),"EKWRA","")</f>
        <v/>
      </c>
    </row>
    <row r="844" spans="1:18" x14ac:dyDescent="0.2">
      <c r="A844" s="31" t="s">
        <v>2645</v>
      </c>
      <c r="B844" s="97" t="s">
        <v>970</v>
      </c>
      <c r="C844" s="504" t="s">
        <v>2629</v>
      </c>
      <c r="D844" s="42">
        <v>0</v>
      </c>
      <c r="E844" s="42">
        <v>0</v>
      </c>
      <c r="F844" s="42">
        <v>27426.14</v>
      </c>
      <c r="G844" s="581">
        <f t="shared" si="66"/>
        <v>27426.14</v>
      </c>
      <c r="H844" s="33">
        <v>0</v>
      </c>
      <c r="I844" s="33">
        <v>0</v>
      </c>
      <c r="J844" s="33">
        <v>0</v>
      </c>
      <c r="K844" s="33">
        <f t="shared" si="63"/>
        <v>0</v>
      </c>
      <c r="L844" s="33">
        <f t="shared" si="64"/>
        <v>0</v>
      </c>
      <c r="M844" s="33">
        <f t="shared" si="65"/>
        <v>27426.14</v>
      </c>
      <c r="N844" s="235">
        <f t="shared" si="67"/>
        <v>0</v>
      </c>
      <c r="O844" s="35" t="s">
        <v>3327</v>
      </c>
      <c r="P844" s="35"/>
      <c r="Q844" s="39">
        <f>SUMIF('Antelope Bailey Split BA'!$B$7:$B$29,B844,'Antelope Bailey Split BA'!$C$7:$C$29)</f>
        <v>0</v>
      </c>
      <c r="R844" s="39" t="str">
        <f>IF(AND(Q844=1,'Plant Total by Account'!$J$1=2),"EKWRA","")</f>
        <v/>
      </c>
    </row>
    <row r="845" spans="1:18" ht="12.75" customHeight="1" x14ac:dyDescent="0.2">
      <c r="A845" s="31" t="s">
        <v>3293</v>
      </c>
      <c r="B845" s="97" t="s">
        <v>971</v>
      </c>
      <c r="C845" s="504" t="s">
        <v>2629</v>
      </c>
      <c r="D845" s="42">
        <v>0</v>
      </c>
      <c r="E845" s="42">
        <v>6298.58</v>
      </c>
      <c r="F845" s="42">
        <v>0</v>
      </c>
      <c r="G845" s="581">
        <f t="shared" si="66"/>
        <v>6298.58</v>
      </c>
      <c r="H845" s="33">
        <v>0</v>
      </c>
      <c r="I845" s="33">
        <v>0</v>
      </c>
      <c r="J845" s="33">
        <v>0</v>
      </c>
      <c r="K845" s="33">
        <f t="shared" si="63"/>
        <v>0</v>
      </c>
      <c r="L845" s="33">
        <f t="shared" si="64"/>
        <v>6298.58</v>
      </c>
      <c r="M845" s="33">
        <f t="shared" si="65"/>
        <v>0</v>
      </c>
      <c r="N845" s="235">
        <f t="shared" si="67"/>
        <v>0</v>
      </c>
      <c r="O845" s="35" t="s">
        <v>3327</v>
      </c>
      <c r="P845" s="35"/>
      <c r="Q845" s="39">
        <f>SUMIF('Antelope Bailey Split BA'!$B$7:$B$29,B845,'Antelope Bailey Split BA'!$C$7:$C$29)</f>
        <v>0</v>
      </c>
      <c r="R845" s="39" t="str">
        <f>IF(AND(Q845=1,'Plant Total by Account'!$J$1=2),"EKWRA","")</f>
        <v/>
      </c>
    </row>
    <row r="846" spans="1:18" ht="12.75" customHeight="1" x14ac:dyDescent="0.2">
      <c r="A846" s="31" t="s">
        <v>3316</v>
      </c>
      <c r="B846" s="98" t="s">
        <v>3317</v>
      </c>
      <c r="C846" s="504"/>
      <c r="D846" s="42">
        <v>0</v>
      </c>
      <c r="E846" s="42">
        <v>18621.21</v>
      </c>
      <c r="F846" s="42">
        <v>0</v>
      </c>
      <c r="G846" s="581">
        <f t="shared" si="66"/>
        <v>18621.21</v>
      </c>
      <c r="H846" s="33">
        <v>0</v>
      </c>
      <c r="I846" s="33">
        <v>0</v>
      </c>
      <c r="J846" s="33">
        <v>0</v>
      </c>
      <c r="K846" s="129">
        <f t="shared" ref="K846:K860" si="68">D846</f>
        <v>0</v>
      </c>
      <c r="L846" s="129">
        <f t="shared" ref="L846:L860" si="69">E846</f>
        <v>18621.21</v>
      </c>
      <c r="M846" s="129">
        <f t="shared" ref="M846:M860" si="70">F846</f>
        <v>0</v>
      </c>
      <c r="N846" s="235">
        <f t="shared" si="67"/>
        <v>0</v>
      </c>
      <c r="O846" s="35" t="s">
        <v>3327</v>
      </c>
      <c r="P846" s="35"/>
      <c r="Q846" s="39">
        <f>SUMIF('Antelope Bailey Split BA'!$B$7:$B$29,B846,'Antelope Bailey Split BA'!$C$7:$C$29)</f>
        <v>0</v>
      </c>
      <c r="R846" s="39" t="str">
        <f>IF(AND(Q846=1,'Plant Total by Account'!$J$1=2),"EKWRA","")</f>
        <v/>
      </c>
    </row>
    <row r="847" spans="1:18" ht="12.75" customHeight="1" x14ac:dyDescent="0.2">
      <c r="A847" s="31" t="s">
        <v>3294</v>
      </c>
      <c r="B847" s="97" t="s">
        <v>3295</v>
      </c>
      <c r="C847" s="504"/>
      <c r="D847" s="42">
        <v>0</v>
      </c>
      <c r="E847" s="42">
        <v>6953.06</v>
      </c>
      <c r="F847" s="42">
        <v>0</v>
      </c>
      <c r="G847" s="581">
        <f t="shared" si="66"/>
        <v>6953.06</v>
      </c>
      <c r="H847" s="33">
        <v>0</v>
      </c>
      <c r="I847" s="33">
        <v>0</v>
      </c>
      <c r="J847" s="33">
        <v>0</v>
      </c>
      <c r="K847" s="33">
        <f t="shared" si="68"/>
        <v>0</v>
      </c>
      <c r="L847" s="33">
        <f t="shared" si="69"/>
        <v>6953.06</v>
      </c>
      <c r="M847" s="33">
        <f t="shared" si="70"/>
        <v>0</v>
      </c>
      <c r="N847" s="235">
        <f t="shared" si="67"/>
        <v>0</v>
      </c>
      <c r="O847" s="35" t="s">
        <v>3327</v>
      </c>
      <c r="P847" s="35"/>
      <c r="Q847" s="39">
        <f>SUMIF('Antelope Bailey Split BA'!$B$7:$B$29,B847,'Antelope Bailey Split BA'!$C$7:$C$29)</f>
        <v>0</v>
      </c>
      <c r="R847" s="39" t="str">
        <f>IF(AND(Q847=1,'Plant Total by Account'!$J$1=2),"EKWRA","")</f>
        <v/>
      </c>
    </row>
    <row r="848" spans="1:18" ht="12.75" customHeight="1" x14ac:dyDescent="0.2">
      <c r="A848" s="31" t="s">
        <v>3296</v>
      </c>
      <c r="B848" s="97" t="s">
        <v>3297</v>
      </c>
      <c r="C848" s="504"/>
      <c r="D848" s="42">
        <v>0</v>
      </c>
      <c r="E848" s="42">
        <v>3406308.18</v>
      </c>
      <c r="F848" s="42">
        <v>0</v>
      </c>
      <c r="G848" s="581">
        <f t="shared" si="66"/>
        <v>3406308.18</v>
      </c>
      <c r="H848" s="33">
        <v>0</v>
      </c>
      <c r="I848" s="33">
        <v>0</v>
      </c>
      <c r="J848" s="33">
        <v>0</v>
      </c>
      <c r="K848" s="33">
        <f t="shared" si="68"/>
        <v>0</v>
      </c>
      <c r="L848" s="33">
        <f t="shared" si="69"/>
        <v>3406308.18</v>
      </c>
      <c r="M848" s="33">
        <f t="shared" si="70"/>
        <v>0</v>
      </c>
      <c r="N848" s="235">
        <f t="shared" si="67"/>
        <v>0</v>
      </c>
      <c r="O848" s="35" t="s">
        <v>3327</v>
      </c>
      <c r="P848" s="35"/>
      <c r="Q848" s="39">
        <f>SUMIF('Antelope Bailey Split BA'!$B$7:$B$29,B848,'Antelope Bailey Split BA'!$C$7:$C$29)</f>
        <v>0</v>
      </c>
      <c r="R848" s="39" t="str">
        <f>IF(AND(Q848=1,'Plant Total by Account'!$J$1=2),"EKWRA","")</f>
        <v/>
      </c>
    </row>
    <row r="849" spans="1:18" ht="12.75" customHeight="1" x14ac:dyDescent="0.2">
      <c r="A849" s="31" t="s">
        <v>3298</v>
      </c>
      <c r="B849" s="97" t="s">
        <v>140</v>
      </c>
      <c r="C849" s="504" t="s">
        <v>2629</v>
      </c>
      <c r="D849" s="42">
        <v>0</v>
      </c>
      <c r="E849" s="42">
        <v>9257.0500000000011</v>
      </c>
      <c r="F849" s="42">
        <v>75033.08</v>
      </c>
      <c r="G849" s="581">
        <f t="shared" si="66"/>
        <v>84290.13</v>
      </c>
      <c r="H849" s="33">
        <v>0</v>
      </c>
      <c r="I849" s="33">
        <v>0</v>
      </c>
      <c r="J849" s="33">
        <v>0</v>
      </c>
      <c r="K849" s="33">
        <f t="shared" si="68"/>
        <v>0</v>
      </c>
      <c r="L849" s="33">
        <f t="shared" si="69"/>
        <v>9257.0500000000011</v>
      </c>
      <c r="M849" s="33">
        <f t="shared" si="70"/>
        <v>75033.08</v>
      </c>
      <c r="N849" s="235">
        <f t="shared" si="67"/>
        <v>0</v>
      </c>
      <c r="O849" s="35" t="s">
        <v>3327</v>
      </c>
      <c r="P849" s="35"/>
      <c r="Q849" s="39">
        <f>SUMIF('Antelope Bailey Split BA'!$B$7:$B$29,B849,'Antelope Bailey Split BA'!$C$7:$C$29)</f>
        <v>0</v>
      </c>
      <c r="R849" s="39" t="str">
        <f>IF(AND(Q849=1,'Plant Total by Account'!$J$1=2),"EKWRA","")</f>
        <v/>
      </c>
    </row>
    <row r="850" spans="1:18" ht="12.75" customHeight="1" x14ac:dyDescent="0.2">
      <c r="A850" s="31" t="s">
        <v>3318</v>
      </c>
      <c r="B850" s="36" t="s">
        <v>3319</v>
      </c>
      <c r="C850" s="504"/>
      <c r="D850" s="33">
        <v>0</v>
      </c>
      <c r="E850" s="33">
        <v>184052.63</v>
      </c>
      <c r="F850" s="33">
        <v>0</v>
      </c>
      <c r="G850" s="581">
        <f t="shared" si="66"/>
        <v>184052.63</v>
      </c>
      <c r="H850" s="33">
        <v>0</v>
      </c>
      <c r="I850" s="33">
        <v>0</v>
      </c>
      <c r="J850" s="33">
        <v>0</v>
      </c>
      <c r="K850" s="129">
        <f t="shared" si="68"/>
        <v>0</v>
      </c>
      <c r="L850" s="129">
        <f t="shared" si="69"/>
        <v>184052.63</v>
      </c>
      <c r="M850" s="129">
        <f t="shared" si="70"/>
        <v>0</v>
      </c>
      <c r="N850" s="235">
        <f t="shared" si="67"/>
        <v>0</v>
      </c>
      <c r="O850" s="35" t="s">
        <v>3327</v>
      </c>
      <c r="P850" s="35"/>
      <c r="Q850" s="39">
        <f>SUMIF('Antelope Bailey Split BA'!$B$7:$B$29,B850,'Antelope Bailey Split BA'!$C$7:$C$29)</f>
        <v>0</v>
      </c>
      <c r="R850" s="39" t="str">
        <f>IF(AND(Q850=1,'Plant Total by Account'!$J$1=2),"EKWRA","")</f>
        <v/>
      </c>
    </row>
    <row r="851" spans="1:18" ht="12.75" customHeight="1" collapsed="1" x14ac:dyDescent="0.2">
      <c r="A851" s="31" t="s">
        <v>3320</v>
      </c>
      <c r="B851" s="36" t="s">
        <v>3321</v>
      </c>
      <c r="C851" s="504"/>
      <c r="D851" s="33">
        <v>0</v>
      </c>
      <c r="E851" s="33">
        <v>389851.38</v>
      </c>
      <c r="F851" s="33">
        <v>0</v>
      </c>
      <c r="G851" s="581">
        <f t="shared" si="66"/>
        <v>389851.38</v>
      </c>
      <c r="H851" s="33">
        <v>0</v>
      </c>
      <c r="I851" s="33">
        <v>0</v>
      </c>
      <c r="J851" s="33">
        <v>0</v>
      </c>
      <c r="K851" s="129">
        <f t="shared" si="68"/>
        <v>0</v>
      </c>
      <c r="L851" s="129">
        <f t="shared" si="69"/>
        <v>389851.38</v>
      </c>
      <c r="M851" s="129">
        <f t="shared" si="70"/>
        <v>0</v>
      </c>
      <c r="N851" s="235">
        <f t="shared" si="67"/>
        <v>0</v>
      </c>
      <c r="O851" s="35" t="s">
        <v>3327</v>
      </c>
      <c r="P851" s="35"/>
      <c r="Q851" s="39">
        <f>SUMIF('Antelope Bailey Split BA'!$B$7:$B$29,B851,'Antelope Bailey Split BA'!$C$7:$C$29)</f>
        <v>0</v>
      </c>
      <c r="R851" s="39" t="str">
        <f>IF(AND(Q851=1,'Plant Total by Account'!$J$1=2),"EKWRA","")</f>
        <v/>
      </c>
    </row>
    <row r="852" spans="1:18" ht="12.75" customHeight="1" collapsed="1" x14ac:dyDescent="0.2">
      <c r="A852" s="31" t="s">
        <v>3299</v>
      </c>
      <c r="B852" s="97" t="s">
        <v>3300</v>
      </c>
      <c r="C852" s="504"/>
      <c r="D852" s="42">
        <v>0</v>
      </c>
      <c r="E852" s="42">
        <v>0</v>
      </c>
      <c r="F852" s="42">
        <v>48195.8</v>
      </c>
      <c r="G852" s="581">
        <f t="shared" si="66"/>
        <v>48195.8</v>
      </c>
      <c r="H852" s="33">
        <v>0</v>
      </c>
      <c r="I852" s="33">
        <v>0</v>
      </c>
      <c r="J852" s="33">
        <v>0</v>
      </c>
      <c r="K852" s="33">
        <f t="shared" si="68"/>
        <v>0</v>
      </c>
      <c r="L852" s="33">
        <f t="shared" si="69"/>
        <v>0</v>
      </c>
      <c r="M852" s="33">
        <f t="shared" si="70"/>
        <v>48195.8</v>
      </c>
      <c r="N852" s="235">
        <f t="shared" si="67"/>
        <v>0</v>
      </c>
      <c r="O852" s="35" t="s">
        <v>3327</v>
      </c>
      <c r="P852" s="35"/>
      <c r="Q852" s="39">
        <f>SUMIF('Antelope Bailey Split BA'!$B$7:$B$29,B852,'Antelope Bailey Split BA'!$C$7:$C$29)</f>
        <v>0</v>
      </c>
      <c r="R852" s="39" t="str">
        <f>IF(AND(Q852=1,'Plant Total by Account'!$J$1=2),"EKWRA","")</f>
        <v/>
      </c>
    </row>
    <row r="853" spans="1:18" ht="12.75" customHeight="1" x14ac:dyDescent="0.2">
      <c r="A853" s="31" t="s">
        <v>2631</v>
      </c>
      <c r="B853" s="97" t="s">
        <v>972</v>
      </c>
      <c r="C853" s="504" t="s">
        <v>2270</v>
      </c>
      <c r="D853" s="42">
        <v>89785.99</v>
      </c>
      <c r="E853" s="42">
        <v>0</v>
      </c>
      <c r="F853" s="42">
        <v>-12896.77</v>
      </c>
      <c r="G853" s="581">
        <f t="shared" si="66"/>
        <v>76889.22</v>
      </c>
      <c r="H853" s="33">
        <v>0</v>
      </c>
      <c r="I853" s="33">
        <v>0</v>
      </c>
      <c r="J853" s="33">
        <v>0</v>
      </c>
      <c r="K853" s="33">
        <f t="shared" si="68"/>
        <v>89785.99</v>
      </c>
      <c r="L853" s="33">
        <f t="shared" si="69"/>
        <v>0</v>
      </c>
      <c r="M853" s="33">
        <f t="shared" si="70"/>
        <v>-12896.77</v>
      </c>
      <c r="N853" s="235">
        <f t="shared" si="67"/>
        <v>0</v>
      </c>
      <c r="O853" s="35" t="s">
        <v>3327</v>
      </c>
      <c r="P853" s="35"/>
      <c r="Q853" s="39">
        <f>SUMIF('Antelope Bailey Split BA'!$B$7:$B$29,B853,'Antelope Bailey Split BA'!$C$7:$C$29)</f>
        <v>0</v>
      </c>
      <c r="R853" s="39" t="str">
        <f>IF(AND(Q853=1,'Plant Total by Account'!$J$1=2),"EKWRA","")</f>
        <v/>
      </c>
    </row>
    <row r="854" spans="1:18" ht="12.75" customHeight="1" x14ac:dyDescent="0.2">
      <c r="A854" s="31" t="s">
        <v>3301</v>
      </c>
      <c r="B854" s="97" t="s">
        <v>973</v>
      </c>
      <c r="C854" s="504" t="s">
        <v>2629</v>
      </c>
      <c r="D854" s="42">
        <v>0</v>
      </c>
      <c r="E854" s="42">
        <v>3416.54</v>
      </c>
      <c r="F854" s="42">
        <v>0</v>
      </c>
      <c r="G854" s="581">
        <f t="shared" si="66"/>
        <v>3416.54</v>
      </c>
      <c r="H854" s="33">
        <v>0</v>
      </c>
      <c r="I854" s="33">
        <v>0</v>
      </c>
      <c r="J854" s="33">
        <v>0</v>
      </c>
      <c r="K854" s="33">
        <f t="shared" si="68"/>
        <v>0</v>
      </c>
      <c r="L854" s="33">
        <f t="shared" si="69"/>
        <v>3416.54</v>
      </c>
      <c r="M854" s="33">
        <f t="shared" si="70"/>
        <v>0</v>
      </c>
      <c r="N854" s="235">
        <f t="shared" si="67"/>
        <v>0</v>
      </c>
      <c r="O854" s="35" t="s">
        <v>3327</v>
      </c>
      <c r="P854" s="35"/>
      <c r="Q854" s="39">
        <f>SUMIF('Antelope Bailey Split BA'!$B$7:$B$29,B854,'Antelope Bailey Split BA'!$C$7:$C$29)</f>
        <v>0</v>
      </c>
      <c r="R854" s="39" t="str">
        <f>IF(AND(Q854=1,'Plant Total by Account'!$J$1=2),"EKWRA","")</f>
        <v/>
      </c>
    </row>
    <row r="855" spans="1:18" ht="12.75" customHeight="1" x14ac:dyDescent="0.2">
      <c r="A855" s="31" t="s">
        <v>3302</v>
      </c>
      <c r="B855" s="97" t="s">
        <v>974</v>
      </c>
      <c r="C855" s="504" t="s">
        <v>2629</v>
      </c>
      <c r="D855" s="42">
        <v>0</v>
      </c>
      <c r="E855" s="42">
        <v>3179.01</v>
      </c>
      <c r="F855" s="42">
        <v>0</v>
      </c>
      <c r="G855" s="581">
        <f t="shared" si="66"/>
        <v>3179.01</v>
      </c>
      <c r="H855" s="33">
        <v>0</v>
      </c>
      <c r="I855" s="33">
        <v>0</v>
      </c>
      <c r="J855" s="33">
        <v>0</v>
      </c>
      <c r="K855" s="33">
        <f t="shared" si="68"/>
        <v>0</v>
      </c>
      <c r="L855" s="33">
        <f t="shared" si="69"/>
        <v>3179.01</v>
      </c>
      <c r="M855" s="33">
        <f t="shared" si="70"/>
        <v>0</v>
      </c>
      <c r="N855" s="235">
        <f t="shared" si="67"/>
        <v>0</v>
      </c>
      <c r="O855" s="35" t="s">
        <v>3327</v>
      </c>
      <c r="P855" s="35"/>
      <c r="Q855" s="39">
        <f>SUMIF('Antelope Bailey Split BA'!$B$7:$B$29,B855,'Antelope Bailey Split BA'!$C$7:$C$29)</f>
        <v>0</v>
      </c>
      <c r="R855" s="39" t="str">
        <f>IF(AND(Q855=1,'Plant Total by Account'!$J$1=2),"EKWRA","")</f>
        <v/>
      </c>
    </row>
    <row r="856" spans="1:18" ht="12.75" customHeight="1" x14ac:dyDescent="0.2">
      <c r="A856" s="31" t="s">
        <v>3322</v>
      </c>
      <c r="B856" s="36" t="s">
        <v>3323</v>
      </c>
      <c r="C856" s="504"/>
      <c r="D856" s="33">
        <v>0</v>
      </c>
      <c r="E856" s="33">
        <v>93348.81</v>
      </c>
      <c r="F856" s="33">
        <v>0</v>
      </c>
      <c r="G856" s="581">
        <f t="shared" si="66"/>
        <v>93348.81</v>
      </c>
      <c r="H856" s="33">
        <v>0</v>
      </c>
      <c r="I856" s="33">
        <v>0</v>
      </c>
      <c r="J856" s="33">
        <v>0</v>
      </c>
      <c r="K856" s="129">
        <f t="shared" si="68"/>
        <v>0</v>
      </c>
      <c r="L856" s="129">
        <f t="shared" si="69"/>
        <v>93348.81</v>
      </c>
      <c r="M856" s="129">
        <f t="shared" si="70"/>
        <v>0</v>
      </c>
      <c r="N856" s="235">
        <f t="shared" si="67"/>
        <v>0</v>
      </c>
      <c r="O856" s="35" t="s">
        <v>3327</v>
      </c>
      <c r="P856" s="35"/>
      <c r="Q856" s="39">
        <f>SUMIF('Antelope Bailey Split BA'!$B$7:$B$29,B856,'Antelope Bailey Split BA'!$C$7:$C$29)</f>
        <v>0</v>
      </c>
      <c r="R856" s="39" t="str">
        <f>IF(AND(Q856=1,'Plant Total by Account'!$J$1=2),"EKWRA","")</f>
        <v/>
      </c>
    </row>
    <row r="857" spans="1:18" ht="12.75" customHeight="1" x14ac:dyDescent="0.2">
      <c r="A857" s="31" t="s">
        <v>3303</v>
      </c>
      <c r="B857" s="97" t="s">
        <v>3304</v>
      </c>
      <c r="C857" s="504"/>
      <c r="D857" s="42">
        <v>0</v>
      </c>
      <c r="E857" s="42">
        <v>65408.060000000005</v>
      </c>
      <c r="F857" s="42">
        <v>0</v>
      </c>
      <c r="G857" s="581">
        <f t="shared" si="66"/>
        <v>65408.060000000005</v>
      </c>
      <c r="H857" s="33">
        <v>0</v>
      </c>
      <c r="I857" s="33">
        <v>0</v>
      </c>
      <c r="J857" s="33">
        <v>0</v>
      </c>
      <c r="K857" s="33">
        <f t="shared" si="68"/>
        <v>0</v>
      </c>
      <c r="L857" s="33">
        <f t="shared" si="69"/>
        <v>65408.060000000005</v>
      </c>
      <c r="M857" s="33">
        <f t="shared" si="70"/>
        <v>0</v>
      </c>
      <c r="N857" s="235">
        <f t="shared" si="67"/>
        <v>0</v>
      </c>
      <c r="O857" s="35" t="s">
        <v>3327</v>
      </c>
      <c r="P857" s="35"/>
      <c r="Q857" s="39">
        <f>SUMIF('Antelope Bailey Split BA'!$B$7:$B$29,B857,'Antelope Bailey Split BA'!$C$7:$C$29)</f>
        <v>0</v>
      </c>
      <c r="R857" s="39" t="str">
        <f>IF(AND(Q857=1,'Plant Total by Account'!$J$1=2),"EKWRA","")</f>
        <v/>
      </c>
    </row>
    <row r="858" spans="1:18" ht="12.75" customHeight="1" x14ac:dyDescent="0.2">
      <c r="A858" s="31" t="s">
        <v>3305</v>
      </c>
      <c r="B858" s="97" t="s">
        <v>975</v>
      </c>
      <c r="C858" s="504" t="s">
        <v>3353</v>
      </c>
      <c r="D858" s="42">
        <v>0</v>
      </c>
      <c r="E858" s="42">
        <v>35107.24</v>
      </c>
      <c r="F858" s="42">
        <v>0</v>
      </c>
      <c r="G858" s="581">
        <f t="shared" si="66"/>
        <v>35107.24</v>
      </c>
      <c r="H858" s="33">
        <v>0</v>
      </c>
      <c r="I858" s="33">
        <v>0</v>
      </c>
      <c r="J858" s="33">
        <v>0</v>
      </c>
      <c r="K858" s="33">
        <f t="shared" si="68"/>
        <v>0</v>
      </c>
      <c r="L858" s="33">
        <f t="shared" si="69"/>
        <v>35107.24</v>
      </c>
      <c r="M858" s="33">
        <f t="shared" si="70"/>
        <v>0</v>
      </c>
      <c r="N858" s="235">
        <f t="shared" si="67"/>
        <v>0</v>
      </c>
      <c r="O858" s="35" t="s">
        <v>3327</v>
      </c>
      <c r="P858" s="35"/>
      <c r="Q858" s="39">
        <f>SUMIF('Antelope Bailey Split BA'!$B$7:$B$29,B858,'Antelope Bailey Split BA'!$C$7:$C$29)</f>
        <v>0</v>
      </c>
      <c r="R858" s="39" t="str">
        <f>IF(AND(Q858=1,'Plant Total by Account'!$J$1=2),"EKWRA","")</f>
        <v/>
      </c>
    </row>
    <row r="859" spans="1:18" ht="12.75" customHeight="1" x14ac:dyDescent="0.2">
      <c r="A859" s="635" t="s">
        <v>3324</v>
      </c>
      <c r="B859" s="636" t="s">
        <v>3325</v>
      </c>
      <c r="C859" s="637"/>
      <c r="D859" s="42">
        <v>0</v>
      </c>
      <c r="E859" s="42">
        <v>-0.06</v>
      </c>
      <c r="F859" s="42">
        <v>0</v>
      </c>
      <c r="G859" s="581">
        <f t="shared" si="66"/>
        <v>-0.06</v>
      </c>
      <c r="H859" s="33">
        <v>0</v>
      </c>
      <c r="I859" s="33">
        <v>0</v>
      </c>
      <c r="J859" s="33">
        <v>0</v>
      </c>
      <c r="K859" s="129">
        <f t="shared" si="68"/>
        <v>0</v>
      </c>
      <c r="L859" s="42">
        <f t="shared" si="69"/>
        <v>-0.06</v>
      </c>
      <c r="M859" s="129">
        <f t="shared" si="70"/>
        <v>0</v>
      </c>
      <c r="N859" s="33">
        <f t="shared" si="67"/>
        <v>0</v>
      </c>
      <c r="O859" s="638" t="s">
        <v>3327</v>
      </c>
      <c r="P859" s="35"/>
      <c r="Q859" s="39">
        <f>SUMIF('Antelope Bailey Split BA'!$B$7:$B$29,B859,'Antelope Bailey Split BA'!$C$7:$C$29)</f>
        <v>0</v>
      </c>
      <c r="R859" s="39" t="str">
        <f>IF(AND(Q859=1,'Plant Total by Account'!$J$1=2),"EKWRA","")</f>
        <v/>
      </c>
    </row>
    <row r="860" spans="1:18" ht="12.75" customHeight="1" x14ac:dyDescent="0.2">
      <c r="A860" s="31" t="s">
        <v>2632</v>
      </c>
      <c r="B860" s="97" t="s">
        <v>976</v>
      </c>
      <c r="C860" s="504" t="s">
        <v>2629</v>
      </c>
      <c r="D860" s="42">
        <v>4313.2900000000009</v>
      </c>
      <c r="E860" s="42">
        <v>0</v>
      </c>
      <c r="F860" s="42">
        <v>0</v>
      </c>
      <c r="G860" s="581">
        <f t="shared" si="66"/>
        <v>4313.2900000000009</v>
      </c>
      <c r="H860" s="33">
        <v>0</v>
      </c>
      <c r="I860" s="33">
        <v>0</v>
      </c>
      <c r="J860" s="33">
        <v>0</v>
      </c>
      <c r="K860" s="33">
        <f t="shared" si="68"/>
        <v>4313.2900000000009</v>
      </c>
      <c r="L860" s="33">
        <f t="shared" si="69"/>
        <v>0</v>
      </c>
      <c r="M860" s="33">
        <f t="shared" si="70"/>
        <v>0</v>
      </c>
      <c r="N860" s="235">
        <f t="shared" si="67"/>
        <v>0</v>
      </c>
      <c r="O860" s="35" t="s">
        <v>3327</v>
      </c>
      <c r="P860" s="35"/>
      <c r="Q860" s="39">
        <f>SUMIF('Antelope Bailey Split BA'!$B$7:$B$29,B860,'Antelope Bailey Split BA'!$C$7:$C$29)</f>
        <v>0</v>
      </c>
      <c r="R860" s="39" t="str">
        <f>IF(AND(Q860=1,'Plant Total by Account'!$J$1=2),"EKWRA","")</f>
        <v/>
      </c>
    </row>
    <row r="861" spans="1:18" ht="21.75" customHeight="1" thickBot="1" x14ac:dyDescent="0.3">
      <c r="A861" s="696" t="s">
        <v>2202</v>
      </c>
      <c r="B861" s="696"/>
      <c r="C861" s="506"/>
      <c r="D861" s="583">
        <f t="shared" ref="D861:M861" si="71">SUM(D10:D860)</f>
        <v>105855061.72000007</v>
      </c>
      <c r="E861" s="583">
        <f t="shared" si="71"/>
        <v>431350910.12999976</v>
      </c>
      <c r="F861" s="583">
        <f t="shared" si="71"/>
        <v>1609973202.2599988</v>
      </c>
      <c r="G861" s="584">
        <f t="shared" si="71"/>
        <v>2147179174.1100016</v>
      </c>
      <c r="H861" s="585">
        <f t="shared" si="71"/>
        <v>75876.480999774722</v>
      </c>
      <c r="I861" s="585">
        <f t="shared" si="71"/>
        <v>683246.94527539623</v>
      </c>
      <c r="J861" s="585">
        <f t="shared" si="71"/>
        <v>5875711.4176010117</v>
      </c>
      <c r="K861" s="585">
        <f t="shared" si="71"/>
        <v>105779185.23900029</v>
      </c>
      <c r="L861" s="585">
        <f t="shared" si="71"/>
        <v>430667663.18472439</v>
      </c>
      <c r="M861" s="585">
        <f t="shared" si="71"/>
        <v>1604097490.8423972</v>
      </c>
      <c r="N861" s="235">
        <f t="shared" si="67"/>
        <v>3.337860107421875E-6</v>
      </c>
    </row>
    <row r="862" spans="1:18" ht="13.5" customHeight="1" thickTop="1" thickBot="1" x14ac:dyDescent="0.25">
      <c r="A862" s="41"/>
      <c r="C862" s="506"/>
      <c r="D862" s="113"/>
      <c r="E862" s="113"/>
      <c r="F862" s="113"/>
      <c r="G862" s="113"/>
      <c r="H862" s="113"/>
      <c r="I862" s="33"/>
      <c r="J862" s="33"/>
      <c r="K862" s="33"/>
      <c r="L862" s="33"/>
      <c r="M862" s="33"/>
      <c r="N862" s="128"/>
    </row>
    <row r="863" spans="1:18" x14ac:dyDescent="0.2">
      <c r="A863" s="697" t="s">
        <v>3335</v>
      </c>
      <c r="B863" s="698"/>
      <c r="C863" s="293" t="s">
        <v>3331</v>
      </c>
      <c r="D863" s="294">
        <f>SUMIF($O$10:$O$860,"Non-ISO",D$10:D$860)</f>
        <v>105371786.58000007</v>
      </c>
      <c r="E863" s="294">
        <f>SUMIF($O$10:$O$860,"Non-ISO",E$10:E$860)</f>
        <v>427389171.38999975</v>
      </c>
      <c r="F863" s="294">
        <f>SUMIF($O$10:$O$860,"Non-ISO",F$10:F$860)</f>
        <v>1574795622.3699985</v>
      </c>
      <c r="G863" s="295">
        <f>SUM(D863:F863)</f>
        <v>2107556580.3399982</v>
      </c>
      <c r="H863" s="294"/>
      <c r="I863" s="294"/>
      <c r="J863" s="294"/>
      <c r="K863" s="294">
        <f>SUMIF($O$10:$O$860,"Non-ISO",K$10:K$860)</f>
        <v>105371786.58000007</v>
      </c>
      <c r="L863" s="294">
        <f>SUMIF($O$10:$O$860,"Non-ISO",L$10:L$860)</f>
        <v>427389171.38999975</v>
      </c>
      <c r="M863" s="296">
        <f>SUMIF($O$10:$O$860,"Non-ISO",M$10:M$860)</f>
        <v>1574795622.3699985</v>
      </c>
      <c r="N863" s="235">
        <f>G863-SUM(H863:M863)</f>
        <v>0</v>
      </c>
      <c r="O863" s="25"/>
      <c r="Q863" s="586"/>
      <c r="R863" s="586"/>
    </row>
    <row r="864" spans="1:18" ht="13.5" thickBot="1" x14ac:dyDescent="0.25">
      <c r="A864" s="699"/>
      <c r="B864" s="700"/>
      <c r="C864" s="297" t="s">
        <v>3332</v>
      </c>
      <c r="D864" s="298">
        <f>SUMIF($O$10:$O$860,"Mix",D$10:D$860)</f>
        <v>483275.14</v>
      </c>
      <c r="E864" s="298">
        <f>SUMIF($O$10:$O$860,"Mix",E$10:E$860)</f>
        <v>3961738.7400000012</v>
      </c>
      <c r="F864" s="298">
        <f>SUMIF($O$10:$O$860,"Mix",F$10:F$860)</f>
        <v>35177579.890000008</v>
      </c>
      <c r="G864" s="299">
        <f>SUM(D864:F864)</f>
        <v>39622593.770000011</v>
      </c>
      <c r="H864" s="298">
        <f t="shared" ref="H864:M864" si="72">SUMIF($O$10:$O$860,"Mix",H$10:H$860)</f>
        <v>75876.480999774722</v>
      </c>
      <c r="I864" s="298">
        <f t="shared" si="72"/>
        <v>683246.94527539623</v>
      </c>
      <c r="J864" s="298">
        <f t="shared" si="72"/>
        <v>5875711.4176010117</v>
      </c>
      <c r="K864" s="298">
        <f t="shared" si="72"/>
        <v>407398.65900022525</v>
      </c>
      <c r="L864" s="298">
        <f t="shared" si="72"/>
        <v>3278491.7947246036</v>
      </c>
      <c r="M864" s="300">
        <f t="shared" si="72"/>
        <v>29301868.472398996</v>
      </c>
      <c r="N864" s="235">
        <f>G864-SUM(H864:M864)</f>
        <v>0</v>
      </c>
      <c r="O864" s="25"/>
      <c r="Q864" s="586"/>
      <c r="R864" s="586"/>
    </row>
    <row r="865" spans="2:6" ht="13.5" thickBot="1" x14ac:dyDescent="0.25"/>
    <row r="866" spans="2:6" x14ac:dyDescent="0.2">
      <c r="B866" s="550" t="s">
        <v>3337</v>
      </c>
      <c r="C866" s="551" t="s">
        <v>1507</v>
      </c>
      <c r="D866" s="588">
        <v>105855061.72000004</v>
      </c>
      <c r="E866" s="588">
        <v>431350910.1299997</v>
      </c>
      <c r="F866" s="589">
        <v>1609973202.2599981</v>
      </c>
    </row>
    <row r="867" spans="2:6" ht="13.5" thickBot="1" x14ac:dyDescent="0.25">
      <c r="C867" s="554"/>
      <c r="D867" s="555">
        <f>D866-D861</f>
        <v>0</v>
      </c>
      <c r="E867" s="555">
        <f>E866-E861</f>
        <v>0</v>
      </c>
      <c r="F867" s="556">
        <f>F866-F861</f>
        <v>0</v>
      </c>
    </row>
  </sheetData>
  <autoFilter ref="A9:R861"/>
  <mergeCells count="7">
    <mergeCell ref="K6:M6"/>
    <mergeCell ref="A861:B861"/>
    <mergeCell ref="A863:B864"/>
    <mergeCell ref="A6:A8"/>
    <mergeCell ref="B6:B8"/>
    <mergeCell ref="D6:F6"/>
    <mergeCell ref="H6:J6"/>
  </mergeCells>
  <phoneticPr fontId="20" type="noConversion"/>
  <conditionalFormatting sqref="B73">
    <cfRule type="cellIs" dxfId="17" priority="1" stopIfTrue="1" operator="equal">
      <formula>$B63</formula>
    </cfRule>
  </conditionalFormatting>
  <printOptions horizontalCentered="1"/>
  <pageMargins left="0.25" right="0.25" top="0.75" bottom="0.75" header="0.3" footer="0.3"/>
  <pageSetup scale="55" fitToHeight="0" orientation="landscape" r:id="rId1"/>
  <headerFooter alignWithMargins="0">
    <oddHeader>&amp;CDistribution
Accounts 360 - 362&amp;RWP- Plant Study 2011
&amp;P of &amp;N</oddHeader>
    <oddFooter>&amp;C&amp;A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A133"/>
  <sheetViews>
    <sheetView zoomScale="70" zoomScaleNormal="70" zoomScaleSheetLayoutView="70" zoomScalePageLayoutView="60" workbookViewId="0"/>
  </sheetViews>
  <sheetFormatPr defaultRowHeight="15" x14ac:dyDescent="0.25"/>
  <cols>
    <col min="1" max="1" width="16.85546875" style="44" customWidth="1"/>
    <col min="2" max="2" width="15.42578125" style="46" bestFit="1" customWidth="1"/>
    <col min="3" max="3" width="13.140625" style="44" bestFit="1" customWidth="1"/>
    <col min="4" max="4" width="13.42578125" style="44" bestFit="1" customWidth="1"/>
    <col min="5" max="5" width="17.28515625" style="44" bestFit="1" customWidth="1"/>
    <col min="6" max="6" width="12.42578125" style="44" bestFit="1" customWidth="1"/>
    <col min="7" max="7" width="13.140625" style="44" bestFit="1" customWidth="1"/>
    <col min="8" max="8" width="13.42578125" style="44" bestFit="1" customWidth="1"/>
    <col min="9" max="9" width="17.28515625" style="44" bestFit="1" customWidth="1"/>
    <col min="10" max="10" width="12.42578125" style="44" bestFit="1" customWidth="1"/>
    <col min="11" max="11" width="13.28515625" style="44" bestFit="1" customWidth="1"/>
    <col min="12" max="12" width="14.28515625" style="44" bestFit="1" customWidth="1"/>
    <col min="13" max="13" width="17.28515625" style="44" bestFit="1" customWidth="1"/>
    <col min="14" max="14" width="12.42578125" style="44" bestFit="1" customWidth="1"/>
    <col min="15" max="15" width="13.140625" style="44" bestFit="1" customWidth="1"/>
    <col min="16" max="16" width="13.42578125" style="44" bestFit="1" customWidth="1"/>
    <col min="17" max="17" width="17.28515625" style="44" bestFit="1" customWidth="1"/>
    <col min="18" max="18" width="12.42578125" style="44" bestFit="1" customWidth="1"/>
    <col min="19" max="19" width="13.140625" style="44" bestFit="1" customWidth="1"/>
    <col min="20" max="20" width="13.42578125" style="44" bestFit="1" customWidth="1"/>
    <col min="21" max="21" width="17.28515625" style="44" bestFit="1" customWidth="1"/>
    <col min="22" max="22" width="12.42578125" style="44" bestFit="1" customWidth="1"/>
    <col min="23" max="23" width="13.140625" style="44" bestFit="1" customWidth="1"/>
    <col min="24" max="24" width="13.42578125" style="44" bestFit="1" customWidth="1"/>
    <col min="25" max="25" width="17.28515625" style="44" bestFit="1" customWidth="1"/>
    <col min="26" max="26" width="12.42578125" style="44" bestFit="1" customWidth="1"/>
    <col min="27" max="16384" width="9.140625" style="44"/>
  </cols>
  <sheetData>
    <row r="1" spans="1:28" ht="15.75" x14ac:dyDescent="0.25">
      <c r="A1" s="590"/>
      <c r="C1" s="713" t="s">
        <v>1426</v>
      </c>
      <c r="D1" s="713"/>
      <c r="E1" s="713"/>
      <c r="F1" s="713"/>
      <c r="G1" s="713" t="s">
        <v>1426</v>
      </c>
      <c r="H1" s="713"/>
      <c r="I1" s="713"/>
      <c r="J1" s="713"/>
      <c r="K1" s="713" t="s">
        <v>1426</v>
      </c>
      <c r="L1" s="713"/>
      <c r="M1" s="713"/>
      <c r="N1" s="713"/>
      <c r="O1" s="713" t="s">
        <v>1426</v>
      </c>
      <c r="P1" s="713"/>
      <c r="Q1" s="713"/>
      <c r="R1" s="713"/>
      <c r="S1" s="713" t="s">
        <v>1426</v>
      </c>
      <c r="T1" s="713"/>
      <c r="U1" s="713"/>
      <c r="V1" s="713"/>
      <c r="W1" s="713" t="s">
        <v>1426</v>
      </c>
      <c r="X1" s="713"/>
      <c r="Y1" s="713"/>
      <c r="Z1" s="713"/>
    </row>
    <row r="2" spans="1:28" x14ac:dyDescent="0.25">
      <c r="A2" s="288"/>
      <c r="C2" s="710">
        <v>350</v>
      </c>
      <c r="D2" s="711"/>
      <c r="E2" s="711"/>
      <c r="F2" s="712"/>
      <c r="G2" s="710">
        <v>352</v>
      </c>
      <c r="H2" s="711"/>
      <c r="I2" s="711"/>
      <c r="J2" s="712"/>
      <c r="K2" s="710">
        <v>353</v>
      </c>
      <c r="L2" s="711"/>
      <c r="M2" s="711"/>
      <c r="N2" s="712"/>
      <c r="O2" s="710">
        <v>360</v>
      </c>
      <c r="P2" s="711"/>
      <c r="Q2" s="711"/>
      <c r="R2" s="712"/>
      <c r="S2" s="710">
        <v>361</v>
      </c>
      <c r="T2" s="711"/>
      <c r="U2" s="711"/>
      <c r="V2" s="712"/>
      <c r="W2" s="710">
        <v>362</v>
      </c>
      <c r="X2" s="711"/>
      <c r="Y2" s="711"/>
      <c r="Z2" s="712"/>
    </row>
    <row r="3" spans="1:28" x14ac:dyDescent="0.25">
      <c r="A3" s="46" t="s">
        <v>1265</v>
      </c>
      <c r="B3" s="46" t="s">
        <v>1266</v>
      </c>
      <c r="C3" s="591" t="s">
        <v>1427</v>
      </c>
      <c r="D3" s="591" t="s">
        <v>1428</v>
      </c>
      <c r="E3" s="591" t="s">
        <v>1267</v>
      </c>
      <c r="F3" s="591" t="s">
        <v>1429</v>
      </c>
      <c r="G3" s="591" t="s">
        <v>1427</v>
      </c>
      <c r="H3" s="591" t="s">
        <v>1428</v>
      </c>
      <c r="I3" s="591" t="s">
        <v>1267</v>
      </c>
      <c r="J3" s="591" t="s">
        <v>1429</v>
      </c>
      <c r="K3" s="591" t="s">
        <v>1427</v>
      </c>
      <c r="L3" s="591" t="s">
        <v>1428</v>
      </c>
      <c r="M3" s="591" t="s">
        <v>1267</v>
      </c>
      <c r="N3" s="591" t="s">
        <v>1429</v>
      </c>
      <c r="O3" s="591" t="s">
        <v>1427</v>
      </c>
      <c r="P3" s="591" t="s">
        <v>1428</v>
      </c>
      <c r="Q3" s="591" t="s">
        <v>1267</v>
      </c>
      <c r="R3" s="591" t="s">
        <v>1429</v>
      </c>
      <c r="S3" s="591" t="s">
        <v>1427</v>
      </c>
      <c r="T3" s="591" t="s">
        <v>1428</v>
      </c>
      <c r="U3" s="591" t="s">
        <v>1267</v>
      </c>
      <c r="V3" s="591" t="s">
        <v>1429</v>
      </c>
      <c r="W3" s="591" t="s">
        <v>1427</v>
      </c>
      <c r="X3" s="591" t="s">
        <v>1428</v>
      </c>
      <c r="Y3" s="591" t="s">
        <v>1267</v>
      </c>
      <c r="Z3" s="591" t="s">
        <v>1429</v>
      </c>
    </row>
    <row r="4" spans="1:28" x14ac:dyDescent="0.25">
      <c r="A4" s="45" t="s">
        <v>1268</v>
      </c>
      <c r="B4" s="90">
        <v>5067</v>
      </c>
      <c r="C4" s="47">
        <v>248793.39629457137</v>
      </c>
      <c r="D4" s="47">
        <v>36752.703705428634</v>
      </c>
      <c r="E4" s="47">
        <v>0</v>
      </c>
      <c r="F4" s="47"/>
      <c r="G4" s="47">
        <v>7278131.3661367567</v>
      </c>
      <c r="H4" s="47">
        <v>1074510.1738632433</v>
      </c>
      <c r="I4" s="47">
        <v>0</v>
      </c>
      <c r="J4" s="319"/>
      <c r="K4" s="47">
        <v>131732887.31865869</v>
      </c>
      <c r="L4" s="47">
        <v>14965938.35134132</v>
      </c>
      <c r="M4" s="47">
        <v>0</v>
      </c>
      <c r="N4" s="47"/>
      <c r="O4" s="47">
        <v>0</v>
      </c>
      <c r="P4" s="47">
        <v>0</v>
      </c>
      <c r="Q4" s="47">
        <v>0</v>
      </c>
      <c r="R4" s="47"/>
      <c r="S4" s="47">
        <v>0</v>
      </c>
      <c r="T4" s="47">
        <v>0</v>
      </c>
      <c r="U4" s="47">
        <v>0</v>
      </c>
      <c r="V4" s="47"/>
      <c r="W4" s="47">
        <v>81459.31</v>
      </c>
      <c r="X4" s="47">
        <v>4506819.6399999997</v>
      </c>
      <c r="Y4" s="47">
        <v>0</v>
      </c>
      <c r="Z4" s="289"/>
      <c r="AA4" s="289"/>
      <c r="AB4" s="289"/>
    </row>
    <row r="5" spans="1:28" x14ac:dyDescent="0.25">
      <c r="A5" s="45" t="s">
        <v>1269</v>
      </c>
      <c r="B5" s="90">
        <v>5090</v>
      </c>
      <c r="C5" s="47">
        <v>13182.65</v>
      </c>
      <c r="D5" s="47">
        <v>0</v>
      </c>
      <c r="E5" s="47">
        <v>0</v>
      </c>
      <c r="F5" s="47"/>
      <c r="G5" s="47">
        <v>2756644.51</v>
      </c>
      <c r="H5" s="47">
        <v>0</v>
      </c>
      <c r="I5" s="47">
        <v>0</v>
      </c>
      <c r="J5" s="319"/>
      <c r="K5" s="47">
        <v>64092925.969999999</v>
      </c>
      <c r="L5" s="47">
        <v>0</v>
      </c>
      <c r="M5" s="47">
        <v>0</v>
      </c>
      <c r="N5" s="47"/>
      <c r="O5" s="47">
        <v>0</v>
      </c>
      <c r="P5" s="47">
        <v>0</v>
      </c>
      <c r="Q5" s="47">
        <v>0</v>
      </c>
      <c r="R5" s="47"/>
      <c r="S5" s="47">
        <v>0</v>
      </c>
      <c r="T5" s="47">
        <v>0</v>
      </c>
      <c r="U5" s="47">
        <v>0</v>
      </c>
      <c r="V5" s="47"/>
      <c r="W5" s="47">
        <v>26595.450000000004</v>
      </c>
      <c r="X5" s="47">
        <v>0</v>
      </c>
      <c r="Y5" s="47">
        <v>0</v>
      </c>
      <c r="Z5" s="289"/>
      <c r="AA5" s="289"/>
      <c r="AB5" s="289"/>
    </row>
    <row r="6" spans="1:28" collapsed="1" x14ac:dyDescent="0.25">
      <c r="A6" s="44" t="s">
        <v>1270</v>
      </c>
      <c r="B6" s="90">
        <v>5043</v>
      </c>
      <c r="C6" s="47">
        <v>230.3486677304808</v>
      </c>
      <c r="D6" s="47">
        <v>1593.6113322695192</v>
      </c>
      <c r="E6" s="47">
        <v>0</v>
      </c>
      <c r="F6" s="47"/>
      <c r="G6" s="47">
        <v>2162.4543807003538</v>
      </c>
      <c r="H6" s="47">
        <v>14960.415619299645</v>
      </c>
      <c r="I6" s="47">
        <v>0</v>
      </c>
      <c r="J6" s="319"/>
      <c r="K6" s="47">
        <v>365680.02677003818</v>
      </c>
      <c r="L6" s="47">
        <v>2529868.4832299617</v>
      </c>
      <c r="M6" s="47">
        <v>0</v>
      </c>
      <c r="N6" s="47"/>
      <c r="O6" s="47">
        <v>0</v>
      </c>
      <c r="P6" s="47">
        <v>0</v>
      </c>
      <c r="Q6" s="47">
        <v>0</v>
      </c>
      <c r="R6" s="47"/>
      <c r="S6" s="47">
        <v>0</v>
      </c>
      <c r="T6" s="47">
        <v>0</v>
      </c>
      <c r="U6" s="47">
        <v>0</v>
      </c>
      <c r="V6" s="47"/>
      <c r="W6" s="47">
        <v>0</v>
      </c>
      <c r="X6" s="47">
        <v>0</v>
      </c>
      <c r="Y6" s="47">
        <v>0</v>
      </c>
      <c r="Z6" s="289"/>
      <c r="AA6" s="289"/>
      <c r="AB6" s="289"/>
    </row>
    <row r="7" spans="1:28" collapsed="1" x14ac:dyDescent="0.25">
      <c r="A7" s="44" t="s">
        <v>1271</v>
      </c>
      <c r="B7" s="90">
        <v>5069</v>
      </c>
      <c r="C7" s="47">
        <v>381928.44123324734</v>
      </c>
      <c r="D7" s="47">
        <v>95347.778766752672</v>
      </c>
      <c r="E7" s="47">
        <v>0</v>
      </c>
      <c r="F7" s="47"/>
      <c r="G7" s="47">
        <v>10307489.370297661</v>
      </c>
      <c r="H7" s="47">
        <v>2522883.349702341</v>
      </c>
      <c r="I7" s="47">
        <v>0</v>
      </c>
      <c r="J7" s="319"/>
      <c r="K7" s="47">
        <v>121153520.88006535</v>
      </c>
      <c r="L7" s="47">
        <v>30296131.819934692</v>
      </c>
      <c r="M7" s="47">
        <v>0</v>
      </c>
      <c r="N7" s="47"/>
      <c r="O7" s="47">
        <v>0</v>
      </c>
      <c r="P7" s="47">
        <v>0</v>
      </c>
      <c r="Q7" s="47">
        <v>0</v>
      </c>
      <c r="R7" s="47"/>
      <c r="S7" s="47">
        <v>0</v>
      </c>
      <c r="T7" s="47">
        <v>0</v>
      </c>
      <c r="U7" s="47">
        <v>0</v>
      </c>
      <c r="V7" s="47"/>
      <c r="W7" s="47">
        <v>-0.16</v>
      </c>
      <c r="X7" s="47">
        <v>0</v>
      </c>
      <c r="Y7" s="47">
        <v>0</v>
      </c>
      <c r="Z7" s="289"/>
      <c r="AA7" s="289"/>
      <c r="AB7" s="289"/>
    </row>
    <row r="8" spans="1:28" hidden="1" x14ac:dyDescent="0.25">
      <c r="A8" s="44" t="s">
        <v>447</v>
      </c>
      <c r="B8" s="90">
        <v>5045</v>
      </c>
      <c r="C8" s="47"/>
      <c r="D8" s="47"/>
      <c r="E8" s="47"/>
      <c r="F8" s="47"/>
      <c r="G8" s="47"/>
      <c r="H8" s="47"/>
      <c r="I8" s="47"/>
      <c r="J8" s="319"/>
      <c r="K8" s="47"/>
      <c r="L8" s="47"/>
      <c r="M8" s="47"/>
      <c r="N8" s="47"/>
      <c r="O8" s="47"/>
      <c r="P8" s="47"/>
      <c r="Q8" s="47"/>
      <c r="R8" s="47"/>
      <c r="S8" s="47"/>
      <c r="T8" s="47"/>
      <c r="U8" s="47"/>
      <c r="V8" s="47"/>
      <c r="W8" s="47"/>
      <c r="X8" s="47"/>
      <c r="Y8" s="47"/>
      <c r="Z8" s="289"/>
      <c r="AA8" s="289"/>
      <c r="AB8" s="289"/>
    </row>
    <row r="9" spans="1:28" hidden="1" x14ac:dyDescent="0.25">
      <c r="A9" s="44" t="s">
        <v>448</v>
      </c>
      <c r="B9" s="90">
        <v>1320</v>
      </c>
      <c r="C9" s="47"/>
      <c r="D9" s="47"/>
      <c r="E9" s="47"/>
      <c r="F9" s="47"/>
      <c r="G9" s="47"/>
      <c r="H9" s="47"/>
      <c r="I9" s="47"/>
      <c r="J9" s="319"/>
      <c r="K9" s="47"/>
      <c r="L9" s="47"/>
      <c r="M9" s="47"/>
      <c r="N9" s="47"/>
      <c r="O9" s="47"/>
      <c r="P9" s="47"/>
      <c r="Q9" s="47"/>
      <c r="R9" s="47"/>
      <c r="S9" s="47"/>
      <c r="T9" s="47"/>
      <c r="U9" s="47"/>
      <c r="V9" s="47"/>
      <c r="W9" s="47"/>
      <c r="X9" s="47"/>
      <c r="Y9" s="47"/>
      <c r="Z9" s="289"/>
      <c r="AA9" s="289"/>
      <c r="AB9" s="289"/>
    </row>
    <row r="10" spans="1:28" hidden="1" x14ac:dyDescent="0.25">
      <c r="A10" s="288" t="s">
        <v>3364</v>
      </c>
      <c r="B10" s="90">
        <v>5365</v>
      </c>
      <c r="C10" s="47"/>
      <c r="D10" s="47"/>
      <c r="E10" s="47"/>
      <c r="F10" s="47"/>
      <c r="G10" s="47"/>
      <c r="H10" s="47"/>
      <c r="I10" s="47"/>
      <c r="J10" s="319"/>
      <c r="K10" s="47"/>
      <c r="L10" s="47"/>
      <c r="M10" s="47"/>
      <c r="N10" s="47"/>
      <c r="O10" s="47"/>
      <c r="P10" s="47"/>
      <c r="Q10" s="47"/>
      <c r="R10" s="47"/>
      <c r="S10" s="47"/>
      <c r="T10" s="47"/>
      <c r="U10" s="47"/>
      <c r="V10" s="47"/>
      <c r="W10" s="47"/>
      <c r="X10" s="47"/>
      <c r="Y10" s="47"/>
      <c r="Z10" s="289"/>
      <c r="AA10" s="289"/>
      <c r="AB10" s="289"/>
    </row>
    <row r="11" spans="1:28" collapsed="1" x14ac:dyDescent="0.25">
      <c r="A11" s="44" t="s">
        <v>1272</v>
      </c>
      <c r="B11" s="46" t="s">
        <v>1343</v>
      </c>
      <c r="C11" s="47">
        <v>132175.36224559104</v>
      </c>
      <c r="D11" s="47">
        <v>2184.837754408954</v>
      </c>
      <c r="E11" s="47">
        <v>0</v>
      </c>
      <c r="F11" s="47"/>
      <c r="G11" s="47">
        <v>6545404.1574478745</v>
      </c>
      <c r="H11" s="47">
        <v>107522.48255212441</v>
      </c>
      <c r="I11" s="47">
        <v>0</v>
      </c>
      <c r="J11" s="319"/>
      <c r="K11" s="47">
        <v>111020615.84609683</v>
      </c>
      <c r="L11" s="47">
        <v>1835825.1639031512</v>
      </c>
      <c r="M11" s="47">
        <v>0</v>
      </c>
      <c r="N11" s="47"/>
      <c r="O11" s="47">
        <v>0</v>
      </c>
      <c r="P11" s="47">
        <v>0</v>
      </c>
      <c r="Q11" s="47">
        <v>0</v>
      </c>
      <c r="R11" s="47"/>
      <c r="S11" s="47">
        <v>0</v>
      </c>
      <c r="T11" s="47">
        <v>0</v>
      </c>
      <c r="U11" s="47">
        <v>0</v>
      </c>
      <c r="V11" s="47"/>
      <c r="W11" s="47">
        <v>0</v>
      </c>
      <c r="X11" s="47">
        <v>0</v>
      </c>
      <c r="Y11" s="47">
        <v>0</v>
      </c>
      <c r="Z11" s="289"/>
      <c r="AA11" s="289"/>
      <c r="AB11" s="289"/>
    </row>
    <row r="12" spans="1:28" collapsed="1" x14ac:dyDescent="0.25">
      <c r="A12" s="44" t="s">
        <v>1344</v>
      </c>
      <c r="B12" s="90">
        <v>5081</v>
      </c>
      <c r="C12" s="47">
        <v>15880.155943971124</v>
      </c>
      <c r="D12" s="47">
        <v>70307.754056028876</v>
      </c>
      <c r="E12" s="47">
        <v>0</v>
      </c>
      <c r="F12" s="47"/>
      <c r="G12" s="47">
        <v>255834.04010393136</v>
      </c>
      <c r="H12" s="47">
        <v>1137843.6198960689</v>
      </c>
      <c r="I12" s="47">
        <v>0</v>
      </c>
      <c r="J12" s="319"/>
      <c r="K12" s="47">
        <v>8103161.0922170812</v>
      </c>
      <c r="L12" s="47">
        <v>35870745.967782922</v>
      </c>
      <c r="M12" s="47">
        <v>0</v>
      </c>
      <c r="N12" s="47"/>
      <c r="O12" s="47">
        <v>0</v>
      </c>
      <c r="P12" s="47">
        <v>0</v>
      </c>
      <c r="Q12" s="47">
        <v>0</v>
      </c>
      <c r="R12" s="47"/>
      <c r="S12" s="47">
        <v>2443.3038733471249</v>
      </c>
      <c r="T12" s="47">
        <v>10817.476126652877</v>
      </c>
      <c r="U12" s="47">
        <v>0</v>
      </c>
      <c r="V12" s="47"/>
      <c r="W12" s="47">
        <v>0</v>
      </c>
      <c r="X12" s="47">
        <v>0</v>
      </c>
      <c r="Y12" s="47">
        <v>0</v>
      </c>
      <c r="Z12" s="289"/>
      <c r="AA12" s="289"/>
      <c r="AB12" s="289"/>
    </row>
    <row r="13" spans="1:28" collapsed="1" x14ac:dyDescent="0.25">
      <c r="A13" s="44" t="s">
        <v>1345</v>
      </c>
      <c r="B13" s="90">
        <v>5084</v>
      </c>
      <c r="C13" s="47">
        <v>14072.350099194338</v>
      </c>
      <c r="D13" s="47">
        <v>58180.819900805669</v>
      </c>
      <c r="E13" s="47">
        <v>0</v>
      </c>
      <c r="F13" s="47"/>
      <c r="G13" s="47">
        <v>675644.25049724837</v>
      </c>
      <c r="H13" s="47">
        <v>2808745.0295027522</v>
      </c>
      <c r="I13" s="47">
        <v>0</v>
      </c>
      <c r="J13" s="319"/>
      <c r="K13" s="47">
        <v>6226020.0119151939</v>
      </c>
      <c r="L13" s="47">
        <v>25725373.518084813</v>
      </c>
      <c r="M13" s="47">
        <v>0</v>
      </c>
      <c r="N13" s="47"/>
      <c r="O13" s="47">
        <v>0</v>
      </c>
      <c r="P13" s="47">
        <v>0</v>
      </c>
      <c r="Q13" s="47">
        <v>0</v>
      </c>
      <c r="R13" s="47"/>
      <c r="S13" s="47">
        <v>0</v>
      </c>
      <c r="T13" s="47">
        <v>0</v>
      </c>
      <c r="U13" s="47">
        <v>0</v>
      </c>
      <c r="V13" s="47"/>
      <c r="W13" s="47">
        <v>0</v>
      </c>
      <c r="X13" s="47">
        <v>169.09</v>
      </c>
      <c r="Y13" s="47">
        <v>0</v>
      </c>
      <c r="Z13" s="289"/>
      <c r="AA13" s="289"/>
      <c r="AB13" s="289"/>
    </row>
    <row r="14" spans="1:28" collapsed="1" x14ac:dyDescent="0.25">
      <c r="A14" s="44" t="s">
        <v>1346</v>
      </c>
      <c r="B14" s="90">
        <v>8063</v>
      </c>
      <c r="C14" s="47">
        <v>0</v>
      </c>
      <c r="D14" s="47">
        <v>0</v>
      </c>
      <c r="E14" s="47">
        <v>0</v>
      </c>
      <c r="F14" s="47"/>
      <c r="G14" s="47">
        <v>59734.168349336418</v>
      </c>
      <c r="H14" s="47">
        <v>193841.33165066357</v>
      </c>
      <c r="I14" s="47">
        <v>0</v>
      </c>
      <c r="J14" s="319"/>
      <c r="K14" s="47">
        <v>3630204.287969566</v>
      </c>
      <c r="L14" s="47">
        <v>11780253.292030422</v>
      </c>
      <c r="M14" s="47">
        <v>0</v>
      </c>
      <c r="N14" s="47"/>
      <c r="O14" s="47">
        <v>0</v>
      </c>
      <c r="P14" s="47">
        <v>0</v>
      </c>
      <c r="Q14" s="47">
        <v>0</v>
      </c>
      <c r="R14" s="47"/>
      <c r="S14" s="47">
        <v>0</v>
      </c>
      <c r="T14" s="47">
        <v>0</v>
      </c>
      <c r="U14" s="47">
        <v>0</v>
      </c>
      <c r="V14" s="47"/>
      <c r="W14" s="47">
        <v>0</v>
      </c>
      <c r="X14" s="47">
        <v>0</v>
      </c>
      <c r="Y14" s="47">
        <v>0</v>
      </c>
      <c r="Z14" s="289"/>
      <c r="AA14" s="289"/>
      <c r="AB14" s="289"/>
    </row>
    <row r="15" spans="1:28" collapsed="1" x14ac:dyDescent="0.25">
      <c r="A15" s="44" t="s">
        <v>1347</v>
      </c>
      <c r="B15" s="90">
        <v>5062</v>
      </c>
      <c r="C15" s="47">
        <v>8320.2457641169785</v>
      </c>
      <c r="D15" s="47">
        <v>26144.354235883027</v>
      </c>
      <c r="E15" s="47">
        <v>0</v>
      </c>
      <c r="F15" s="47"/>
      <c r="G15" s="47">
        <v>574440.7712550296</v>
      </c>
      <c r="H15" s="47">
        <v>1883262.8887449708</v>
      </c>
      <c r="I15" s="47">
        <v>0</v>
      </c>
      <c r="J15" s="319"/>
      <c r="K15" s="47">
        <v>8725618.4179796092</v>
      </c>
      <c r="L15" s="47">
        <v>27339679.662020389</v>
      </c>
      <c r="M15" s="47">
        <v>0</v>
      </c>
      <c r="N15" s="47"/>
      <c r="O15" s="47">
        <v>0</v>
      </c>
      <c r="P15" s="47">
        <v>0</v>
      </c>
      <c r="Q15" s="47">
        <v>0</v>
      </c>
      <c r="R15" s="47"/>
      <c r="S15" s="47">
        <v>0</v>
      </c>
      <c r="T15" s="47">
        <v>0</v>
      </c>
      <c r="U15" s="47">
        <v>0</v>
      </c>
      <c r="V15" s="47"/>
      <c r="W15" s="47">
        <v>-57.388885702655294</v>
      </c>
      <c r="X15" s="47">
        <v>57.388885702655301</v>
      </c>
      <c r="Y15" s="47">
        <v>0</v>
      </c>
      <c r="Z15" s="289"/>
      <c r="AA15" s="289"/>
      <c r="AB15" s="289"/>
    </row>
    <row r="16" spans="1:28" collapsed="1" x14ac:dyDescent="0.25">
      <c r="A16" s="44" t="s">
        <v>1348</v>
      </c>
      <c r="B16" s="90">
        <v>5075</v>
      </c>
      <c r="C16" s="47">
        <v>48620.621923627659</v>
      </c>
      <c r="D16" s="47">
        <v>137361.5180763723</v>
      </c>
      <c r="E16" s="47">
        <v>0</v>
      </c>
      <c r="F16" s="47"/>
      <c r="G16" s="47">
        <v>211779.78002050592</v>
      </c>
      <c r="H16" s="47">
        <v>503046.56997949409</v>
      </c>
      <c r="I16" s="47">
        <v>0</v>
      </c>
      <c r="J16" s="319"/>
      <c r="K16" s="47">
        <v>11585241.499755004</v>
      </c>
      <c r="L16" s="47">
        <v>32825542.980244994</v>
      </c>
      <c r="M16" s="47">
        <v>0</v>
      </c>
      <c r="N16" s="47"/>
      <c r="O16" s="47">
        <v>0</v>
      </c>
      <c r="P16" s="47">
        <v>0</v>
      </c>
      <c r="Q16" s="47">
        <v>0</v>
      </c>
      <c r="R16" s="47"/>
      <c r="S16" s="47">
        <v>0</v>
      </c>
      <c r="T16" s="47">
        <v>0</v>
      </c>
      <c r="U16" s="47">
        <v>0</v>
      </c>
      <c r="V16" s="47"/>
      <c r="W16" s="47">
        <v>0</v>
      </c>
      <c r="X16" s="47">
        <v>0</v>
      </c>
      <c r="Y16" s="47">
        <v>0</v>
      </c>
      <c r="Z16" s="289"/>
      <c r="AA16" s="289"/>
      <c r="AB16" s="289"/>
    </row>
    <row r="17" spans="1:28" collapsed="1" x14ac:dyDescent="0.25">
      <c r="A17" s="44" t="s">
        <v>1349</v>
      </c>
      <c r="B17" s="90">
        <v>5011</v>
      </c>
      <c r="C17" s="47">
        <v>4626.1672313667241</v>
      </c>
      <c r="D17" s="47">
        <v>14987.032768633275</v>
      </c>
      <c r="E17" s="47">
        <v>0</v>
      </c>
      <c r="F17" s="47"/>
      <c r="G17" s="47">
        <v>244602.65603972721</v>
      </c>
      <c r="H17" s="47">
        <v>782422.85396027286</v>
      </c>
      <c r="I17" s="47">
        <v>0</v>
      </c>
      <c r="J17" s="319"/>
      <c r="K17" s="47">
        <v>4428342.5719830878</v>
      </c>
      <c r="L17" s="47">
        <v>14356152.938016914</v>
      </c>
      <c r="M17" s="47">
        <v>0</v>
      </c>
      <c r="N17" s="47"/>
      <c r="O17" s="47">
        <v>0</v>
      </c>
      <c r="P17" s="47">
        <v>0</v>
      </c>
      <c r="Q17" s="47">
        <v>0</v>
      </c>
      <c r="R17" s="47"/>
      <c r="S17" s="47">
        <v>0</v>
      </c>
      <c r="T17" s="47">
        <v>0</v>
      </c>
      <c r="U17" s="47">
        <v>0</v>
      </c>
      <c r="V17" s="47"/>
      <c r="W17" s="47">
        <v>0</v>
      </c>
      <c r="X17" s="47">
        <v>0</v>
      </c>
      <c r="Y17" s="47">
        <v>0</v>
      </c>
      <c r="Z17" s="289"/>
      <c r="AA17" s="289"/>
      <c r="AB17" s="289"/>
    </row>
    <row r="18" spans="1:28" collapsed="1" x14ac:dyDescent="0.25">
      <c r="A18" s="44" t="s">
        <v>1350</v>
      </c>
      <c r="B18" s="90">
        <v>5023</v>
      </c>
      <c r="C18" s="47">
        <v>54342.427400787361</v>
      </c>
      <c r="D18" s="47">
        <v>231277.46259921259</v>
      </c>
      <c r="E18" s="47">
        <v>0</v>
      </c>
      <c r="F18" s="47"/>
      <c r="G18" s="47">
        <v>631548.75614124839</v>
      </c>
      <c r="H18" s="47">
        <v>2687826.0838587512</v>
      </c>
      <c r="I18" s="47">
        <v>0</v>
      </c>
      <c r="J18" s="319"/>
      <c r="K18" s="47">
        <v>4205463.1308049513</v>
      </c>
      <c r="L18" s="47">
        <v>17898148.619195051</v>
      </c>
      <c r="M18" s="47">
        <v>0</v>
      </c>
      <c r="N18" s="47"/>
      <c r="O18" s="47">
        <v>0</v>
      </c>
      <c r="P18" s="47">
        <v>0</v>
      </c>
      <c r="Q18" s="47">
        <v>0</v>
      </c>
      <c r="R18" s="47"/>
      <c r="S18" s="47">
        <v>1346.8658427219329</v>
      </c>
      <c r="T18" s="47">
        <v>5732.1641572780663</v>
      </c>
      <c r="U18" s="47">
        <v>0</v>
      </c>
      <c r="V18" s="47"/>
      <c r="W18" s="47">
        <v>0</v>
      </c>
      <c r="X18" s="47">
        <v>0</v>
      </c>
      <c r="Y18" s="47">
        <v>0</v>
      </c>
      <c r="Z18" s="289"/>
      <c r="AA18" s="289"/>
      <c r="AB18" s="289"/>
    </row>
    <row r="19" spans="1:28" hidden="1" collapsed="1" x14ac:dyDescent="0.25">
      <c r="A19" s="592" t="s">
        <v>1026</v>
      </c>
      <c r="B19" s="593" t="s">
        <v>1351</v>
      </c>
      <c r="C19" s="285"/>
      <c r="D19" s="285"/>
      <c r="E19" s="285"/>
      <c r="F19" s="47"/>
      <c r="G19" s="285"/>
      <c r="H19" s="285"/>
      <c r="I19" s="285"/>
      <c r="J19" s="320"/>
      <c r="K19" s="285"/>
      <c r="L19" s="285"/>
      <c r="M19" s="285"/>
      <c r="N19" s="285"/>
      <c r="O19" s="285"/>
      <c r="P19" s="285"/>
      <c r="Q19" s="285"/>
      <c r="R19" s="285"/>
      <c r="S19" s="285"/>
      <c r="T19" s="285"/>
      <c r="U19" s="285"/>
      <c r="V19" s="285"/>
      <c r="W19" s="285"/>
      <c r="X19" s="285"/>
      <c r="Y19" s="285"/>
      <c r="Z19" s="289"/>
      <c r="AA19" s="289"/>
      <c r="AB19" s="289"/>
    </row>
    <row r="20" spans="1:28" collapsed="1" x14ac:dyDescent="0.25">
      <c r="A20" s="44" t="s">
        <v>1352</v>
      </c>
      <c r="B20" s="90">
        <v>5086</v>
      </c>
      <c r="C20" s="47">
        <v>10238.698805268556</v>
      </c>
      <c r="D20" s="47">
        <v>45657.08592070482</v>
      </c>
      <c r="E20" s="47">
        <v>3841.5152740266353</v>
      </c>
      <c r="F20" s="47"/>
      <c r="G20" s="47">
        <v>226680.98208811146</v>
      </c>
      <c r="H20" s="47">
        <v>955499.2467351252</v>
      </c>
      <c r="I20" s="47">
        <v>80394.201176763672</v>
      </c>
      <c r="J20" s="319"/>
      <c r="K20" s="47">
        <v>7943188.2447340973</v>
      </c>
      <c r="L20" s="47">
        <v>35476124.375008859</v>
      </c>
      <c r="M20" s="47">
        <v>2984905.2102570403</v>
      </c>
      <c r="N20" s="47"/>
      <c r="O20" s="47">
        <v>0</v>
      </c>
      <c r="P20" s="47">
        <v>0</v>
      </c>
      <c r="Q20" s="47">
        <v>0</v>
      </c>
      <c r="R20" s="47"/>
      <c r="S20" s="47">
        <v>0</v>
      </c>
      <c r="T20" s="47">
        <v>0</v>
      </c>
      <c r="U20" s="47">
        <v>0</v>
      </c>
      <c r="V20" s="47"/>
      <c r="W20" s="47">
        <v>0</v>
      </c>
      <c r="X20" s="47">
        <v>0</v>
      </c>
      <c r="Y20" s="47">
        <v>0</v>
      </c>
      <c r="Z20" s="289"/>
      <c r="AA20" s="289"/>
      <c r="AB20" s="289"/>
    </row>
    <row r="21" spans="1:28" collapsed="1" x14ac:dyDescent="0.25">
      <c r="A21" s="44" t="s">
        <v>1027</v>
      </c>
      <c r="B21" s="46" t="s">
        <v>1353</v>
      </c>
      <c r="C21" s="47">
        <v>40847.598485576338</v>
      </c>
      <c r="D21" s="47">
        <v>145296.55151442363</v>
      </c>
      <c r="E21" s="47">
        <v>0</v>
      </c>
      <c r="F21" s="47"/>
      <c r="G21" s="47">
        <v>788978.34576033673</v>
      </c>
      <c r="H21" s="47">
        <v>2806492.9942396632</v>
      </c>
      <c r="I21" s="47">
        <v>0</v>
      </c>
      <c r="J21" s="319"/>
      <c r="K21" s="47">
        <v>10356989.476914385</v>
      </c>
      <c r="L21" s="47">
        <v>36839898.243085623</v>
      </c>
      <c r="M21" s="47">
        <v>0</v>
      </c>
      <c r="N21" s="47"/>
      <c r="O21" s="47">
        <v>0</v>
      </c>
      <c r="P21" s="47">
        <v>0</v>
      </c>
      <c r="Q21" s="47">
        <v>0</v>
      </c>
      <c r="R21" s="47"/>
      <c r="S21" s="47">
        <v>0</v>
      </c>
      <c r="T21" s="47">
        <v>0</v>
      </c>
      <c r="U21" s="47">
        <v>0</v>
      </c>
      <c r="V21" s="47"/>
      <c r="W21" s="47">
        <v>0</v>
      </c>
      <c r="X21" s="47">
        <v>264.82</v>
      </c>
      <c r="Y21" s="47">
        <v>0</v>
      </c>
      <c r="Z21" s="289"/>
      <c r="AA21" s="289"/>
      <c r="AB21" s="289"/>
    </row>
    <row r="22" spans="1:28" collapsed="1" x14ac:dyDescent="0.25">
      <c r="A22" s="44" t="s">
        <v>1354</v>
      </c>
      <c r="B22" s="90">
        <v>5055</v>
      </c>
      <c r="C22" s="230">
        <v>39103.887131764772</v>
      </c>
      <c r="D22" s="230">
        <v>197089.66286823523</v>
      </c>
      <c r="E22" s="230">
        <v>0</v>
      </c>
      <c r="F22" s="47"/>
      <c r="G22" s="230">
        <v>149088.58456507372</v>
      </c>
      <c r="H22" s="230">
        <v>751526.87543492625</v>
      </c>
      <c r="I22" s="230">
        <v>0</v>
      </c>
      <c r="J22" s="319"/>
      <c r="K22" s="230">
        <v>2771172.6334364708</v>
      </c>
      <c r="L22" s="230">
        <v>15700574.866563529</v>
      </c>
      <c r="M22" s="230">
        <v>0</v>
      </c>
      <c r="N22" s="230"/>
      <c r="O22" s="47">
        <v>0</v>
      </c>
      <c r="P22" s="47">
        <v>0</v>
      </c>
      <c r="Q22" s="47">
        <v>0</v>
      </c>
      <c r="R22" s="47"/>
      <c r="S22" s="47">
        <v>0</v>
      </c>
      <c r="T22" s="47">
        <v>0</v>
      </c>
      <c r="U22" s="47">
        <v>0</v>
      </c>
      <c r="V22" s="47"/>
      <c r="W22" s="47">
        <v>343944.12</v>
      </c>
      <c r="X22" s="47">
        <v>0</v>
      </c>
      <c r="Y22" s="47">
        <v>0</v>
      </c>
      <c r="Z22" s="289"/>
      <c r="AA22" s="289"/>
      <c r="AB22" s="289"/>
    </row>
    <row r="23" spans="1:28" collapsed="1" x14ac:dyDescent="0.25">
      <c r="A23" s="44" t="s">
        <v>1355</v>
      </c>
      <c r="B23" s="90">
        <v>5015</v>
      </c>
      <c r="C23" s="47">
        <v>13929.470959183678</v>
      </c>
      <c r="D23" s="47">
        <v>15370.829040816319</v>
      </c>
      <c r="E23" s="47">
        <v>0</v>
      </c>
      <c r="F23" s="47"/>
      <c r="G23" s="47">
        <v>258428.28524651274</v>
      </c>
      <c r="H23" s="47">
        <v>285169.26475348719</v>
      </c>
      <c r="I23" s="47">
        <v>0</v>
      </c>
      <c r="J23" s="319"/>
      <c r="K23" s="47">
        <v>9116848.4647913352</v>
      </c>
      <c r="L23" s="47">
        <v>10060218.335208666</v>
      </c>
      <c r="M23" s="47">
        <v>0</v>
      </c>
      <c r="N23" s="47"/>
      <c r="O23" s="47">
        <v>0</v>
      </c>
      <c r="P23" s="47">
        <v>0</v>
      </c>
      <c r="Q23" s="47">
        <v>0</v>
      </c>
      <c r="R23" s="47"/>
      <c r="S23" s="47">
        <v>0</v>
      </c>
      <c r="T23" s="47">
        <v>0</v>
      </c>
      <c r="U23" s="47">
        <v>0</v>
      </c>
      <c r="V23" s="47"/>
      <c r="W23" s="47">
        <v>0</v>
      </c>
      <c r="X23" s="47">
        <v>0</v>
      </c>
      <c r="Y23" s="47">
        <v>0</v>
      </c>
      <c r="Z23" s="289"/>
      <c r="AA23" s="289"/>
      <c r="AB23" s="289"/>
    </row>
    <row r="24" spans="1:28" collapsed="1" x14ac:dyDescent="0.25">
      <c r="A24" s="44" t="s">
        <v>1356</v>
      </c>
      <c r="B24" s="90">
        <v>5071</v>
      </c>
      <c r="C24" s="47">
        <v>167261.41389304385</v>
      </c>
      <c r="D24" s="47">
        <v>511016.12610695616</v>
      </c>
      <c r="E24" s="47">
        <v>0</v>
      </c>
      <c r="F24" s="47"/>
      <c r="G24" s="47">
        <v>135538.46327483363</v>
      </c>
      <c r="H24" s="47">
        <v>425075.43672516634</v>
      </c>
      <c r="I24" s="47">
        <v>0</v>
      </c>
      <c r="J24" s="319"/>
      <c r="K24" s="47">
        <v>5474433.0612363266</v>
      </c>
      <c r="L24" s="47">
        <v>16714477.848763673</v>
      </c>
      <c r="M24" s="47">
        <v>0</v>
      </c>
      <c r="N24" s="47"/>
      <c r="O24" s="47">
        <v>0</v>
      </c>
      <c r="P24" s="47">
        <v>0</v>
      </c>
      <c r="Q24" s="47">
        <v>0</v>
      </c>
      <c r="R24" s="47"/>
      <c r="S24" s="47">
        <v>0</v>
      </c>
      <c r="T24" s="47">
        <v>0</v>
      </c>
      <c r="U24" s="47">
        <v>0</v>
      </c>
      <c r="V24" s="47"/>
      <c r="W24" s="47">
        <v>0</v>
      </c>
      <c r="X24" s="47">
        <v>0</v>
      </c>
      <c r="Y24" s="47">
        <v>0</v>
      </c>
      <c r="Z24" s="289"/>
      <c r="AA24" s="289"/>
      <c r="AB24" s="289"/>
    </row>
    <row r="25" spans="1:28" collapsed="1" x14ac:dyDescent="0.25">
      <c r="A25" s="44" t="s">
        <v>1028</v>
      </c>
      <c r="B25" s="46" t="s">
        <v>1357</v>
      </c>
      <c r="C25" s="47">
        <v>58786.783767913425</v>
      </c>
      <c r="D25" s="47">
        <v>38426.436232086584</v>
      </c>
      <c r="E25" s="47">
        <v>0</v>
      </c>
      <c r="F25" s="47"/>
      <c r="G25" s="47">
        <v>800325.35017194541</v>
      </c>
      <c r="H25" s="47">
        <v>523138.85982805479</v>
      </c>
      <c r="I25" s="47">
        <v>0</v>
      </c>
      <c r="J25" s="47"/>
      <c r="K25" s="47">
        <v>3227701.4766759323</v>
      </c>
      <c r="L25" s="47">
        <v>2109812.053324068</v>
      </c>
      <c r="M25" s="47">
        <v>0</v>
      </c>
      <c r="N25" s="47"/>
      <c r="O25" s="47">
        <v>0</v>
      </c>
      <c r="P25" s="47">
        <v>0</v>
      </c>
      <c r="Q25" s="47">
        <v>0</v>
      </c>
      <c r="R25" s="47"/>
      <c r="S25" s="47">
        <v>0</v>
      </c>
      <c r="T25" s="47">
        <v>0</v>
      </c>
      <c r="U25" s="47">
        <v>0</v>
      </c>
      <c r="V25" s="47"/>
      <c r="W25" s="47">
        <v>0</v>
      </c>
      <c r="X25" s="47">
        <v>0</v>
      </c>
      <c r="Y25" s="47">
        <v>0</v>
      </c>
      <c r="Z25" s="289"/>
      <c r="AA25" s="289"/>
      <c r="AB25" s="289"/>
    </row>
    <row r="26" spans="1:28" collapsed="1" x14ac:dyDescent="0.25">
      <c r="A26" s="95" t="s">
        <v>1342</v>
      </c>
      <c r="B26" s="96" t="s">
        <v>1341</v>
      </c>
      <c r="C26" s="47">
        <v>254309.02839388486</v>
      </c>
      <c r="D26" s="47">
        <v>559107.02160611516</v>
      </c>
      <c r="E26" s="47">
        <v>0</v>
      </c>
      <c r="F26" s="47"/>
      <c r="G26" s="47">
        <v>1061320.6235823219</v>
      </c>
      <c r="H26" s="47">
        <v>2334371.7664176784</v>
      </c>
      <c r="I26" s="47">
        <v>0</v>
      </c>
      <c r="J26" s="47"/>
      <c r="K26" s="47">
        <v>5097496.9445331227</v>
      </c>
      <c r="L26" s="47">
        <v>9404340.2854668759</v>
      </c>
      <c r="M26" s="47">
        <v>0</v>
      </c>
      <c r="N26" s="47"/>
      <c r="O26" s="47">
        <v>0</v>
      </c>
      <c r="P26" s="47">
        <v>0</v>
      </c>
      <c r="Q26" s="47">
        <v>0</v>
      </c>
      <c r="R26" s="47"/>
      <c r="S26" s="47">
        <v>68317.671908538352</v>
      </c>
      <c r="T26" s="47">
        <v>151938.58809146169</v>
      </c>
      <c r="U26" s="47">
        <v>0</v>
      </c>
      <c r="V26" s="47"/>
      <c r="W26" s="47">
        <v>1241376.9689078578</v>
      </c>
      <c r="X26" s="47">
        <v>4529126.6810921421</v>
      </c>
      <c r="Y26" s="47">
        <v>0</v>
      </c>
      <c r="Z26" s="289"/>
      <c r="AA26" s="289"/>
      <c r="AB26" s="289"/>
    </row>
    <row r="27" spans="1:28" collapsed="1" x14ac:dyDescent="0.25">
      <c r="A27" s="44" t="s">
        <v>1358</v>
      </c>
      <c r="B27" s="90">
        <v>5024</v>
      </c>
      <c r="C27" s="47">
        <v>838723.3867811875</v>
      </c>
      <c r="D27" s="47">
        <v>1261503.5232188124</v>
      </c>
      <c r="E27" s="47">
        <v>0</v>
      </c>
      <c r="F27" s="47"/>
      <c r="G27" s="47">
        <v>1573699.4456328191</v>
      </c>
      <c r="H27" s="47">
        <v>2366963.2043671813</v>
      </c>
      <c r="I27" s="47">
        <v>0</v>
      </c>
      <c r="J27" s="47"/>
      <c r="K27" s="47">
        <v>6094921.0231566578</v>
      </c>
      <c r="L27" s="47">
        <v>9167223.0268433411</v>
      </c>
      <c r="M27" s="47">
        <v>0</v>
      </c>
      <c r="N27" s="47"/>
      <c r="O27" s="47">
        <v>0</v>
      </c>
      <c r="P27" s="47">
        <v>0</v>
      </c>
      <c r="Q27" s="47">
        <v>0</v>
      </c>
      <c r="R27" s="47"/>
      <c r="S27" s="47">
        <v>0</v>
      </c>
      <c r="T27" s="47">
        <v>0</v>
      </c>
      <c r="U27" s="47">
        <v>0</v>
      </c>
      <c r="V27" s="47"/>
      <c r="W27" s="47">
        <v>0</v>
      </c>
      <c r="X27" s="47">
        <v>0</v>
      </c>
      <c r="Y27" s="47">
        <v>0</v>
      </c>
      <c r="Z27" s="289"/>
      <c r="AA27" s="289"/>
      <c r="AB27" s="289"/>
    </row>
    <row r="28" spans="1:28" collapsed="1" x14ac:dyDescent="0.25">
      <c r="A28" s="44" t="s">
        <v>1359</v>
      </c>
      <c r="B28" s="90">
        <v>5021</v>
      </c>
      <c r="C28" s="47">
        <v>30366.889969275468</v>
      </c>
      <c r="D28" s="47">
        <v>71003.110030724521</v>
      </c>
      <c r="E28" s="47">
        <v>0</v>
      </c>
      <c r="F28" s="47"/>
      <c r="G28" s="47">
        <v>1379589.3358292256</v>
      </c>
      <c r="H28" s="47">
        <v>3223614.7541707745</v>
      </c>
      <c r="I28" s="47">
        <v>0</v>
      </c>
      <c r="J28" s="47"/>
      <c r="K28" s="47">
        <v>10413664.419692224</v>
      </c>
      <c r="L28" s="47">
        <v>24379629.850307778</v>
      </c>
      <c r="M28" s="47">
        <v>0</v>
      </c>
      <c r="N28" s="47"/>
      <c r="O28" s="47">
        <v>0</v>
      </c>
      <c r="P28" s="47">
        <v>0</v>
      </c>
      <c r="Q28" s="47">
        <v>0</v>
      </c>
      <c r="R28" s="47"/>
      <c r="S28" s="47">
        <v>0</v>
      </c>
      <c r="T28" s="47">
        <v>0</v>
      </c>
      <c r="U28" s="47">
        <v>0</v>
      </c>
      <c r="V28" s="47"/>
      <c r="W28" s="47">
        <v>12210.7</v>
      </c>
      <c r="X28" s="47">
        <v>0</v>
      </c>
      <c r="Y28" s="47">
        <v>0</v>
      </c>
      <c r="Z28" s="289"/>
      <c r="AA28" s="289"/>
      <c r="AB28" s="289"/>
    </row>
    <row r="29" spans="1:28" collapsed="1" x14ac:dyDescent="0.25">
      <c r="A29" s="44" t="s">
        <v>1360</v>
      </c>
      <c r="B29" s="90">
        <v>5028</v>
      </c>
      <c r="C29" s="47">
        <v>8944.102999765686</v>
      </c>
      <c r="D29" s="47">
        <v>4074.1970002343137</v>
      </c>
      <c r="E29" s="47">
        <v>0</v>
      </c>
      <c r="F29" s="47"/>
      <c r="G29" s="47">
        <v>17630.613799497409</v>
      </c>
      <c r="H29" s="47">
        <v>8031.0562005025913</v>
      </c>
      <c r="I29" s="47">
        <v>0</v>
      </c>
      <c r="J29" s="47"/>
      <c r="K29" s="47">
        <v>3833295.1960632643</v>
      </c>
      <c r="L29" s="47">
        <v>1746133.7139367359</v>
      </c>
      <c r="M29" s="47">
        <v>0</v>
      </c>
      <c r="N29" s="47"/>
      <c r="O29" s="47">
        <v>0</v>
      </c>
      <c r="P29" s="47">
        <v>0</v>
      </c>
      <c r="Q29" s="47">
        <v>0</v>
      </c>
      <c r="R29" s="47"/>
      <c r="S29" s="47">
        <v>0</v>
      </c>
      <c r="T29" s="47">
        <v>0</v>
      </c>
      <c r="U29" s="47">
        <v>0</v>
      </c>
      <c r="V29" s="47"/>
      <c r="W29" s="47">
        <v>0</v>
      </c>
      <c r="X29" s="47">
        <v>0</v>
      </c>
      <c r="Y29" s="47">
        <v>0</v>
      </c>
      <c r="Z29" s="289"/>
      <c r="AA29" s="289"/>
      <c r="AB29" s="289"/>
    </row>
    <row r="30" spans="1:28" collapsed="1" x14ac:dyDescent="0.25">
      <c r="A30" s="44" t="s">
        <v>1361</v>
      </c>
      <c r="B30" s="90">
        <v>5074</v>
      </c>
      <c r="C30" s="47">
        <v>36482.490789094161</v>
      </c>
      <c r="D30" s="47">
        <v>94780.009210905861</v>
      </c>
      <c r="E30" s="47">
        <v>0</v>
      </c>
      <c r="F30" s="47"/>
      <c r="G30" s="47">
        <v>404087.37805177603</v>
      </c>
      <c r="H30" s="47">
        <v>1061338.0519482242</v>
      </c>
      <c r="I30" s="47">
        <v>0</v>
      </c>
      <c r="J30" s="47"/>
      <c r="K30" s="47">
        <v>11041410.057167346</v>
      </c>
      <c r="L30" s="47">
        <v>28673593.112832662</v>
      </c>
      <c r="M30" s="47">
        <v>0</v>
      </c>
      <c r="N30" s="47"/>
      <c r="O30" s="47">
        <v>0</v>
      </c>
      <c r="P30" s="47">
        <v>0</v>
      </c>
      <c r="Q30" s="47">
        <v>0</v>
      </c>
      <c r="R30" s="47"/>
      <c r="S30" s="47">
        <v>0</v>
      </c>
      <c r="T30" s="47">
        <v>0</v>
      </c>
      <c r="U30" s="47">
        <v>0</v>
      </c>
      <c r="V30" s="47"/>
      <c r="W30" s="47">
        <v>0</v>
      </c>
      <c r="X30" s="47">
        <v>0</v>
      </c>
      <c r="Y30" s="47">
        <v>0</v>
      </c>
      <c r="Z30" s="289"/>
      <c r="AA30" s="289"/>
      <c r="AB30" s="289"/>
    </row>
    <row r="31" spans="1:28" collapsed="1" x14ac:dyDescent="0.25">
      <c r="A31" s="44" t="s">
        <v>1362</v>
      </c>
      <c r="B31" s="90">
        <v>5073</v>
      </c>
      <c r="C31" s="47">
        <v>58795.897943290678</v>
      </c>
      <c r="D31" s="47">
        <v>105883.72205670933</v>
      </c>
      <c r="E31" s="47">
        <v>0</v>
      </c>
      <c r="F31" s="47"/>
      <c r="G31" s="47">
        <v>3061116.0032155793</v>
      </c>
      <c r="H31" s="47">
        <v>5512669.5467844224</v>
      </c>
      <c r="I31" s="47">
        <v>0</v>
      </c>
      <c r="J31" s="47"/>
      <c r="K31" s="47">
        <v>11856156.162715625</v>
      </c>
      <c r="L31" s="47">
        <v>21351386.537284371</v>
      </c>
      <c r="M31" s="47">
        <v>0</v>
      </c>
      <c r="N31" s="47"/>
      <c r="O31" s="47">
        <v>0</v>
      </c>
      <c r="P31" s="47">
        <v>0</v>
      </c>
      <c r="Q31" s="47">
        <v>0</v>
      </c>
      <c r="R31" s="47"/>
      <c r="S31" s="47">
        <v>2702.725276587058</v>
      </c>
      <c r="T31" s="47">
        <v>4867.2547234129424</v>
      </c>
      <c r="U31" s="47">
        <v>0</v>
      </c>
      <c r="V31" s="47"/>
      <c r="W31" s="47">
        <v>0</v>
      </c>
      <c r="X31" s="47">
        <v>0</v>
      </c>
      <c r="Y31" s="47">
        <v>0</v>
      </c>
      <c r="Z31" s="289"/>
      <c r="AA31" s="289"/>
      <c r="AB31" s="289"/>
    </row>
    <row r="32" spans="1:28" collapsed="1" x14ac:dyDescent="0.25">
      <c r="A32" s="44" t="s">
        <v>1363</v>
      </c>
      <c r="B32" s="90">
        <v>5012</v>
      </c>
      <c r="C32" s="47">
        <v>47666.78608968843</v>
      </c>
      <c r="D32" s="47">
        <v>121581.86391031156</v>
      </c>
      <c r="E32" s="47">
        <v>0</v>
      </c>
      <c r="F32" s="47"/>
      <c r="G32" s="47">
        <v>1696134.1543528668</v>
      </c>
      <c r="H32" s="47">
        <v>4382132.6256471341</v>
      </c>
      <c r="I32" s="47">
        <v>0</v>
      </c>
      <c r="J32" s="47"/>
      <c r="K32" s="47">
        <v>11014878.68819694</v>
      </c>
      <c r="L32" s="47">
        <v>28039365.87180306</v>
      </c>
      <c r="M32" s="47">
        <v>0</v>
      </c>
      <c r="N32" s="47"/>
      <c r="O32" s="47">
        <v>0</v>
      </c>
      <c r="P32" s="47">
        <v>0</v>
      </c>
      <c r="Q32" s="47">
        <v>0</v>
      </c>
      <c r="R32" s="47"/>
      <c r="S32" s="47">
        <v>0</v>
      </c>
      <c r="T32" s="47">
        <v>0</v>
      </c>
      <c r="U32" s="47">
        <v>0</v>
      </c>
      <c r="V32" s="47"/>
      <c r="W32" s="47">
        <v>0</v>
      </c>
      <c r="X32" s="47">
        <v>0</v>
      </c>
      <c r="Y32" s="47">
        <v>0</v>
      </c>
      <c r="Z32" s="289"/>
      <c r="AA32" s="289"/>
      <c r="AB32" s="289"/>
    </row>
    <row r="33" spans="1:28" collapsed="1" x14ac:dyDescent="0.25">
      <c r="A33" s="44" t="s">
        <v>1364</v>
      </c>
      <c r="B33" s="90">
        <v>5056</v>
      </c>
      <c r="C33" s="47">
        <v>19239.874250503792</v>
      </c>
      <c r="D33" s="47">
        <v>162922.42208645173</v>
      </c>
      <c r="E33" s="47">
        <v>1928.6936630444707</v>
      </c>
      <c r="F33" s="47"/>
      <c r="G33" s="47">
        <v>365328.63877945655</v>
      </c>
      <c r="H33" s="47">
        <v>3093587.0948292166</v>
      </c>
      <c r="I33" s="47">
        <v>36622.226391326367</v>
      </c>
      <c r="J33" s="47"/>
      <c r="K33" s="47">
        <v>5531734.8754938561</v>
      </c>
      <c r="L33" s="47">
        <v>46842491.407237574</v>
      </c>
      <c r="M33" s="47">
        <v>554526.59726857243</v>
      </c>
      <c r="N33" s="47"/>
      <c r="O33" s="47">
        <v>0</v>
      </c>
      <c r="P33" s="47">
        <v>0</v>
      </c>
      <c r="Q33" s="47">
        <v>0</v>
      </c>
      <c r="R33" s="47"/>
      <c r="S33" s="47">
        <v>0</v>
      </c>
      <c r="T33" s="47">
        <v>0</v>
      </c>
      <c r="U33" s="47">
        <v>0</v>
      </c>
      <c r="V33" s="47"/>
      <c r="W33" s="47">
        <v>0</v>
      </c>
      <c r="X33" s="47">
        <v>0</v>
      </c>
      <c r="Y33" s="47">
        <v>0</v>
      </c>
      <c r="Z33" s="289"/>
      <c r="AA33" s="289"/>
      <c r="AB33" s="289"/>
    </row>
    <row r="34" spans="1:28" x14ac:dyDescent="0.25">
      <c r="A34" s="44" t="s">
        <v>1365</v>
      </c>
      <c r="B34" s="90">
        <v>5087</v>
      </c>
      <c r="C34" s="47">
        <v>75599.742744322546</v>
      </c>
      <c r="D34" s="47">
        <v>314938.26725567749</v>
      </c>
      <c r="E34" s="47">
        <v>0</v>
      </c>
      <c r="F34" s="47"/>
      <c r="G34" s="47">
        <v>293457.11064770696</v>
      </c>
      <c r="H34" s="47">
        <v>1282475.1793522933</v>
      </c>
      <c r="I34" s="47">
        <v>0</v>
      </c>
      <c r="J34" s="47"/>
      <c r="K34" s="47">
        <v>4270056.6190298554</v>
      </c>
      <c r="L34" s="47">
        <v>17728503.620970149</v>
      </c>
      <c r="M34" s="47">
        <v>0</v>
      </c>
      <c r="N34" s="47"/>
      <c r="O34" s="47">
        <v>0</v>
      </c>
      <c r="P34" s="47">
        <v>0</v>
      </c>
      <c r="Q34" s="47">
        <v>0</v>
      </c>
      <c r="R34" s="47"/>
      <c r="S34" s="47">
        <v>0</v>
      </c>
      <c r="T34" s="47">
        <v>0</v>
      </c>
      <c r="U34" s="47">
        <v>0</v>
      </c>
      <c r="V34" s="47"/>
      <c r="W34" s="47">
        <v>0</v>
      </c>
      <c r="X34" s="47">
        <v>0</v>
      </c>
      <c r="Y34" s="47">
        <v>0</v>
      </c>
      <c r="Z34" s="289"/>
      <c r="AA34" s="289"/>
      <c r="AB34" s="289"/>
    </row>
    <row r="35" spans="1:28" collapsed="1" x14ac:dyDescent="0.25">
      <c r="A35" s="44" t="s">
        <v>1366</v>
      </c>
      <c r="B35" s="90">
        <v>5060</v>
      </c>
      <c r="C35" s="47">
        <v>33768.503191623888</v>
      </c>
      <c r="D35" s="47">
        <v>115778.53680837611</v>
      </c>
      <c r="E35" s="47">
        <v>0</v>
      </c>
      <c r="F35" s="47"/>
      <c r="G35" s="47">
        <v>480967.94303667673</v>
      </c>
      <c r="H35" s="47">
        <v>1649044.5169633226</v>
      </c>
      <c r="I35" s="47">
        <v>0</v>
      </c>
      <c r="J35" s="47"/>
      <c r="K35" s="47">
        <v>8458233.2704915218</v>
      </c>
      <c r="L35" s="47">
        <v>28977609.249508481</v>
      </c>
      <c r="M35" s="47">
        <v>0</v>
      </c>
      <c r="N35" s="47"/>
      <c r="O35" s="47">
        <v>0</v>
      </c>
      <c r="P35" s="47">
        <v>0</v>
      </c>
      <c r="Q35" s="47">
        <v>0</v>
      </c>
      <c r="R35" s="47"/>
      <c r="S35" s="47">
        <v>0</v>
      </c>
      <c r="T35" s="47">
        <v>0</v>
      </c>
      <c r="U35" s="47">
        <v>0</v>
      </c>
      <c r="V35" s="47"/>
      <c r="W35" s="47">
        <v>0</v>
      </c>
      <c r="X35" s="47">
        <v>22250.95</v>
      </c>
      <c r="Y35" s="47">
        <v>0</v>
      </c>
      <c r="Z35" s="289"/>
      <c r="AA35" s="289"/>
      <c r="AB35" s="289"/>
    </row>
    <row r="36" spans="1:28" collapsed="1" x14ac:dyDescent="0.25">
      <c r="A36" s="44" t="s">
        <v>1367</v>
      </c>
      <c r="B36" s="90">
        <v>5013</v>
      </c>
      <c r="C36" s="47">
        <v>58555.716471006795</v>
      </c>
      <c r="D36" s="47">
        <v>398974.14352899313</v>
      </c>
      <c r="E36" s="47">
        <v>0</v>
      </c>
      <c r="F36" s="47"/>
      <c r="G36" s="47">
        <v>146507.69910683075</v>
      </c>
      <c r="H36" s="47">
        <v>998242.14089316921</v>
      </c>
      <c r="I36" s="47">
        <v>0</v>
      </c>
      <c r="J36" s="47"/>
      <c r="K36" s="47">
        <v>6048787.334387172</v>
      </c>
      <c r="L36" s="47">
        <v>41213905.175612822</v>
      </c>
      <c r="M36" s="47">
        <v>0</v>
      </c>
      <c r="N36" s="47"/>
      <c r="O36" s="47">
        <v>0</v>
      </c>
      <c r="P36" s="47">
        <v>0</v>
      </c>
      <c r="Q36" s="47">
        <v>0</v>
      </c>
      <c r="R36" s="47"/>
      <c r="S36" s="47">
        <v>0</v>
      </c>
      <c r="T36" s="47">
        <v>0</v>
      </c>
      <c r="U36" s="47">
        <v>0</v>
      </c>
      <c r="V36" s="47"/>
      <c r="W36" s="47">
        <v>0</v>
      </c>
      <c r="X36" s="47">
        <v>0</v>
      </c>
      <c r="Y36" s="47">
        <v>0</v>
      </c>
      <c r="Z36" s="289"/>
      <c r="AA36" s="289"/>
      <c r="AB36" s="289"/>
    </row>
    <row r="37" spans="1:28" collapsed="1" x14ac:dyDescent="0.25">
      <c r="A37" s="44" t="s">
        <v>1029</v>
      </c>
      <c r="B37" s="46" t="s">
        <v>1368</v>
      </c>
      <c r="C37" s="47">
        <v>105359.09031686527</v>
      </c>
      <c r="D37" s="47">
        <v>197033.38968313474</v>
      </c>
      <c r="E37" s="47">
        <v>0</v>
      </c>
      <c r="F37" s="47"/>
      <c r="G37" s="47">
        <v>835254.1146023313</v>
      </c>
      <c r="H37" s="47">
        <v>3014979.6353976694</v>
      </c>
      <c r="I37" s="47">
        <v>0</v>
      </c>
      <c r="J37" s="47"/>
      <c r="K37" s="47">
        <v>13200615.173423063</v>
      </c>
      <c r="L37" s="47">
        <v>22597240.826576933</v>
      </c>
      <c r="M37" s="47">
        <v>0</v>
      </c>
      <c r="N37" s="47"/>
      <c r="O37" s="47">
        <v>0</v>
      </c>
      <c r="P37" s="47">
        <v>0</v>
      </c>
      <c r="Q37" s="47">
        <v>0</v>
      </c>
      <c r="R37" s="47"/>
      <c r="S37" s="47">
        <v>0</v>
      </c>
      <c r="T37" s="47">
        <v>0</v>
      </c>
      <c r="U37" s="47">
        <v>0</v>
      </c>
      <c r="V37" s="47"/>
      <c r="W37" s="47">
        <v>0</v>
      </c>
      <c r="X37" s="47">
        <v>636439.19000000006</v>
      </c>
      <c r="Y37" s="47">
        <v>0</v>
      </c>
      <c r="Z37" s="289"/>
      <c r="AA37" s="289"/>
      <c r="AB37" s="289"/>
    </row>
    <row r="38" spans="1:28" x14ac:dyDescent="0.25">
      <c r="A38" s="44" t="s">
        <v>1369</v>
      </c>
      <c r="B38" s="90">
        <v>5053</v>
      </c>
      <c r="C38" s="47">
        <v>44241.303270715944</v>
      </c>
      <c r="D38" s="47">
        <v>94386.146252444276</v>
      </c>
      <c r="E38" s="47">
        <v>2111.7504768397703</v>
      </c>
      <c r="F38" s="47"/>
      <c r="G38" s="47">
        <v>402115.4645041675</v>
      </c>
      <c r="H38" s="47">
        <v>900091.7666501113</v>
      </c>
      <c r="I38" s="47">
        <v>19193.998845721162</v>
      </c>
      <c r="J38" s="47"/>
      <c r="K38" s="47">
        <v>13545005.490232343</v>
      </c>
      <c r="L38" s="47">
        <v>28804454.608094178</v>
      </c>
      <c r="M38" s="47">
        <v>647153.41167348414</v>
      </c>
      <c r="N38" s="47"/>
      <c r="O38" s="47">
        <v>0</v>
      </c>
      <c r="P38" s="47">
        <v>0</v>
      </c>
      <c r="Q38" s="47">
        <v>0</v>
      </c>
      <c r="R38" s="47"/>
      <c r="S38" s="47">
        <v>10210.588397443737</v>
      </c>
      <c r="T38" s="47">
        <v>61991.841602556269</v>
      </c>
      <c r="U38" s="47">
        <v>0</v>
      </c>
      <c r="V38" s="47"/>
      <c r="W38" s="47">
        <v>2687.9742065998562</v>
      </c>
      <c r="X38" s="47">
        <v>16319.575793400143</v>
      </c>
      <c r="Y38" s="47">
        <v>0</v>
      </c>
      <c r="Z38" s="289"/>
      <c r="AA38" s="289"/>
      <c r="AB38" s="289"/>
    </row>
    <row r="39" spans="1:28" collapsed="1" x14ac:dyDescent="0.25">
      <c r="A39" s="44" t="s">
        <v>1370</v>
      </c>
      <c r="B39" s="90">
        <v>5088</v>
      </c>
      <c r="C39" s="47">
        <v>90405.509884145999</v>
      </c>
      <c r="D39" s="47">
        <v>467570.910115854</v>
      </c>
      <c r="E39" s="47">
        <v>0</v>
      </c>
      <c r="F39" s="47"/>
      <c r="G39" s="47">
        <v>317432.86062883667</v>
      </c>
      <c r="H39" s="47">
        <v>1305926.7493711633</v>
      </c>
      <c r="I39" s="47">
        <v>0</v>
      </c>
      <c r="J39" s="47"/>
      <c r="K39" s="47">
        <v>5340985.8493920164</v>
      </c>
      <c r="L39" s="47">
        <v>27942318.510607976</v>
      </c>
      <c r="M39" s="47">
        <v>0</v>
      </c>
      <c r="N39" s="47"/>
      <c r="O39" s="47">
        <v>0</v>
      </c>
      <c r="P39" s="47">
        <v>0</v>
      </c>
      <c r="Q39" s="47">
        <v>0</v>
      </c>
      <c r="R39" s="47"/>
      <c r="S39" s="47">
        <v>0</v>
      </c>
      <c r="T39" s="47">
        <v>0</v>
      </c>
      <c r="U39" s="47">
        <v>0</v>
      </c>
      <c r="V39" s="47"/>
      <c r="W39" s="47">
        <v>0</v>
      </c>
      <c r="X39" s="47">
        <v>16696.55</v>
      </c>
      <c r="Y39" s="47">
        <v>0</v>
      </c>
      <c r="Z39" s="289"/>
      <c r="AA39" s="289"/>
      <c r="AB39" s="289"/>
    </row>
    <row r="40" spans="1:28" collapsed="1" x14ac:dyDescent="0.25">
      <c r="A40" s="44" t="s">
        <v>1371</v>
      </c>
      <c r="B40" s="90">
        <v>5050</v>
      </c>
      <c r="C40" s="47">
        <v>806034.6565873113</v>
      </c>
      <c r="D40" s="47">
        <v>164228.7134126887</v>
      </c>
      <c r="E40" s="47">
        <v>0</v>
      </c>
      <c r="F40" s="47"/>
      <c r="G40" s="47">
        <v>2475504.5017491048</v>
      </c>
      <c r="H40" s="47">
        <v>504381.43825089512</v>
      </c>
      <c r="I40" s="47">
        <v>0</v>
      </c>
      <c r="J40" s="47"/>
      <c r="K40" s="47">
        <v>17862428.560306642</v>
      </c>
      <c r="L40" s="47">
        <v>3639451.0296933595</v>
      </c>
      <c r="M40" s="47">
        <v>0</v>
      </c>
      <c r="N40" s="47"/>
      <c r="O40" s="47">
        <v>0</v>
      </c>
      <c r="P40" s="47">
        <v>0</v>
      </c>
      <c r="Q40" s="47">
        <v>0</v>
      </c>
      <c r="R40" s="47"/>
      <c r="S40" s="47">
        <v>0</v>
      </c>
      <c r="T40" s="47">
        <v>0</v>
      </c>
      <c r="U40" s="47">
        <v>0</v>
      </c>
      <c r="V40" s="47"/>
      <c r="W40" s="47">
        <v>0</v>
      </c>
      <c r="X40" s="47">
        <v>0</v>
      </c>
      <c r="Y40" s="47">
        <v>0</v>
      </c>
      <c r="Z40" s="289"/>
      <c r="AA40" s="289"/>
      <c r="AB40" s="289"/>
    </row>
    <row r="41" spans="1:28" collapsed="1" x14ac:dyDescent="0.25">
      <c r="A41" s="44" t="s">
        <v>1372</v>
      </c>
      <c r="B41" s="90">
        <v>5083</v>
      </c>
      <c r="C41" s="47">
        <v>1887095.1421269081</v>
      </c>
      <c r="D41" s="47">
        <v>11398878.667873092</v>
      </c>
      <c r="E41" s="47">
        <v>0</v>
      </c>
      <c r="F41" s="47"/>
      <c r="G41" s="47">
        <v>1169101.5107728194</v>
      </c>
      <c r="H41" s="47">
        <v>7260129.4792271815</v>
      </c>
      <c r="I41" s="47">
        <v>0</v>
      </c>
      <c r="J41" s="47"/>
      <c r="K41" s="47">
        <v>4156403.3545628078</v>
      </c>
      <c r="L41" s="47">
        <v>24258271.455437101</v>
      </c>
      <c r="M41" s="47">
        <v>0</v>
      </c>
      <c r="N41" s="47"/>
      <c r="O41" s="47">
        <v>0</v>
      </c>
      <c r="P41" s="47">
        <v>0</v>
      </c>
      <c r="Q41" s="47">
        <v>0</v>
      </c>
      <c r="R41" s="47"/>
      <c r="S41" s="47">
        <v>0</v>
      </c>
      <c r="T41" s="47">
        <v>0</v>
      </c>
      <c r="U41" s="47">
        <v>0</v>
      </c>
      <c r="V41" s="47"/>
      <c r="W41" s="47">
        <v>0</v>
      </c>
      <c r="X41" s="47">
        <v>649973.86</v>
      </c>
      <c r="Y41" s="47">
        <v>0</v>
      </c>
      <c r="Z41" s="289"/>
      <c r="AA41" s="289"/>
      <c r="AB41" s="289"/>
    </row>
    <row r="42" spans="1:28" collapsed="1" x14ac:dyDescent="0.25">
      <c r="A42" s="44" t="s">
        <v>1373</v>
      </c>
      <c r="B42" s="90">
        <v>5082</v>
      </c>
      <c r="C42" s="47">
        <v>62509.740237281811</v>
      </c>
      <c r="D42" s="47">
        <v>208060.2897627182</v>
      </c>
      <c r="E42" s="47">
        <v>0</v>
      </c>
      <c r="F42" s="47"/>
      <c r="G42" s="47">
        <v>690487.1462498731</v>
      </c>
      <c r="H42" s="47">
        <v>2299949.1237501269</v>
      </c>
      <c r="I42" s="47">
        <v>0</v>
      </c>
      <c r="J42" s="47"/>
      <c r="K42" s="47">
        <v>7012796.8555231206</v>
      </c>
      <c r="L42" s="47">
        <v>23295442.094476897</v>
      </c>
      <c r="M42" s="47">
        <v>0</v>
      </c>
      <c r="N42" s="47"/>
      <c r="O42" s="47">
        <v>0</v>
      </c>
      <c r="P42" s="47">
        <v>0</v>
      </c>
      <c r="Q42" s="47">
        <v>0</v>
      </c>
      <c r="R42" s="47"/>
      <c r="S42" s="47">
        <v>3863.0453908326931</v>
      </c>
      <c r="T42" s="47">
        <v>57430.914609167303</v>
      </c>
      <c r="U42" s="47">
        <v>0</v>
      </c>
      <c r="V42" s="47"/>
      <c r="W42" s="47">
        <v>0</v>
      </c>
      <c r="X42" s="47">
        <v>0</v>
      </c>
      <c r="Y42" s="47">
        <v>0</v>
      </c>
      <c r="Z42" s="289"/>
      <c r="AA42" s="289"/>
      <c r="AB42" s="289"/>
    </row>
    <row r="43" spans="1:28" collapsed="1" x14ac:dyDescent="0.25">
      <c r="A43" s="44" t="s">
        <v>1374</v>
      </c>
      <c r="B43" s="90">
        <v>5014</v>
      </c>
      <c r="C43" s="47">
        <v>24105.945917065925</v>
      </c>
      <c r="D43" s="47">
        <v>73849.014082934082</v>
      </c>
      <c r="E43" s="47">
        <v>0</v>
      </c>
      <c r="F43" s="47"/>
      <c r="G43" s="47">
        <v>543482.11943346134</v>
      </c>
      <c r="H43" s="47">
        <v>1664967.5905665385</v>
      </c>
      <c r="I43" s="47">
        <v>0</v>
      </c>
      <c r="J43" s="47"/>
      <c r="K43" s="47">
        <v>5786114.2594722398</v>
      </c>
      <c r="L43" s="47">
        <v>17647146.610527761</v>
      </c>
      <c r="M43" s="47">
        <v>0</v>
      </c>
      <c r="N43" s="47"/>
      <c r="O43" s="47">
        <v>0</v>
      </c>
      <c r="P43" s="47">
        <v>0</v>
      </c>
      <c r="Q43" s="47">
        <v>0</v>
      </c>
      <c r="R43" s="47"/>
      <c r="S43" s="47">
        <v>0</v>
      </c>
      <c r="T43" s="47">
        <v>0</v>
      </c>
      <c r="U43" s="47">
        <v>0</v>
      </c>
      <c r="V43" s="47"/>
      <c r="W43" s="47">
        <v>0</v>
      </c>
      <c r="X43" s="47">
        <v>78722.14</v>
      </c>
      <c r="Y43" s="47">
        <v>0</v>
      </c>
      <c r="Z43" s="289"/>
      <c r="AA43" s="289"/>
      <c r="AB43" s="289"/>
    </row>
    <row r="44" spans="1:28" collapsed="1" x14ac:dyDescent="0.25">
      <c r="A44" s="44" t="s">
        <v>1375</v>
      </c>
      <c r="B44" s="90">
        <v>2211</v>
      </c>
      <c r="C44" s="47">
        <v>0</v>
      </c>
      <c r="D44" s="47">
        <v>0</v>
      </c>
      <c r="E44" s="47">
        <v>0</v>
      </c>
      <c r="F44" s="47"/>
      <c r="G44" s="47">
        <v>36940.325605496066</v>
      </c>
      <c r="H44" s="47">
        <v>40373.914394503925</v>
      </c>
      <c r="I44" s="47">
        <v>0</v>
      </c>
      <c r="J44" s="47"/>
      <c r="K44" s="47">
        <v>3849583.5535414973</v>
      </c>
      <c r="L44" s="47">
        <v>4224457.6264585024</v>
      </c>
      <c r="M44" s="47">
        <v>0</v>
      </c>
      <c r="N44" s="47"/>
      <c r="O44" s="47">
        <v>0</v>
      </c>
      <c r="P44" s="47">
        <v>0</v>
      </c>
      <c r="Q44" s="47">
        <v>0</v>
      </c>
      <c r="R44" s="47"/>
      <c r="S44" s="47">
        <v>104320.81553826538</v>
      </c>
      <c r="T44" s="47">
        <v>114017.39446173464</v>
      </c>
      <c r="U44" s="47">
        <v>0</v>
      </c>
      <c r="V44" s="47"/>
      <c r="W44" s="47">
        <v>22584.619329020898</v>
      </c>
      <c r="X44" s="47">
        <v>7627.0606709791</v>
      </c>
      <c r="Y44" s="47">
        <v>0</v>
      </c>
      <c r="Z44" s="289"/>
      <c r="AA44" s="289"/>
      <c r="AB44" s="289"/>
    </row>
    <row r="45" spans="1:28" collapsed="1" x14ac:dyDescent="0.25">
      <c r="A45" s="44" t="s">
        <v>1376</v>
      </c>
      <c r="B45" s="90">
        <v>2212</v>
      </c>
      <c r="C45" s="47">
        <v>0</v>
      </c>
      <c r="D45" s="47">
        <v>0</v>
      </c>
      <c r="E45" s="47">
        <v>0</v>
      </c>
      <c r="F45" s="47"/>
      <c r="G45" s="47">
        <v>0</v>
      </c>
      <c r="H45" s="47">
        <v>0</v>
      </c>
      <c r="I45" s="47">
        <v>0</v>
      </c>
      <c r="J45" s="47"/>
      <c r="K45" s="47">
        <v>1516245.82</v>
      </c>
      <c r="L45" s="47">
        <v>0</v>
      </c>
      <c r="M45" s="47">
        <v>0</v>
      </c>
      <c r="N45" s="47"/>
      <c r="O45" s="47">
        <v>0</v>
      </c>
      <c r="P45" s="47">
        <v>0</v>
      </c>
      <c r="Q45" s="47">
        <v>0</v>
      </c>
      <c r="R45" s="47"/>
      <c r="S45" s="47">
        <v>0</v>
      </c>
      <c r="T45" s="47">
        <v>0</v>
      </c>
      <c r="U45" s="47">
        <v>0</v>
      </c>
      <c r="V45" s="47"/>
      <c r="W45" s="47">
        <v>0</v>
      </c>
      <c r="X45" s="47">
        <v>0</v>
      </c>
      <c r="Y45" s="47">
        <v>0</v>
      </c>
      <c r="Z45" s="289"/>
      <c r="AA45" s="289"/>
      <c r="AB45" s="289"/>
    </row>
    <row r="46" spans="1:28" collapsed="1" x14ac:dyDescent="0.25">
      <c r="A46" s="44" t="s">
        <v>1377</v>
      </c>
      <c r="B46" s="90">
        <v>2230</v>
      </c>
      <c r="C46" s="47">
        <v>0</v>
      </c>
      <c r="D46" s="47">
        <v>0</v>
      </c>
      <c r="E46" s="47">
        <v>0</v>
      </c>
      <c r="F46" s="47"/>
      <c r="G46" s="47">
        <v>578154.11693012703</v>
      </c>
      <c r="H46" s="47">
        <v>6080.9130698729732</v>
      </c>
      <c r="I46" s="47">
        <v>0</v>
      </c>
      <c r="J46" s="47"/>
      <c r="K46" s="47">
        <v>10298078.488259617</v>
      </c>
      <c r="L46" s="47">
        <v>1443456.7017403843</v>
      </c>
      <c r="M46" s="47">
        <v>0</v>
      </c>
      <c r="N46" s="47"/>
      <c r="O46" s="47">
        <v>0</v>
      </c>
      <c r="P46" s="47">
        <v>0</v>
      </c>
      <c r="Q46" s="47">
        <v>0</v>
      </c>
      <c r="R46" s="47"/>
      <c r="S46" s="47">
        <v>0</v>
      </c>
      <c r="T46" s="47">
        <v>0</v>
      </c>
      <c r="U46" s="47">
        <v>0</v>
      </c>
      <c r="V46" s="47"/>
      <c r="W46" s="47">
        <v>239393.7395614502</v>
      </c>
      <c r="X46" s="47">
        <v>31905.370438549813</v>
      </c>
      <c r="Y46" s="47">
        <v>0</v>
      </c>
      <c r="Z46" s="289"/>
      <c r="AA46" s="289"/>
      <c r="AB46" s="289"/>
    </row>
    <row r="47" spans="1:28" collapsed="1" x14ac:dyDescent="0.25">
      <c r="A47" s="44" t="s">
        <v>1378</v>
      </c>
      <c r="B47" s="90">
        <v>2236</v>
      </c>
      <c r="C47" s="47">
        <v>0</v>
      </c>
      <c r="D47" s="47">
        <v>0</v>
      </c>
      <c r="E47" s="47">
        <v>0</v>
      </c>
      <c r="F47" s="47"/>
      <c r="G47" s="47">
        <v>0</v>
      </c>
      <c r="H47" s="47">
        <v>0</v>
      </c>
      <c r="I47" s="47">
        <v>0</v>
      </c>
      <c r="J47" s="47"/>
      <c r="K47" s="47">
        <v>2262431.5</v>
      </c>
      <c r="L47" s="47">
        <v>0</v>
      </c>
      <c r="M47" s="47">
        <v>0</v>
      </c>
      <c r="N47" s="47"/>
      <c r="O47" s="47">
        <v>0</v>
      </c>
      <c r="P47" s="47">
        <v>0</v>
      </c>
      <c r="Q47" s="47">
        <v>0</v>
      </c>
      <c r="R47" s="47"/>
      <c r="S47" s="47">
        <v>0</v>
      </c>
      <c r="T47" s="47">
        <v>0</v>
      </c>
      <c r="U47" s="47">
        <v>0</v>
      </c>
      <c r="V47" s="47"/>
      <c r="W47" s="47">
        <v>0</v>
      </c>
      <c r="X47" s="47">
        <v>0</v>
      </c>
      <c r="Y47" s="47">
        <v>0</v>
      </c>
      <c r="Z47" s="289"/>
      <c r="AA47" s="289"/>
      <c r="AB47" s="289"/>
    </row>
    <row r="48" spans="1:28" collapsed="1" x14ac:dyDescent="0.25">
      <c r="A48" s="44" t="s">
        <v>1379</v>
      </c>
      <c r="B48" s="90">
        <v>2229</v>
      </c>
      <c r="C48" s="47">
        <v>0</v>
      </c>
      <c r="D48" s="47">
        <v>0</v>
      </c>
      <c r="E48" s="47">
        <v>0</v>
      </c>
      <c r="F48" s="47"/>
      <c r="G48" s="47">
        <v>228150.8818188523</v>
      </c>
      <c r="H48" s="47">
        <v>54498.128181147746</v>
      </c>
      <c r="I48" s="47">
        <v>0</v>
      </c>
      <c r="J48" s="47"/>
      <c r="K48" s="47">
        <v>1885178.8101346751</v>
      </c>
      <c r="L48" s="47">
        <v>452993.94986532495</v>
      </c>
      <c r="M48" s="47">
        <v>0</v>
      </c>
      <c r="N48" s="47"/>
      <c r="O48" s="47">
        <v>0</v>
      </c>
      <c r="P48" s="47">
        <v>0</v>
      </c>
      <c r="Q48" s="47">
        <v>0</v>
      </c>
      <c r="R48" s="47"/>
      <c r="S48" s="47">
        <v>0</v>
      </c>
      <c r="T48" s="47">
        <v>0</v>
      </c>
      <c r="U48" s="47">
        <v>0</v>
      </c>
      <c r="V48" s="47"/>
      <c r="W48" s="47">
        <v>82768.290404579675</v>
      </c>
      <c r="X48" s="47">
        <v>17087.219595420331</v>
      </c>
      <c r="Y48" s="47">
        <v>0</v>
      </c>
      <c r="Z48" s="289"/>
      <c r="AA48" s="289"/>
      <c r="AB48" s="289"/>
    </row>
    <row r="49" spans="1:28" hidden="1" collapsed="1" x14ac:dyDescent="0.25">
      <c r="A49" s="592" t="s">
        <v>1380</v>
      </c>
      <c r="B49" s="593">
        <v>5036</v>
      </c>
      <c r="C49" s="285"/>
      <c r="D49" s="285"/>
      <c r="E49" s="285"/>
      <c r="F49" s="47"/>
      <c r="G49" s="285"/>
      <c r="H49" s="285"/>
      <c r="I49" s="285"/>
      <c r="J49" s="285"/>
      <c r="K49" s="285"/>
      <c r="L49" s="285"/>
      <c r="M49" s="285"/>
      <c r="N49" s="285"/>
      <c r="O49" s="285"/>
      <c r="P49" s="285"/>
      <c r="Q49" s="285"/>
      <c r="R49" s="285"/>
      <c r="S49" s="285"/>
      <c r="T49" s="285"/>
      <c r="U49" s="285"/>
      <c r="V49" s="285"/>
      <c r="W49" s="285"/>
      <c r="X49" s="285"/>
      <c r="Y49" s="285"/>
      <c r="Z49" s="289"/>
      <c r="AA49" s="289"/>
      <c r="AB49" s="289"/>
    </row>
    <row r="50" spans="1:28" collapsed="1" x14ac:dyDescent="0.25">
      <c r="A50" s="44" t="s">
        <v>1381</v>
      </c>
      <c r="B50" s="90">
        <v>5031</v>
      </c>
      <c r="C50" s="47">
        <v>7946.6323167136188</v>
      </c>
      <c r="D50" s="47">
        <v>416.36768328638072</v>
      </c>
      <c r="E50" s="47">
        <v>0</v>
      </c>
      <c r="F50" s="47"/>
      <c r="G50" s="47">
        <v>1029213.5247126948</v>
      </c>
      <c r="H50" s="47">
        <v>53757.495287305122</v>
      </c>
      <c r="I50" s="47">
        <v>0</v>
      </c>
      <c r="J50" s="47"/>
      <c r="K50" s="47">
        <v>13618897.642984774</v>
      </c>
      <c r="L50" s="47">
        <v>713737.44701522694</v>
      </c>
      <c r="M50" s="47">
        <v>0</v>
      </c>
      <c r="N50" s="47"/>
      <c r="O50" s="47">
        <v>0</v>
      </c>
      <c r="P50" s="47">
        <v>0</v>
      </c>
      <c r="Q50" s="47">
        <v>0</v>
      </c>
      <c r="R50" s="47"/>
      <c r="S50" s="47">
        <v>0</v>
      </c>
      <c r="T50" s="47">
        <v>0</v>
      </c>
      <c r="U50" s="47">
        <v>0</v>
      </c>
      <c r="V50" s="47"/>
      <c r="W50" s="47">
        <v>0</v>
      </c>
      <c r="X50" s="47">
        <v>0</v>
      </c>
      <c r="Y50" s="47">
        <v>0</v>
      </c>
      <c r="Z50" s="289"/>
      <c r="AA50" s="289"/>
      <c r="AB50" s="289"/>
    </row>
    <row r="51" spans="1:28" collapsed="1" x14ac:dyDescent="0.25">
      <c r="A51" s="44" t="s">
        <v>1382</v>
      </c>
      <c r="B51" s="90">
        <v>5034</v>
      </c>
      <c r="C51" s="47">
        <v>3567.8569472443664</v>
      </c>
      <c r="D51" s="47">
        <v>8629.8230527556352</v>
      </c>
      <c r="E51" s="47">
        <v>0</v>
      </c>
      <c r="F51" s="47"/>
      <c r="G51" s="47">
        <v>198089.57481482733</v>
      </c>
      <c r="H51" s="47">
        <v>647715.65518517292</v>
      </c>
      <c r="I51" s="47">
        <v>0</v>
      </c>
      <c r="J51" s="47"/>
      <c r="K51" s="47">
        <v>6797044.9094042284</v>
      </c>
      <c r="L51" s="47">
        <v>16271901.280595776</v>
      </c>
      <c r="M51" s="47">
        <v>0</v>
      </c>
      <c r="N51" s="47"/>
      <c r="O51" s="47">
        <v>0</v>
      </c>
      <c r="P51" s="47">
        <v>0</v>
      </c>
      <c r="Q51" s="47">
        <v>0</v>
      </c>
      <c r="R51" s="47"/>
      <c r="S51" s="47">
        <v>0</v>
      </c>
      <c r="T51" s="47">
        <v>0</v>
      </c>
      <c r="U51" s="47">
        <v>0</v>
      </c>
      <c r="V51" s="47"/>
      <c r="W51" s="47">
        <v>0</v>
      </c>
      <c r="X51" s="47">
        <v>0</v>
      </c>
      <c r="Y51" s="47">
        <v>0</v>
      </c>
      <c r="Z51" s="289"/>
      <c r="AA51" s="289"/>
      <c r="AB51" s="289"/>
    </row>
    <row r="52" spans="1:28" collapsed="1" x14ac:dyDescent="0.25">
      <c r="A52" s="44" t="s">
        <v>1383</v>
      </c>
      <c r="B52" s="90">
        <v>5033</v>
      </c>
      <c r="C52" s="47">
        <v>160489.91288454912</v>
      </c>
      <c r="D52" s="47">
        <v>232680.53711545083</v>
      </c>
      <c r="E52" s="47">
        <v>0</v>
      </c>
      <c r="F52" s="47"/>
      <c r="G52" s="47">
        <v>4821855.5014067097</v>
      </c>
      <c r="H52" s="47">
        <v>7413317.4685932891</v>
      </c>
      <c r="I52" s="47">
        <v>0</v>
      </c>
      <c r="J52" s="47"/>
      <c r="K52" s="47">
        <v>33876468.440041311</v>
      </c>
      <c r="L52" s="47">
        <v>48056676.009958684</v>
      </c>
      <c r="M52" s="47">
        <v>0</v>
      </c>
      <c r="N52" s="47"/>
      <c r="O52" s="47">
        <v>0</v>
      </c>
      <c r="P52" s="47">
        <v>0</v>
      </c>
      <c r="Q52" s="47">
        <v>0</v>
      </c>
      <c r="R52" s="47"/>
      <c r="S52" s="47">
        <v>25360.565210159868</v>
      </c>
      <c r="T52" s="47">
        <v>36768.104789840123</v>
      </c>
      <c r="U52" s="47">
        <v>0</v>
      </c>
      <c r="V52" s="47"/>
      <c r="W52" s="47">
        <v>38219.325323814395</v>
      </c>
      <c r="X52" s="47">
        <v>690792.77467618557</v>
      </c>
      <c r="Y52" s="47">
        <v>0</v>
      </c>
      <c r="Z52" s="289"/>
      <c r="AA52" s="289"/>
      <c r="AB52" s="289"/>
    </row>
    <row r="53" spans="1:28" collapsed="1" x14ac:dyDescent="0.25">
      <c r="A53" s="44" t="s">
        <v>1384</v>
      </c>
      <c r="B53" s="90">
        <v>5035</v>
      </c>
      <c r="C53" s="47">
        <v>2026.257989696604</v>
      </c>
      <c r="D53" s="47">
        <v>5216.6220103033957</v>
      </c>
      <c r="E53" s="47">
        <v>0</v>
      </c>
      <c r="F53" s="47"/>
      <c r="G53" s="47">
        <v>369875.33757074166</v>
      </c>
      <c r="H53" s="47">
        <v>948610.66242925846</v>
      </c>
      <c r="I53" s="47">
        <v>0</v>
      </c>
      <c r="J53" s="47"/>
      <c r="K53" s="47">
        <v>4740243.5863469038</v>
      </c>
      <c r="L53" s="47">
        <v>12207443.003653103</v>
      </c>
      <c r="M53" s="47">
        <v>0</v>
      </c>
      <c r="N53" s="47"/>
      <c r="O53" s="47">
        <v>0</v>
      </c>
      <c r="P53" s="47">
        <v>0</v>
      </c>
      <c r="Q53" s="47">
        <v>0</v>
      </c>
      <c r="R53" s="47"/>
      <c r="S53" s="47">
        <v>0</v>
      </c>
      <c r="T53" s="47">
        <v>0</v>
      </c>
      <c r="U53" s="47">
        <v>0</v>
      </c>
      <c r="V53" s="47"/>
      <c r="W53" s="47">
        <v>0</v>
      </c>
      <c r="X53" s="47">
        <v>0</v>
      </c>
      <c r="Y53" s="47">
        <v>0</v>
      </c>
      <c r="Z53" s="289"/>
      <c r="AA53" s="289"/>
      <c r="AB53" s="289"/>
    </row>
    <row r="54" spans="1:28" collapsed="1" x14ac:dyDescent="0.25">
      <c r="A54" s="44" t="s">
        <v>1030</v>
      </c>
      <c r="B54" s="46" t="s">
        <v>1385</v>
      </c>
      <c r="C54" s="47">
        <v>28584.969909692139</v>
      </c>
      <c r="D54" s="47">
        <v>19876.749662124505</v>
      </c>
      <c r="E54" s="47">
        <v>349.69042818335993</v>
      </c>
      <c r="F54" s="47"/>
      <c r="G54" s="47">
        <v>342806.61918786593</v>
      </c>
      <c r="H54" s="47">
        <v>283433.94366534328</v>
      </c>
      <c r="I54" s="47">
        <v>4192.7971467907355</v>
      </c>
      <c r="J54" s="47"/>
      <c r="K54" s="47">
        <v>15657528.111002665</v>
      </c>
      <c r="L54" s="47">
        <v>10837051.671723807</v>
      </c>
      <c r="M54" s="47">
        <v>191751.32727352571</v>
      </c>
      <c r="N54" s="47"/>
      <c r="O54" s="47">
        <v>0</v>
      </c>
      <c r="P54" s="47">
        <v>0</v>
      </c>
      <c r="Q54" s="47">
        <v>0</v>
      </c>
      <c r="R54" s="47"/>
      <c r="S54" s="47">
        <v>0</v>
      </c>
      <c r="T54" s="47">
        <v>0</v>
      </c>
      <c r="U54" s="47">
        <v>0</v>
      </c>
      <c r="V54" s="47"/>
      <c r="W54" s="47">
        <v>16852.041644152381</v>
      </c>
      <c r="X54" s="47">
        <v>17172.138355847619</v>
      </c>
      <c r="Y54" s="47">
        <v>0</v>
      </c>
      <c r="Z54" s="289"/>
      <c r="AA54" s="289"/>
      <c r="AB54" s="289"/>
    </row>
    <row r="55" spans="1:28" hidden="1" x14ac:dyDescent="0.25">
      <c r="A55" s="44" t="s">
        <v>1386</v>
      </c>
      <c r="B55" s="90">
        <v>5044</v>
      </c>
      <c r="C55" s="47"/>
      <c r="D55" s="47"/>
      <c r="E55" s="47"/>
      <c r="F55" s="47"/>
      <c r="G55" s="47"/>
      <c r="H55" s="47"/>
      <c r="I55" s="47"/>
      <c r="J55" s="47"/>
      <c r="K55" s="47"/>
      <c r="L55" s="47"/>
      <c r="M55" s="47"/>
      <c r="N55" s="47"/>
      <c r="O55" s="47"/>
      <c r="P55" s="47"/>
      <c r="Q55" s="47"/>
      <c r="R55" s="47"/>
      <c r="S55" s="47"/>
      <c r="T55" s="47"/>
      <c r="U55" s="47"/>
      <c r="V55" s="47"/>
      <c r="W55" s="47"/>
      <c r="X55" s="47"/>
      <c r="Y55" s="47"/>
      <c r="Z55" s="289"/>
      <c r="AA55" s="289"/>
      <c r="AB55" s="289"/>
    </row>
    <row r="56" spans="1:28" collapsed="1" x14ac:dyDescent="0.25">
      <c r="A56" s="44" t="s">
        <v>1387</v>
      </c>
      <c r="B56" s="90">
        <v>5063</v>
      </c>
      <c r="C56" s="47">
        <v>0</v>
      </c>
      <c r="D56" s="47">
        <v>0</v>
      </c>
      <c r="E56" s="47">
        <v>0</v>
      </c>
      <c r="F56" s="47"/>
      <c r="G56" s="47">
        <v>1545.9963632517868</v>
      </c>
      <c r="H56" s="47">
        <v>668.64363674821368</v>
      </c>
      <c r="I56" s="47">
        <v>0</v>
      </c>
      <c r="J56" s="47"/>
      <c r="K56" s="47">
        <v>561774.80196972121</v>
      </c>
      <c r="L56" s="47">
        <v>242967.67803027874</v>
      </c>
      <c r="M56" s="47">
        <v>0</v>
      </c>
      <c r="N56" s="47"/>
      <c r="O56" s="47">
        <v>0</v>
      </c>
      <c r="P56" s="47">
        <v>0</v>
      </c>
      <c r="Q56" s="47">
        <v>0</v>
      </c>
      <c r="R56" s="47"/>
      <c r="S56" s="47">
        <v>0</v>
      </c>
      <c r="T56" s="47">
        <v>0</v>
      </c>
      <c r="U56" s="47">
        <v>0</v>
      </c>
      <c r="V56" s="47"/>
      <c r="W56" s="47">
        <v>0</v>
      </c>
      <c r="X56" s="47">
        <v>0</v>
      </c>
      <c r="Y56" s="47">
        <v>0</v>
      </c>
      <c r="Z56" s="289"/>
      <c r="AA56" s="289"/>
      <c r="AB56" s="289"/>
    </row>
    <row r="57" spans="1:28" collapsed="1" x14ac:dyDescent="0.25">
      <c r="A57" s="44" t="s">
        <v>1388</v>
      </c>
      <c r="B57" s="90">
        <v>5040</v>
      </c>
      <c r="C57" s="47">
        <v>0</v>
      </c>
      <c r="D57" s="47">
        <v>0</v>
      </c>
      <c r="E57" s="47">
        <v>0</v>
      </c>
      <c r="F57" s="47"/>
      <c r="G57" s="47">
        <v>53456.449800702918</v>
      </c>
      <c r="H57" s="47">
        <v>189282.6901992971</v>
      </c>
      <c r="I57" s="47">
        <v>0</v>
      </c>
      <c r="J57" s="47"/>
      <c r="K57" s="47">
        <v>1566441.3362753699</v>
      </c>
      <c r="L57" s="47">
        <v>5546575.4137246301</v>
      </c>
      <c r="M57" s="47">
        <v>0</v>
      </c>
      <c r="N57" s="47"/>
      <c r="O57" s="47">
        <v>0</v>
      </c>
      <c r="P57" s="47">
        <v>0</v>
      </c>
      <c r="Q57" s="47">
        <v>0</v>
      </c>
      <c r="R57" s="47"/>
      <c r="S57" s="47">
        <v>0</v>
      </c>
      <c r="T57" s="47">
        <v>0</v>
      </c>
      <c r="U57" s="47">
        <v>0</v>
      </c>
      <c r="V57" s="47"/>
      <c r="W57" s="47">
        <v>0</v>
      </c>
      <c r="X57" s="47">
        <v>0</v>
      </c>
      <c r="Y57" s="47">
        <v>0</v>
      </c>
      <c r="Z57" s="289"/>
      <c r="AA57" s="289"/>
      <c r="AB57" s="289"/>
    </row>
    <row r="58" spans="1:28" hidden="1" collapsed="1" x14ac:dyDescent="0.25">
      <c r="A58" s="44" t="s">
        <v>1389</v>
      </c>
      <c r="B58" s="90">
        <v>8048</v>
      </c>
      <c r="C58" s="47"/>
      <c r="D58" s="47"/>
      <c r="E58" s="47"/>
      <c r="F58" s="47"/>
      <c r="G58" s="47"/>
      <c r="H58" s="47"/>
      <c r="I58" s="47"/>
      <c r="J58" s="47"/>
      <c r="K58" s="47"/>
      <c r="L58" s="47"/>
      <c r="M58" s="47"/>
      <c r="N58" s="47"/>
      <c r="O58" s="47"/>
      <c r="P58" s="47"/>
      <c r="Q58" s="47"/>
      <c r="R58" s="47"/>
      <c r="S58" s="47"/>
      <c r="T58" s="47"/>
      <c r="U58" s="47"/>
      <c r="V58" s="47"/>
      <c r="W58" s="47"/>
      <c r="X58" s="47"/>
      <c r="Y58" s="47"/>
      <c r="Z58" s="289"/>
      <c r="AA58" s="289"/>
      <c r="AB58" s="289"/>
    </row>
    <row r="59" spans="1:28" collapsed="1" x14ac:dyDescent="0.25">
      <c r="A59" s="44" t="s">
        <v>1390</v>
      </c>
      <c r="B59" s="90">
        <v>2556</v>
      </c>
      <c r="C59" s="47">
        <v>0</v>
      </c>
      <c r="D59" s="47">
        <v>0</v>
      </c>
      <c r="E59" s="47">
        <v>0</v>
      </c>
      <c r="F59" s="47"/>
      <c r="G59" s="47">
        <v>1227397.2779972635</v>
      </c>
      <c r="H59" s="47">
        <v>254196.97200273647</v>
      </c>
      <c r="I59" s="47">
        <v>0</v>
      </c>
      <c r="J59" s="47"/>
      <c r="K59" s="47">
        <v>12809999.559285603</v>
      </c>
      <c r="L59" s="47">
        <v>2093914.8007143983</v>
      </c>
      <c r="M59" s="47">
        <v>0</v>
      </c>
      <c r="N59" s="47"/>
      <c r="O59" s="47">
        <v>0</v>
      </c>
      <c r="P59" s="47">
        <v>0</v>
      </c>
      <c r="Q59" s="47">
        <v>0</v>
      </c>
      <c r="R59" s="47"/>
      <c r="S59" s="47">
        <v>4316.9192196253116</v>
      </c>
      <c r="T59" s="47">
        <v>721.73078037468781</v>
      </c>
      <c r="U59" s="47">
        <v>0</v>
      </c>
      <c r="V59" s="47"/>
      <c r="W59" s="47">
        <v>8503.9268938072873</v>
      </c>
      <c r="X59" s="47">
        <v>173.75310619271187</v>
      </c>
      <c r="Y59" s="47">
        <v>0</v>
      </c>
      <c r="Z59" s="289"/>
      <c r="AA59" s="289"/>
      <c r="AB59" s="289"/>
    </row>
    <row r="60" spans="1:28" collapsed="1" x14ac:dyDescent="0.25">
      <c r="A60" s="44" t="s">
        <v>1391</v>
      </c>
      <c r="B60" s="90">
        <v>8012</v>
      </c>
      <c r="C60" s="47">
        <v>168034.23774045531</v>
      </c>
      <c r="D60" s="47">
        <v>461506.34225954476</v>
      </c>
      <c r="E60" s="47">
        <v>0</v>
      </c>
      <c r="F60" s="47"/>
      <c r="G60" s="47">
        <v>1095285.0318836188</v>
      </c>
      <c r="H60" s="47">
        <v>2940241.0681163818</v>
      </c>
      <c r="I60" s="47">
        <v>0</v>
      </c>
      <c r="J60" s="47"/>
      <c r="K60" s="47">
        <v>7724215.7416085312</v>
      </c>
      <c r="L60" s="47">
        <v>21688343.998391464</v>
      </c>
      <c r="M60" s="47">
        <v>0</v>
      </c>
      <c r="N60" s="47"/>
      <c r="O60" s="47">
        <v>0</v>
      </c>
      <c r="P60" s="47">
        <v>0</v>
      </c>
      <c r="Q60" s="47">
        <v>0</v>
      </c>
      <c r="R60" s="47"/>
      <c r="S60" s="47">
        <v>0</v>
      </c>
      <c r="T60" s="47">
        <v>0</v>
      </c>
      <c r="U60" s="47">
        <v>0</v>
      </c>
      <c r="V60" s="47"/>
      <c r="W60" s="47">
        <v>147755.23000000001</v>
      </c>
      <c r="X60" s="47">
        <v>0</v>
      </c>
      <c r="Y60" s="47">
        <v>0</v>
      </c>
      <c r="Z60" s="289"/>
      <c r="AA60" s="289"/>
      <c r="AB60" s="289"/>
    </row>
    <row r="61" spans="1:28" hidden="1" collapsed="1" x14ac:dyDescent="0.25">
      <c r="A61" s="44" t="s">
        <v>1392</v>
      </c>
      <c r="B61" s="90">
        <v>8016</v>
      </c>
      <c r="C61" s="47"/>
      <c r="D61" s="47"/>
      <c r="E61" s="47"/>
      <c r="F61" s="47"/>
      <c r="G61" s="47"/>
      <c r="H61" s="47"/>
      <c r="I61" s="47"/>
      <c r="J61" s="47"/>
      <c r="K61" s="47"/>
      <c r="L61" s="47"/>
      <c r="M61" s="47"/>
      <c r="N61" s="47"/>
      <c r="O61" s="47"/>
      <c r="P61" s="47"/>
      <c r="Q61" s="47"/>
      <c r="R61" s="47"/>
      <c r="S61" s="47"/>
      <c r="T61" s="47"/>
      <c r="U61" s="47"/>
      <c r="V61" s="47"/>
      <c r="W61" s="47"/>
      <c r="X61" s="47"/>
      <c r="Y61" s="47"/>
      <c r="Z61" s="289"/>
      <c r="AA61" s="289"/>
      <c r="AB61" s="289"/>
    </row>
    <row r="62" spans="1:28" hidden="1" collapsed="1" x14ac:dyDescent="0.25">
      <c r="A62" s="44" t="s">
        <v>1393</v>
      </c>
      <c r="B62" s="90">
        <v>8098</v>
      </c>
      <c r="C62" s="47"/>
      <c r="D62" s="47"/>
      <c r="E62" s="47"/>
      <c r="F62" s="47"/>
      <c r="G62" s="47"/>
      <c r="H62" s="47"/>
      <c r="I62" s="47"/>
      <c r="J62" s="47"/>
      <c r="K62" s="47"/>
      <c r="L62" s="47"/>
      <c r="M62" s="47"/>
      <c r="N62" s="47"/>
      <c r="O62" s="47"/>
      <c r="P62" s="47"/>
      <c r="Q62" s="47"/>
      <c r="R62" s="47"/>
      <c r="S62" s="47"/>
      <c r="T62" s="47"/>
      <c r="U62" s="47"/>
      <c r="V62" s="47"/>
      <c r="W62" s="47"/>
      <c r="X62" s="47"/>
      <c r="Y62" s="47"/>
      <c r="Z62" s="289"/>
      <c r="AA62" s="289"/>
      <c r="AB62" s="289"/>
    </row>
    <row r="63" spans="1:28" hidden="1" collapsed="1" x14ac:dyDescent="0.25">
      <c r="A63" s="44" t="s">
        <v>1394</v>
      </c>
      <c r="B63" s="90">
        <v>8017</v>
      </c>
      <c r="C63" s="47"/>
      <c r="D63" s="47"/>
      <c r="E63" s="47"/>
      <c r="F63" s="47"/>
      <c r="G63" s="47"/>
      <c r="H63" s="47"/>
      <c r="I63" s="47"/>
      <c r="J63" s="47"/>
      <c r="K63" s="47"/>
      <c r="L63" s="47"/>
      <c r="M63" s="47"/>
      <c r="N63" s="47"/>
      <c r="O63" s="47"/>
      <c r="P63" s="47"/>
      <c r="Q63" s="47"/>
      <c r="R63" s="47"/>
      <c r="S63" s="47"/>
      <c r="T63" s="47"/>
      <c r="U63" s="47"/>
      <c r="V63" s="47"/>
      <c r="W63" s="47"/>
      <c r="X63" s="47"/>
      <c r="Y63" s="47"/>
      <c r="Z63" s="289"/>
      <c r="AA63" s="289"/>
      <c r="AB63" s="289"/>
    </row>
    <row r="64" spans="1:28" hidden="1" collapsed="1" x14ac:dyDescent="0.25">
      <c r="A64" s="44" t="s">
        <v>1395</v>
      </c>
      <c r="B64" s="90">
        <v>8099</v>
      </c>
      <c r="C64" s="47"/>
      <c r="D64" s="47"/>
      <c r="E64" s="47"/>
      <c r="F64" s="47"/>
      <c r="G64" s="47"/>
      <c r="H64" s="47"/>
      <c r="I64" s="47"/>
      <c r="J64" s="47"/>
      <c r="K64" s="47"/>
      <c r="L64" s="47"/>
      <c r="M64" s="47"/>
      <c r="N64" s="47"/>
      <c r="O64" s="47"/>
      <c r="P64" s="47"/>
      <c r="Q64" s="47"/>
      <c r="R64" s="47"/>
      <c r="S64" s="47"/>
      <c r="T64" s="47"/>
      <c r="U64" s="47"/>
      <c r="V64" s="47"/>
      <c r="W64" s="47"/>
      <c r="X64" s="47"/>
      <c r="Y64" s="47"/>
      <c r="Z64" s="289"/>
      <c r="AA64" s="289"/>
      <c r="AB64" s="289"/>
    </row>
    <row r="65" spans="1:28" hidden="1" collapsed="1" x14ac:dyDescent="0.25">
      <c r="A65" s="44" t="s">
        <v>1396</v>
      </c>
      <c r="B65" s="90">
        <v>8004</v>
      </c>
      <c r="C65" s="47"/>
      <c r="D65" s="47"/>
      <c r="E65" s="47"/>
      <c r="F65" s="47"/>
      <c r="G65" s="47"/>
      <c r="H65" s="47"/>
      <c r="I65" s="47"/>
      <c r="J65" s="47"/>
      <c r="K65" s="47"/>
      <c r="L65" s="47"/>
      <c r="M65" s="47"/>
      <c r="N65" s="47"/>
      <c r="O65" s="47"/>
      <c r="P65" s="47"/>
      <c r="Q65" s="47"/>
      <c r="R65" s="47"/>
      <c r="S65" s="47"/>
      <c r="T65" s="47"/>
      <c r="U65" s="47"/>
      <c r="V65" s="47"/>
      <c r="W65" s="47"/>
      <c r="X65" s="47"/>
      <c r="Y65" s="47"/>
      <c r="Z65" s="289"/>
      <c r="AA65" s="289"/>
      <c r="AB65" s="289"/>
    </row>
    <row r="66" spans="1:28" ht="17.25" hidden="1" customHeight="1" collapsed="1" x14ac:dyDescent="0.25">
      <c r="A66" s="44" t="s">
        <v>1397</v>
      </c>
      <c r="B66" s="90">
        <v>8044</v>
      </c>
      <c r="C66" s="47"/>
      <c r="D66" s="47"/>
      <c r="E66" s="47"/>
      <c r="F66" s="47"/>
      <c r="G66" s="47"/>
      <c r="H66" s="47"/>
      <c r="I66" s="47"/>
      <c r="J66" s="47"/>
      <c r="K66" s="47"/>
      <c r="L66" s="47"/>
      <c r="M66" s="47"/>
      <c r="N66" s="47"/>
      <c r="O66" s="47"/>
      <c r="P66" s="47"/>
      <c r="Q66" s="47"/>
      <c r="R66" s="47"/>
      <c r="S66" s="47"/>
      <c r="T66" s="47"/>
      <c r="U66" s="47"/>
      <c r="V66" s="47"/>
      <c r="W66" s="47"/>
      <c r="X66" s="47"/>
      <c r="Y66" s="47"/>
      <c r="Z66" s="289"/>
      <c r="AA66" s="289"/>
      <c r="AB66" s="289"/>
    </row>
    <row r="67" spans="1:28" hidden="1" collapsed="1" x14ac:dyDescent="0.25">
      <c r="A67" s="44" t="s">
        <v>1398</v>
      </c>
      <c r="B67" s="90">
        <v>8036</v>
      </c>
      <c r="C67" s="47"/>
      <c r="D67" s="47"/>
      <c r="E67" s="47"/>
      <c r="F67" s="47"/>
      <c r="G67" s="47"/>
      <c r="H67" s="47"/>
      <c r="I67" s="47"/>
      <c r="J67" s="47"/>
      <c r="K67" s="47"/>
      <c r="L67" s="47"/>
      <c r="M67" s="47"/>
      <c r="N67" s="47"/>
      <c r="O67" s="47"/>
      <c r="P67" s="47"/>
      <c r="Q67" s="47"/>
      <c r="R67" s="47"/>
      <c r="S67" s="47"/>
      <c r="T67" s="47"/>
      <c r="U67" s="47"/>
      <c r="V67" s="47"/>
      <c r="W67" s="47"/>
      <c r="X67" s="47"/>
      <c r="Y67" s="47"/>
      <c r="Z67" s="289"/>
      <c r="AA67" s="289"/>
      <c r="AB67" s="289"/>
    </row>
    <row r="68" spans="1:28" hidden="1" collapsed="1" x14ac:dyDescent="0.25">
      <c r="A68" s="44" t="s">
        <v>1399</v>
      </c>
      <c r="B68" s="90">
        <v>8345</v>
      </c>
      <c r="C68" s="47"/>
      <c r="D68" s="47"/>
      <c r="E68" s="47"/>
      <c r="F68" s="47"/>
      <c r="G68" s="47"/>
      <c r="H68" s="47"/>
      <c r="I68" s="47"/>
      <c r="J68" s="47"/>
      <c r="K68" s="47"/>
      <c r="L68" s="47"/>
      <c r="M68" s="47"/>
      <c r="N68" s="47"/>
      <c r="O68" s="47"/>
      <c r="P68" s="47"/>
      <c r="Q68" s="47"/>
      <c r="R68" s="47"/>
      <c r="S68" s="47"/>
      <c r="T68" s="47"/>
      <c r="U68" s="47"/>
      <c r="V68" s="47"/>
      <c r="W68" s="47"/>
      <c r="X68" s="47"/>
      <c r="Y68" s="47"/>
      <c r="Z68" s="289"/>
      <c r="AA68" s="289"/>
      <c r="AB68" s="289"/>
    </row>
    <row r="69" spans="1:28" collapsed="1" x14ac:dyDescent="0.25">
      <c r="A69" s="44" t="s">
        <v>1400</v>
      </c>
      <c r="B69" s="90">
        <v>8037</v>
      </c>
      <c r="C69" s="47">
        <v>2228.2803868731094</v>
      </c>
      <c r="D69" s="47">
        <v>14885.469613126892</v>
      </c>
      <c r="E69" s="47">
        <v>0</v>
      </c>
      <c r="F69" s="47"/>
      <c r="G69" s="47">
        <v>12137.991914816937</v>
      </c>
      <c r="H69" s="47">
        <v>82476.948085183074</v>
      </c>
      <c r="I69" s="47">
        <v>0</v>
      </c>
      <c r="J69" s="47"/>
      <c r="K69" s="47">
        <v>857763.39310165425</v>
      </c>
      <c r="L69" s="47">
        <v>5728681.606898346</v>
      </c>
      <c r="M69" s="47">
        <v>0</v>
      </c>
      <c r="N69" s="47"/>
      <c r="O69" s="47">
        <v>0</v>
      </c>
      <c r="P69" s="47">
        <v>0</v>
      </c>
      <c r="Q69" s="47">
        <v>0</v>
      </c>
      <c r="R69" s="47"/>
      <c r="S69" s="47">
        <v>0</v>
      </c>
      <c r="T69" s="47">
        <v>0</v>
      </c>
      <c r="U69" s="47">
        <v>0</v>
      </c>
      <c r="V69" s="47"/>
      <c r="W69" s="47">
        <v>0</v>
      </c>
      <c r="X69" s="47">
        <v>0</v>
      </c>
      <c r="Y69" s="47">
        <v>0</v>
      </c>
      <c r="Z69" s="289"/>
      <c r="AA69" s="289"/>
      <c r="AB69" s="289"/>
    </row>
    <row r="70" spans="1:28" collapsed="1" x14ac:dyDescent="0.25">
      <c r="A70" s="44" t="s">
        <v>1031</v>
      </c>
      <c r="B70" s="46" t="s">
        <v>1401</v>
      </c>
      <c r="C70" s="47">
        <v>4949.8635027554865</v>
      </c>
      <c r="D70" s="47">
        <v>3014.5764972445136</v>
      </c>
      <c r="E70" s="47">
        <v>0</v>
      </c>
      <c r="F70" s="47"/>
      <c r="G70" s="47">
        <v>64209.716554795115</v>
      </c>
      <c r="H70" s="47">
        <v>39352.223445204894</v>
      </c>
      <c r="I70" s="47">
        <v>0</v>
      </c>
      <c r="J70" s="47"/>
      <c r="K70" s="47">
        <v>4209840.3164457995</v>
      </c>
      <c r="L70" s="47">
        <v>2563638.9035542007</v>
      </c>
      <c r="M70" s="47">
        <v>0</v>
      </c>
      <c r="N70" s="47"/>
      <c r="O70" s="47">
        <v>0</v>
      </c>
      <c r="P70" s="47">
        <v>0</v>
      </c>
      <c r="Q70" s="47">
        <v>0</v>
      </c>
      <c r="R70" s="47"/>
      <c r="S70" s="47">
        <v>0</v>
      </c>
      <c r="T70" s="47">
        <v>0</v>
      </c>
      <c r="U70" s="47">
        <v>0</v>
      </c>
      <c r="V70" s="47"/>
      <c r="W70" s="47">
        <v>0</v>
      </c>
      <c r="X70" s="47">
        <v>0</v>
      </c>
      <c r="Y70" s="47">
        <v>0</v>
      </c>
      <c r="Z70" s="289"/>
      <c r="AA70" s="289"/>
      <c r="AB70" s="289"/>
    </row>
    <row r="71" spans="1:28" collapsed="1" x14ac:dyDescent="0.25">
      <c r="A71" s="44" t="s">
        <v>1032</v>
      </c>
      <c r="B71" s="46" t="s">
        <v>1402</v>
      </c>
      <c r="C71" s="47">
        <v>159283.17476894686</v>
      </c>
      <c r="D71" s="47">
        <v>155487.32523105308</v>
      </c>
      <c r="E71" s="47">
        <v>0</v>
      </c>
      <c r="F71" s="47"/>
      <c r="G71" s="47">
        <v>22182376.771513332</v>
      </c>
      <c r="H71" s="47">
        <v>12457170.00848667</v>
      </c>
      <c r="I71" s="47">
        <v>0</v>
      </c>
      <c r="J71" s="47"/>
      <c r="K71" s="47">
        <v>83169041.551748604</v>
      </c>
      <c r="L71" s="47">
        <v>87654453.838251442</v>
      </c>
      <c r="M71" s="47">
        <v>0</v>
      </c>
      <c r="N71" s="47"/>
      <c r="O71" s="47">
        <v>0</v>
      </c>
      <c r="P71" s="47">
        <v>0</v>
      </c>
      <c r="Q71" s="47">
        <v>0</v>
      </c>
      <c r="R71" s="47"/>
      <c r="S71" s="47">
        <v>0</v>
      </c>
      <c r="T71" s="47">
        <v>0</v>
      </c>
      <c r="U71" s="47">
        <v>0</v>
      </c>
      <c r="V71" s="47"/>
      <c r="W71" s="47">
        <v>55275.741440874277</v>
      </c>
      <c r="X71" s="47">
        <v>2783141.6885591261</v>
      </c>
      <c r="Y71" s="47">
        <v>0</v>
      </c>
      <c r="Z71" s="289"/>
      <c r="AA71" s="289"/>
      <c r="AB71" s="289"/>
    </row>
    <row r="72" spans="1:28" collapsed="1" x14ac:dyDescent="0.25">
      <c r="A72" s="44" t="s">
        <v>1403</v>
      </c>
      <c r="B72" s="46">
        <v>8049</v>
      </c>
      <c r="C72" s="47">
        <v>18831.568805125495</v>
      </c>
      <c r="D72" s="47">
        <v>3256.501194874505</v>
      </c>
      <c r="E72" s="47">
        <v>0</v>
      </c>
      <c r="F72" s="47"/>
      <c r="G72" s="47">
        <v>5151040.3699562075</v>
      </c>
      <c r="H72" s="47">
        <v>179081.19004379242</v>
      </c>
      <c r="I72" s="47">
        <v>0</v>
      </c>
      <c r="J72" s="47"/>
      <c r="K72" s="47">
        <v>49348357.723540641</v>
      </c>
      <c r="L72" s="47">
        <v>9245378.176459372</v>
      </c>
      <c r="M72" s="47">
        <v>0</v>
      </c>
      <c r="N72" s="47"/>
      <c r="O72" s="47">
        <v>0</v>
      </c>
      <c r="P72" s="47">
        <v>0</v>
      </c>
      <c r="Q72" s="47">
        <v>0</v>
      </c>
      <c r="R72" s="47"/>
      <c r="S72" s="47">
        <v>0</v>
      </c>
      <c r="T72" s="47">
        <v>0</v>
      </c>
      <c r="U72" s="47">
        <v>0</v>
      </c>
      <c r="V72" s="47"/>
      <c r="W72" s="47">
        <v>0</v>
      </c>
      <c r="X72" s="47">
        <v>0</v>
      </c>
      <c r="Y72" s="47">
        <v>0</v>
      </c>
      <c r="Z72" s="289"/>
      <c r="AA72" s="289"/>
      <c r="AB72" s="289"/>
    </row>
    <row r="73" spans="1:28" collapsed="1" x14ac:dyDescent="0.25">
      <c r="A73" s="44" t="s">
        <v>1404</v>
      </c>
      <c r="B73" s="90">
        <v>5064</v>
      </c>
      <c r="C73" s="47">
        <v>12411.991345650629</v>
      </c>
      <c r="D73" s="47">
        <v>39696.998654349372</v>
      </c>
      <c r="E73" s="47">
        <v>0</v>
      </c>
      <c r="F73" s="47"/>
      <c r="G73" s="47">
        <v>1897774.4507446084</v>
      </c>
      <c r="H73" s="47">
        <v>6134024.0792553909</v>
      </c>
      <c r="I73" s="47">
        <v>0</v>
      </c>
      <c r="J73" s="47"/>
      <c r="K73" s="47">
        <v>14533290.849897688</v>
      </c>
      <c r="L73" s="47">
        <v>46382817.250102304</v>
      </c>
      <c r="M73" s="47">
        <v>0</v>
      </c>
      <c r="N73" s="47"/>
      <c r="O73" s="47">
        <v>0</v>
      </c>
      <c r="P73" s="47">
        <v>0</v>
      </c>
      <c r="Q73" s="47">
        <v>0</v>
      </c>
      <c r="R73" s="47"/>
      <c r="S73" s="47">
        <v>108357.70803387105</v>
      </c>
      <c r="T73" s="47">
        <v>346558.07196612901</v>
      </c>
      <c r="U73" s="47">
        <v>0</v>
      </c>
      <c r="V73" s="47"/>
      <c r="W73" s="47">
        <v>0</v>
      </c>
      <c r="X73" s="47">
        <v>34273.07</v>
      </c>
      <c r="Y73" s="47">
        <v>0</v>
      </c>
      <c r="Z73" s="289"/>
      <c r="AA73" s="289"/>
      <c r="AB73" s="289"/>
    </row>
    <row r="74" spans="1:28" collapsed="1" x14ac:dyDescent="0.25">
      <c r="A74" s="44" t="s">
        <v>1405</v>
      </c>
      <c r="B74" s="90">
        <v>5025</v>
      </c>
      <c r="C74" s="47">
        <v>33845.112146383071</v>
      </c>
      <c r="D74" s="47">
        <v>29712.047853616939</v>
      </c>
      <c r="E74" s="47">
        <v>0</v>
      </c>
      <c r="F74" s="47"/>
      <c r="G74" s="47">
        <v>50923.28494509439</v>
      </c>
      <c r="H74" s="47">
        <v>44704.685054905611</v>
      </c>
      <c r="I74" s="47">
        <v>0</v>
      </c>
      <c r="J74" s="47"/>
      <c r="K74" s="47">
        <v>6720744.5860641934</v>
      </c>
      <c r="L74" s="47">
        <v>5900027.2739358088</v>
      </c>
      <c r="M74" s="47">
        <v>0</v>
      </c>
      <c r="N74" s="47"/>
      <c r="O74" s="47">
        <v>0</v>
      </c>
      <c r="P74" s="47">
        <v>0</v>
      </c>
      <c r="Q74" s="47">
        <v>0</v>
      </c>
      <c r="R74" s="47"/>
      <c r="S74" s="47">
        <v>0</v>
      </c>
      <c r="T74" s="47">
        <v>0</v>
      </c>
      <c r="U74" s="47">
        <v>0</v>
      </c>
      <c r="V74" s="47"/>
      <c r="W74" s="47">
        <v>0</v>
      </c>
      <c r="X74" s="47">
        <v>0</v>
      </c>
      <c r="Y74" s="47">
        <v>0</v>
      </c>
      <c r="Z74" s="289"/>
      <c r="AA74" s="289"/>
      <c r="AB74" s="289"/>
    </row>
    <row r="75" spans="1:28" collapsed="1" x14ac:dyDescent="0.25">
      <c r="A75" s="44" t="s">
        <v>1406</v>
      </c>
      <c r="B75" s="90">
        <v>5052</v>
      </c>
      <c r="C75" s="101">
        <v>21969.428036242389</v>
      </c>
      <c r="D75" s="101">
        <v>13.311963757610599</v>
      </c>
      <c r="E75" s="101">
        <v>0</v>
      </c>
      <c r="F75" s="47"/>
      <c r="G75" s="101">
        <v>1599574.9007907466</v>
      </c>
      <c r="H75" s="101">
        <v>968.48920925325615</v>
      </c>
      <c r="I75" s="101">
        <v>0</v>
      </c>
      <c r="J75" s="101"/>
      <c r="K75" s="101">
        <v>68960888.217131972</v>
      </c>
      <c r="L75" s="101">
        <v>41786.302868012965</v>
      </c>
      <c r="M75" s="101">
        <v>0</v>
      </c>
      <c r="N75" s="101"/>
      <c r="O75" s="101">
        <v>0</v>
      </c>
      <c r="P75" s="101">
        <v>0</v>
      </c>
      <c r="Q75" s="101">
        <v>0</v>
      </c>
      <c r="R75" s="101"/>
      <c r="S75" s="101">
        <v>0</v>
      </c>
      <c r="T75" s="101">
        <v>0</v>
      </c>
      <c r="U75" s="101">
        <v>0</v>
      </c>
      <c r="V75" s="101"/>
      <c r="W75" s="101">
        <v>0</v>
      </c>
      <c r="X75" s="101">
        <v>0</v>
      </c>
      <c r="Y75" s="101">
        <v>0</v>
      </c>
      <c r="Z75" s="289"/>
      <c r="AA75" s="289"/>
      <c r="AB75" s="289"/>
    </row>
    <row r="76" spans="1:28" hidden="1" collapsed="1" x14ac:dyDescent="0.25">
      <c r="A76" s="44" t="s">
        <v>1407</v>
      </c>
      <c r="B76" s="90">
        <v>5539</v>
      </c>
      <c r="C76" s="47"/>
      <c r="D76" s="47"/>
      <c r="E76" s="47"/>
      <c r="F76" s="47"/>
      <c r="G76" s="47"/>
      <c r="H76" s="47"/>
      <c r="I76" s="47"/>
      <c r="J76" s="47"/>
      <c r="K76" s="47"/>
      <c r="L76" s="47"/>
      <c r="M76" s="47"/>
      <c r="N76" s="47"/>
      <c r="O76" s="47"/>
      <c r="P76" s="47"/>
      <c r="Q76" s="47"/>
      <c r="R76" s="47"/>
      <c r="S76" s="47"/>
      <c r="T76" s="47"/>
      <c r="U76" s="47"/>
      <c r="V76" s="47"/>
      <c r="W76" s="47"/>
      <c r="X76" s="47"/>
      <c r="Y76" s="47"/>
      <c r="Z76" s="289"/>
      <c r="AA76" s="289"/>
      <c r="AB76" s="289"/>
    </row>
    <row r="77" spans="1:28" hidden="1" collapsed="1" x14ac:dyDescent="0.25">
      <c r="A77" s="44" t="s">
        <v>1408</v>
      </c>
      <c r="B77" s="90">
        <v>5599</v>
      </c>
      <c r="C77" s="47"/>
      <c r="D77" s="47"/>
      <c r="E77" s="47"/>
      <c r="F77" s="47"/>
      <c r="G77" s="47"/>
      <c r="H77" s="47"/>
      <c r="I77" s="47"/>
      <c r="J77" s="47"/>
      <c r="K77" s="47"/>
      <c r="L77" s="47"/>
      <c r="M77" s="47"/>
      <c r="N77" s="47"/>
      <c r="O77" s="47"/>
      <c r="P77" s="47"/>
      <c r="Q77" s="47"/>
      <c r="R77" s="47"/>
      <c r="S77" s="47"/>
      <c r="T77" s="47"/>
      <c r="U77" s="47"/>
      <c r="V77" s="47"/>
      <c r="W77" s="47"/>
      <c r="X77" s="47"/>
      <c r="Y77" s="47"/>
      <c r="Z77" s="289"/>
      <c r="AA77" s="289"/>
      <c r="AB77" s="289"/>
    </row>
    <row r="78" spans="1:28" hidden="1" collapsed="1" x14ac:dyDescent="0.25">
      <c r="A78" s="44" t="s">
        <v>1409</v>
      </c>
      <c r="B78" s="90">
        <v>5564</v>
      </c>
      <c r="C78" s="47"/>
      <c r="D78" s="47"/>
      <c r="E78" s="47"/>
      <c r="F78" s="47"/>
      <c r="G78" s="47"/>
      <c r="H78" s="47"/>
      <c r="I78" s="47"/>
      <c r="J78" s="47"/>
      <c r="K78" s="47"/>
      <c r="L78" s="47"/>
      <c r="M78" s="47"/>
      <c r="N78" s="47"/>
      <c r="O78" s="47"/>
      <c r="P78" s="47"/>
      <c r="Q78" s="47"/>
      <c r="R78" s="47"/>
      <c r="S78" s="47"/>
      <c r="T78" s="47"/>
      <c r="U78" s="47"/>
      <c r="V78" s="47"/>
      <c r="W78" s="47"/>
      <c r="X78" s="47"/>
      <c r="Y78" s="47"/>
      <c r="Z78" s="289"/>
      <c r="AA78" s="289"/>
      <c r="AB78" s="289"/>
    </row>
    <row r="79" spans="1:28" hidden="1" collapsed="1" x14ac:dyDescent="0.25">
      <c r="A79" s="44" t="s">
        <v>1410</v>
      </c>
      <c r="B79" s="90">
        <v>5518</v>
      </c>
      <c r="C79" s="47"/>
      <c r="D79" s="47"/>
      <c r="E79" s="47"/>
      <c r="F79" s="47"/>
      <c r="G79" s="47"/>
      <c r="H79" s="47"/>
      <c r="I79" s="47"/>
      <c r="J79" s="47"/>
      <c r="K79" s="47"/>
      <c r="L79" s="47"/>
      <c r="M79" s="47"/>
      <c r="N79" s="47"/>
      <c r="O79" s="47"/>
      <c r="P79" s="47"/>
      <c r="Q79" s="47"/>
      <c r="R79" s="47"/>
      <c r="S79" s="47"/>
      <c r="T79" s="47"/>
      <c r="U79" s="47"/>
      <c r="V79" s="47"/>
      <c r="W79" s="47"/>
      <c r="X79" s="47"/>
      <c r="Y79" s="47"/>
      <c r="Z79" s="289"/>
      <c r="AA79" s="289"/>
      <c r="AB79" s="289"/>
    </row>
    <row r="80" spans="1:28" hidden="1" collapsed="1" x14ac:dyDescent="0.25">
      <c r="A80" s="44" t="s">
        <v>1411</v>
      </c>
      <c r="B80" s="90">
        <v>5522</v>
      </c>
      <c r="C80" s="47"/>
      <c r="D80" s="47"/>
      <c r="E80" s="47"/>
      <c r="F80" s="47"/>
      <c r="G80" s="47"/>
      <c r="H80" s="47"/>
      <c r="I80" s="47"/>
      <c r="J80" s="47"/>
      <c r="K80" s="47"/>
      <c r="L80" s="47"/>
      <c r="M80" s="47"/>
      <c r="N80" s="47"/>
      <c r="O80" s="47"/>
      <c r="P80" s="47"/>
      <c r="Q80" s="47"/>
      <c r="R80" s="47"/>
      <c r="S80" s="47"/>
      <c r="T80" s="47"/>
      <c r="U80" s="47"/>
      <c r="V80" s="47"/>
      <c r="W80" s="47"/>
      <c r="X80" s="47"/>
      <c r="Y80" s="47"/>
      <c r="Z80" s="289"/>
      <c r="AA80" s="289"/>
      <c r="AB80" s="289"/>
    </row>
    <row r="81" spans="1:28" hidden="1" collapsed="1" x14ac:dyDescent="0.25">
      <c r="A81" s="44" t="s">
        <v>1412</v>
      </c>
      <c r="B81" s="90">
        <v>5548</v>
      </c>
      <c r="C81" s="47"/>
      <c r="D81" s="47"/>
      <c r="E81" s="47"/>
      <c r="F81" s="47"/>
      <c r="G81" s="47"/>
      <c r="H81" s="47"/>
      <c r="I81" s="47"/>
      <c r="J81" s="47"/>
      <c r="K81" s="47"/>
      <c r="L81" s="47"/>
      <c r="M81" s="47"/>
      <c r="N81" s="47"/>
      <c r="O81" s="47"/>
      <c r="P81" s="47"/>
      <c r="Q81" s="47"/>
      <c r="R81" s="47"/>
      <c r="S81" s="47"/>
      <c r="T81" s="47"/>
      <c r="U81" s="47"/>
      <c r="V81" s="47"/>
      <c r="W81" s="47"/>
      <c r="X81" s="47"/>
      <c r="Y81" s="47"/>
      <c r="Z81" s="289"/>
      <c r="AA81" s="289"/>
      <c r="AB81" s="289"/>
    </row>
    <row r="82" spans="1:28" hidden="1" collapsed="1" x14ac:dyDescent="0.25">
      <c r="A82" s="44" t="s">
        <v>1413</v>
      </c>
      <c r="B82" s="90">
        <v>5545</v>
      </c>
      <c r="C82" s="47"/>
      <c r="D82" s="47"/>
      <c r="E82" s="47"/>
      <c r="F82" s="47"/>
      <c r="G82" s="47"/>
      <c r="H82" s="47"/>
      <c r="I82" s="47"/>
      <c r="J82" s="47"/>
      <c r="K82" s="47"/>
      <c r="L82" s="47"/>
      <c r="M82" s="47"/>
      <c r="N82" s="47"/>
      <c r="O82" s="47"/>
      <c r="P82" s="47"/>
      <c r="Q82" s="47"/>
      <c r="R82" s="47"/>
      <c r="S82" s="47"/>
      <c r="T82" s="47"/>
      <c r="U82" s="47"/>
      <c r="V82" s="47"/>
      <c r="W82" s="47"/>
      <c r="X82" s="47"/>
      <c r="Y82" s="47"/>
      <c r="Z82" s="289"/>
      <c r="AA82" s="289"/>
      <c r="AB82" s="289"/>
    </row>
    <row r="83" spans="1:28" hidden="1" collapsed="1" x14ac:dyDescent="0.25">
      <c r="A83" s="44" t="s">
        <v>1414</v>
      </c>
      <c r="B83" s="90">
        <v>5530</v>
      </c>
      <c r="C83" s="47"/>
      <c r="D83" s="47"/>
      <c r="E83" s="47"/>
      <c r="F83" s="47"/>
      <c r="G83" s="47"/>
      <c r="H83" s="47"/>
      <c r="I83" s="47"/>
      <c r="J83" s="47"/>
      <c r="K83" s="47"/>
      <c r="L83" s="47"/>
      <c r="M83" s="47"/>
      <c r="N83" s="47"/>
      <c r="O83" s="47"/>
      <c r="P83" s="47"/>
      <c r="Q83" s="47"/>
      <c r="R83" s="47"/>
      <c r="S83" s="47"/>
      <c r="T83" s="47"/>
      <c r="U83" s="47"/>
      <c r="V83" s="47"/>
      <c r="W83" s="47"/>
      <c r="X83" s="47"/>
      <c r="Y83" s="47"/>
      <c r="Z83" s="289"/>
      <c r="AA83" s="289"/>
      <c r="AB83" s="289"/>
    </row>
    <row r="84" spans="1:28" hidden="1" collapsed="1" x14ac:dyDescent="0.25">
      <c r="A84" s="44" t="s">
        <v>1415</v>
      </c>
      <c r="B84" s="90">
        <v>5514</v>
      </c>
      <c r="C84" s="47"/>
      <c r="D84" s="47"/>
      <c r="E84" s="47"/>
      <c r="F84" s="47"/>
      <c r="G84" s="47"/>
      <c r="H84" s="47"/>
      <c r="I84" s="47"/>
      <c r="J84" s="47"/>
      <c r="K84" s="47"/>
      <c r="L84" s="47"/>
      <c r="M84" s="47"/>
      <c r="N84" s="47"/>
      <c r="O84" s="47"/>
      <c r="P84" s="47"/>
      <c r="Q84" s="47"/>
      <c r="R84" s="47"/>
      <c r="S84" s="47"/>
      <c r="T84" s="47"/>
      <c r="U84" s="47"/>
      <c r="V84" s="47"/>
      <c r="W84" s="47"/>
      <c r="X84" s="47"/>
      <c r="Y84" s="47"/>
      <c r="Z84" s="289"/>
      <c r="AA84" s="289"/>
      <c r="AB84" s="289"/>
    </row>
    <row r="85" spans="1:28" hidden="1" collapsed="1" x14ac:dyDescent="0.25">
      <c r="A85" s="44" t="s">
        <v>1416</v>
      </c>
      <c r="B85" s="90">
        <v>5508</v>
      </c>
      <c r="C85" s="47"/>
      <c r="D85" s="47"/>
      <c r="E85" s="47"/>
      <c r="F85" s="47"/>
      <c r="G85" s="47"/>
      <c r="H85" s="47"/>
      <c r="I85" s="47"/>
      <c r="J85" s="47"/>
      <c r="K85" s="47"/>
      <c r="L85" s="47"/>
      <c r="M85" s="47"/>
      <c r="N85" s="47"/>
      <c r="O85" s="47"/>
      <c r="P85" s="47"/>
      <c r="Q85" s="47"/>
      <c r="R85" s="47"/>
      <c r="S85" s="47"/>
      <c r="T85" s="47"/>
      <c r="U85" s="47"/>
      <c r="V85" s="47"/>
      <c r="W85" s="47"/>
      <c r="X85" s="47"/>
      <c r="Y85" s="47"/>
      <c r="Z85" s="289"/>
      <c r="AA85" s="289"/>
      <c r="AB85" s="289"/>
    </row>
    <row r="86" spans="1:28" hidden="1" collapsed="1" x14ac:dyDescent="0.25">
      <c r="A86" s="44" t="s">
        <v>1417</v>
      </c>
      <c r="B86" s="90">
        <v>5511</v>
      </c>
      <c r="C86" s="47"/>
      <c r="D86" s="47"/>
      <c r="E86" s="47"/>
      <c r="F86" s="47"/>
      <c r="G86" s="47"/>
      <c r="H86" s="47"/>
      <c r="I86" s="47"/>
      <c r="J86" s="47"/>
      <c r="K86" s="47"/>
      <c r="L86" s="47"/>
      <c r="M86" s="47"/>
      <c r="N86" s="47"/>
      <c r="O86" s="47"/>
      <c r="P86" s="47"/>
      <c r="Q86" s="47"/>
      <c r="R86" s="47"/>
      <c r="S86" s="47"/>
      <c r="T86" s="47"/>
      <c r="U86" s="47"/>
      <c r="V86" s="47"/>
      <c r="W86" s="47"/>
      <c r="X86" s="47"/>
      <c r="Y86" s="47"/>
      <c r="Z86" s="289"/>
      <c r="AA86" s="289"/>
      <c r="AB86" s="289"/>
    </row>
    <row r="87" spans="1:28" hidden="1" collapsed="1" x14ac:dyDescent="0.25">
      <c r="A87" s="44" t="s">
        <v>1418</v>
      </c>
      <c r="B87" s="90">
        <v>5547</v>
      </c>
      <c r="C87" s="47"/>
      <c r="D87" s="47"/>
      <c r="E87" s="47"/>
      <c r="F87" s="47"/>
      <c r="G87" s="47"/>
      <c r="H87" s="47"/>
      <c r="I87" s="47"/>
      <c r="J87" s="47"/>
      <c r="K87" s="47"/>
      <c r="L87" s="47"/>
      <c r="M87" s="47"/>
      <c r="N87" s="47"/>
      <c r="O87" s="47"/>
      <c r="P87" s="47"/>
      <c r="Q87" s="47"/>
      <c r="R87" s="47"/>
      <c r="S87" s="47"/>
      <c r="T87" s="47"/>
      <c r="U87" s="47"/>
      <c r="V87" s="47"/>
      <c r="W87" s="47"/>
      <c r="X87" s="47"/>
      <c r="Y87" s="47"/>
      <c r="Z87" s="289"/>
      <c r="AA87" s="289"/>
      <c r="AB87" s="289"/>
    </row>
    <row r="88" spans="1:28" hidden="1" collapsed="1" x14ac:dyDescent="0.25">
      <c r="A88" s="44" t="s">
        <v>1419</v>
      </c>
      <c r="B88" s="90">
        <v>5541</v>
      </c>
      <c r="C88" s="47"/>
      <c r="D88" s="47"/>
      <c r="E88" s="47"/>
      <c r="F88" s="47"/>
      <c r="G88" s="47"/>
      <c r="H88" s="47"/>
      <c r="I88" s="47"/>
      <c r="J88" s="47"/>
      <c r="K88" s="47"/>
      <c r="L88" s="47"/>
      <c r="M88" s="47"/>
      <c r="N88" s="47"/>
      <c r="O88" s="47"/>
      <c r="P88" s="47"/>
      <c r="Q88" s="47"/>
      <c r="R88" s="47"/>
      <c r="S88" s="47"/>
      <c r="T88" s="47"/>
      <c r="U88" s="47"/>
      <c r="V88" s="47"/>
      <c r="W88" s="47"/>
      <c r="X88" s="47"/>
      <c r="Y88" s="47"/>
      <c r="Z88" s="289"/>
      <c r="AA88" s="289"/>
      <c r="AB88" s="289"/>
    </row>
    <row r="89" spans="1:28" hidden="1" collapsed="1" x14ac:dyDescent="0.25">
      <c r="A89" s="44" t="s">
        <v>1420</v>
      </c>
      <c r="B89" s="90">
        <v>5553</v>
      </c>
      <c r="C89" s="47"/>
      <c r="D89" s="47"/>
      <c r="E89" s="47"/>
      <c r="F89" s="47"/>
      <c r="G89" s="47"/>
      <c r="H89" s="47"/>
      <c r="I89" s="47"/>
      <c r="J89" s="47"/>
      <c r="K89" s="47"/>
      <c r="L89" s="47"/>
      <c r="M89" s="47"/>
      <c r="N89" s="47"/>
      <c r="O89" s="47"/>
      <c r="P89" s="47"/>
      <c r="Q89" s="47"/>
      <c r="R89" s="47"/>
      <c r="S89" s="47"/>
      <c r="T89" s="47"/>
      <c r="U89" s="47"/>
      <c r="V89" s="47"/>
      <c r="W89" s="47"/>
      <c r="X89" s="47"/>
      <c r="Y89" s="47"/>
      <c r="Z89" s="289"/>
      <c r="AA89" s="289"/>
      <c r="AB89" s="289"/>
    </row>
    <row r="90" spans="1:28" hidden="1" collapsed="1" x14ac:dyDescent="0.25">
      <c r="A90" s="44" t="s">
        <v>1421</v>
      </c>
      <c r="B90" s="90">
        <v>5357</v>
      </c>
      <c r="C90" s="47"/>
      <c r="D90" s="47"/>
      <c r="E90" s="47"/>
      <c r="F90" s="47"/>
      <c r="G90" s="47"/>
      <c r="H90" s="47"/>
      <c r="I90" s="47"/>
      <c r="J90" s="47"/>
      <c r="K90" s="47"/>
      <c r="L90" s="47"/>
      <c r="M90" s="47"/>
      <c r="N90" s="47"/>
      <c r="O90" s="47"/>
      <c r="P90" s="47"/>
      <c r="Q90" s="47"/>
      <c r="R90" s="47"/>
      <c r="S90" s="47"/>
      <c r="T90" s="47"/>
      <c r="U90" s="47"/>
      <c r="V90" s="47"/>
      <c r="W90" s="47"/>
      <c r="X90" s="47"/>
      <c r="Y90" s="47"/>
      <c r="Z90" s="289"/>
      <c r="AA90" s="289"/>
      <c r="AB90" s="289"/>
    </row>
    <row r="91" spans="1:28" hidden="1" x14ac:dyDescent="0.25">
      <c r="A91" s="288" t="s">
        <v>3339</v>
      </c>
      <c r="B91" s="90">
        <v>5566</v>
      </c>
      <c r="C91" s="47"/>
      <c r="D91" s="47"/>
      <c r="E91" s="47"/>
      <c r="F91" s="47"/>
      <c r="G91" s="47"/>
      <c r="H91" s="47"/>
      <c r="I91" s="47"/>
      <c r="J91" s="47"/>
      <c r="K91" s="47"/>
      <c r="L91" s="47"/>
      <c r="M91" s="47"/>
      <c r="N91" s="47"/>
      <c r="O91" s="47"/>
      <c r="P91" s="47"/>
      <c r="Q91" s="47"/>
      <c r="R91" s="47"/>
      <c r="S91" s="47"/>
      <c r="T91" s="47"/>
      <c r="U91" s="47"/>
      <c r="V91" s="47"/>
      <c r="W91" s="47"/>
      <c r="X91" s="47"/>
      <c r="Y91" s="47"/>
      <c r="Z91" s="289"/>
      <c r="AA91" s="289"/>
      <c r="AB91" s="289"/>
    </row>
    <row r="92" spans="1:28" hidden="1" collapsed="1" x14ac:dyDescent="0.25">
      <c r="A92" s="44" t="s">
        <v>1422</v>
      </c>
      <c r="B92" s="90">
        <v>2305</v>
      </c>
      <c r="C92" s="47"/>
      <c r="D92" s="47"/>
      <c r="E92" s="47"/>
      <c r="F92" s="47"/>
      <c r="G92" s="47"/>
      <c r="H92" s="47"/>
      <c r="I92" s="47"/>
      <c r="J92" s="47"/>
      <c r="K92" s="47"/>
      <c r="L92" s="47"/>
      <c r="M92" s="47"/>
      <c r="N92" s="47"/>
      <c r="O92" s="47"/>
      <c r="P92" s="47"/>
      <c r="Q92" s="47"/>
      <c r="R92" s="47"/>
      <c r="S92" s="47"/>
      <c r="T92" s="47"/>
      <c r="U92" s="47"/>
      <c r="V92" s="47"/>
      <c r="W92" s="47"/>
      <c r="X92" s="47"/>
      <c r="Y92" s="47"/>
      <c r="Z92" s="289"/>
      <c r="AA92" s="289"/>
      <c r="AB92" s="289"/>
    </row>
    <row r="93" spans="1:28" hidden="1" collapsed="1" x14ac:dyDescent="0.25">
      <c r="A93" s="44" t="s">
        <v>1423</v>
      </c>
      <c r="B93" s="90">
        <v>5512</v>
      </c>
      <c r="C93" s="47"/>
      <c r="D93" s="47"/>
      <c r="E93" s="47"/>
      <c r="F93" s="47"/>
      <c r="G93" s="47"/>
      <c r="H93" s="47"/>
      <c r="I93" s="47"/>
      <c r="J93" s="47"/>
      <c r="K93" s="47"/>
      <c r="L93" s="47"/>
      <c r="M93" s="47"/>
      <c r="N93" s="47"/>
      <c r="O93" s="47"/>
      <c r="P93" s="47"/>
      <c r="Q93" s="47"/>
      <c r="R93" s="47"/>
      <c r="S93" s="47"/>
      <c r="T93" s="47"/>
      <c r="U93" s="47"/>
      <c r="V93" s="47"/>
      <c r="W93" s="47"/>
      <c r="X93" s="47"/>
      <c r="Y93" s="47"/>
      <c r="Z93" s="289"/>
      <c r="AA93" s="289"/>
      <c r="AB93" s="289"/>
    </row>
    <row r="94" spans="1:28" collapsed="1" x14ac:dyDescent="0.25">
      <c r="A94" s="44" t="s">
        <v>1424</v>
      </c>
      <c r="B94" s="90">
        <v>5059</v>
      </c>
      <c r="C94" s="47">
        <v>110066.54350774967</v>
      </c>
      <c r="D94" s="47">
        <v>996.81649225033777</v>
      </c>
      <c r="E94" s="47">
        <v>0</v>
      </c>
      <c r="F94" s="47"/>
      <c r="G94" s="47">
        <v>887876.57514674088</v>
      </c>
      <c r="H94" s="47">
        <v>8041.0448532591763</v>
      </c>
      <c r="I94" s="47">
        <v>0</v>
      </c>
      <c r="J94" s="47"/>
      <c r="K94" s="47">
        <v>16696074.250877887</v>
      </c>
      <c r="L94" s="47">
        <v>148343.93912211625</v>
      </c>
      <c r="M94" s="47">
        <v>0</v>
      </c>
      <c r="N94" s="47"/>
      <c r="O94" s="47">
        <v>0</v>
      </c>
      <c r="P94" s="47">
        <v>0</v>
      </c>
      <c r="Q94" s="47">
        <v>0</v>
      </c>
      <c r="R94" s="47"/>
      <c r="S94" s="47">
        <v>29.361711865516142</v>
      </c>
      <c r="T94" s="47">
        <v>126.15828813448387</v>
      </c>
      <c r="U94" s="47">
        <v>0</v>
      </c>
      <c r="V94" s="47"/>
      <c r="W94" s="47">
        <v>638.57758570170085</v>
      </c>
      <c r="X94" s="47">
        <v>2743.7724142982993</v>
      </c>
      <c r="Y94" s="47">
        <v>0</v>
      </c>
      <c r="Z94" s="289"/>
      <c r="AA94" s="289"/>
      <c r="AB94" s="289"/>
    </row>
    <row r="95" spans="1:28" x14ac:dyDescent="0.25">
      <c r="A95" s="288" t="s">
        <v>3341</v>
      </c>
      <c r="B95" s="90">
        <v>5079</v>
      </c>
      <c r="C95" s="47"/>
      <c r="D95" s="47"/>
      <c r="E95" s="47"/>
      <c r="F95" s="47"/>
      <c r="G95" s="47"/>
      <c r="H95" s="47"/>
      <c r="I95" s="47"/>
      <c r="J95" s="47"/>
      <c r="K95" s="47"/>
      <c r="L95" s="47"/>
      <c r="M95" s="47"/>
      <c r="N95" s="47"/>
      <c r="O95" s="47"/>
      <c r="P95" s="47"/>
      <c r="Q95" s="47"/>
      <c r="R95" s="47"/>
      <c r="S95" s="47"/>
      <c r="T95" s="47"/>
      <c r="U95" s="47"/>
      <c r="V95" s="47"/>
      <c r="W95" s="47"/>
      <c r="X95" s="47"/>
      <c r="Y95" s="47"/>
      <c r="Z95" s="289"/>
      <c r="AA95" s="289"/>
      <c r="AB95" s="289"/>
    </row>
    <row r="96" spans="1:28" hidden="1" x14ac:dyDescent="0.25">
      <c r="A96" s="44" t="s">
        <v>1425</v>
      </c>
      <c r="B96" s="90">
        <v>5358</v>
      </c>
      <c r="C96" s="47"/>
      <c r="D96" s="47"/>
      <c r="E96" s="47"/>
      <c r="F96" s="47"/>
      <c r="G96" s="47"/>
      <c r="H96" s="47"/>
      <c r="I96" s="47"/>
      <c r="J96" s="47"/>
      <c r="K96" s="47"/>
      <c r="L96" s="47"/>
      <c r="M96" s="47"/>
      <c r="N96" s="47"/>
      <c r="O96" s="47"/>
      <c r="P96" s="47"/>
      <c r="Q96" s="47"/>
      <c r="R96" s="47"/>
      <c r="S96" s="47"/>
      <c r="T96" s="47"/>
      <c r="U96" s="47"/>
      <c r="V96" s="47"/>
      <c r="W96" s="47"/>
      <c r="X96" s="47"/>
      <c r="Y96" s="47"/>
      <c r="Z96" s="289"/>
      <c r="AA96" s="289"/>
      <c r="AB96" s="289"/>
    </row>
    <row r="97" spans="1:209" collapsed="1" x14ac:dyDescent="0.25">
      <c r="A97" s="44" t="s">
        <v>1025</v>
      </c>
      <c r="B97" s="90">
        <v>2234</v>
      </c>
      <c r="C97" s="47">
        <v>0</v>
      </c>
      <c r="D97" s="47">
        <v>0</v>
      </c>
      <c r="E97" s="47">
        <v>0</v>
      </c>
      <c r="F97" s="47"/>
      <c r="G97" s="47">
        <v>0</v>
      </c>
      <c r="H97" s="47">
        <v>0</v>
      </c>
      <c r="I97" s="47">
        <v>0</v>
      </c>
      <c r="J97" s="47"/>
      <c r="K97" s="47">
        <v>1031433.8299999998</v>
      </c>
      <c r="L97" s="47">
        <v>0</v>
      </c>
      <c r="M97" s="47">
        <v>0</v>
      </c>
      <c r="N97" s="47"/>
      <c r="O97" s="47">
        <v>0</v>
      </c>
      <c r="P97" s="47">
        <v>0</v>
      </c>
      <c r="Q97" s="47">
        <v>0</v>
      </c>
      <c r="R97" s="47"/>
      <c r="S97" s="47">
        <v>0</v>
      </c>
      <c r="T97" s="47">
        <v>0</v>
      </c>
      <c r="U97" s="47">
        <v>0</v>
      </c>
      <c r="V97" s="47"/>
      <c r="W97" s="47">
        <v>46173.16</v>
      </c>
      <c r="X97" s="47">
        <v>0</v>
      </c>
      <c r="Y97" s="47">
        <v>0</v>
      </c>
      <c r="Z97" s="289"/>
      <c r="AA97" s="289"/>
      <c r="AB97" s="289"/>
    </row>
    <row r="98" spans="1:209" collapsed="1" x14ac:dyDescent="0.25">
      <c r="A98" s="44" t="s">
        <v>1024</v>
      </c>
      <c r="B98" s="90">
        <v>8055</v>
      </c>
      <c r="C98" s="47">
        <v>0</v>
      </c>
      <c r="D98" s="47">
        <v>0</v>
      </c>
      <c r="E98" s="47">
        <v>0</v>
      </c>
      <c r="F98" s="47"/>
      <c r="G98" s="47">
        <v>1973284.0388846942</v>
      </c>
      <c r="H98" s="47">
        <v>0</v>
      </c>
      <c r="I98" s="47">
        <v>1467932.5611153066</v>
      </c>
      <c r="J98" s="47"/>
      <c r="K98" s="47">
        <v>10632542.284144025</v>
      </c>
      <c r="L98" s="47">
        <v>0</v>
      </c>
      <c r="M98" s="47">
        <v>7912468.8058559708</v>
      </c>
      <c r="N98" s="47"/>
      <c r="O98" s="47">
        <v>0</v>
      </c>
      <c r="P98" s="47">
        <v>0</v>
      </c>
      <c r="Q98" s="47">
        <v>0</v>
      </c>
      <c r="R98" s="47"/>
      <c r="S98" s="47">
        <v>0</v>
      </c>
      <c r="T98" s="47">
        <v>0</v>
      </c>
      <c r="U98" s="47">
        <v>0</v>
      </c>
      <c r="V98" s="47"/>
      <c r="W98" s="47">
        <v>3878.5</v>
      </c>
      <c r="X98" s="47">
        <v>0</v>
      </c>
      <c r="Y98" s="47">
        <v>0</v>
      </c>
      <c r="Z98" s="289"/>
      <c r="AA98" s="289"/>
      <c r="AB98" s="289"/>
    </row>
    <row r="99" spans="1:209" hidden="1" collapsed="1" x14ac:dyDescent="0.25">
      <c r="A99" s="44" t="s">
        <v>1023</v>
      </c>
      <c r="B99" s="90">
        <v>8074</v>
      </c>
      <c r="C99" s="47"/>
      <c r="D99" s="47"/>
      <c r="E99" s="47"/>
      <c r="F99" s="47"/>
      <c r="G99" s="47"/>
      <c r="H99" s="47"/>
      <c r="I99" s="47"/>
      <c r="J99" s="47"/>
      <c r="K99" s="47"/>
      <c r="L99" s="47"/>
      <c r="M99" s="47"/>
      <c r="N99" s="47"/>
      <c r="O99" s="47"/>
      <c r="P99" s="47"/>
      <c r="Q99" s="47"/>
      <c r="R99" s="47"/>
      <c r="S99" s="47"/>
      <c r="T99" s="47"/>
      <c r="U99" s="47"/>
      <c r="V99" s="47"/>
      <c r="W99" s="47"/>
      <c r="X99" s="47"/>
      <c r="Y99" s="47"/>
      <c r="Z99" s="289"/>
      <c r="AA99" s="289"/>
      <c r="AB99" s="289"/>
    </row>
    <row r="100" spans="1:209" hidden="1" x14ac:dyDescent="0.25">
      <c r="A100" s="288" t="s">
        <v>3365</v>
      </c>
      <c r="B100" s="90">
        <v>8504</v>
      </c>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289"/>
      <c r="AA100" s="289"/>
      <c r="AB100" s="289"/>
    </row>
    <row r="101" spans="1:209" hidden="1" collapsed="1" x14ac:dyDescent="0.25">
      <c r="A101" s="44" t="s">
        <v>1022</v>
      </c>
      <c r="B101" s="90">
        <v>2303</v>
      </c>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289"/>
      <c r="AA101" s="289"/>
      <c r="AB101" s="289"/>
    </row>
    <row r="102" spans="1:209" hidden="1" collapsed="1" x14ac:dyDescent="0.25">
      <c r="A102" s="44" t="s">
        <v>1021</v>
      </c>
      <c r="B102" s="90">
        <v>2307</v>
      </c>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289"/>
      <c r="AA102" s="289"/>
      <c r="AB102" s="289"/>
    </row>
    <row r="103" spans="1:209" hidden="1" collapsed="1" x14ac:dyDescent="0.25">
      <c r="A103" s="44" t="s">
        <v>1020</v>
      </c>
      <c r="B103" s="90">
        <v>2309</v>
      </c>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289"/>
      <c r="AA103" s="289"/>
      <c r="AB103" s="289"/>
    </row>
    <row r="104" spans="1:209" hidden="1" collapsed="1" x14ac:dyDescent="0.25">
      <c r="A104" s="44" t="s">
        <v>1019</v>
      </c>
      <c r="B104" s="90">
        <v>2560</v>
      </c>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289"/>
      <c r="AA104" s="289"/>
      <c r="AB104" s="289"/>
    </row>
    <row r="105" spans="1:209" x14ac:dyDescent="0.25">
      <c r="A105" s="44" t="s">
        <v>1018</v>
      </c>
      <c r="B105" s="90">
        <v>5048</v>
      </c>
      <c r="C105" s="47">
        <v>574.69592178859978</v>
      </c>
      <c r="D105" s="47">
        <v>44788.010977600963</v>
      </c>
      <c r="E105" s="47">
        <v>3741.5231006104432</v>
      </c>
      <c r="F105" s="47"/>
      <c r="G105" s="47">
        <v>141.59673898712796</v>
      </c>
      <c r="H105" s="47">
        <v>11035.116240968924</v>
      </c>
      <c r="I105" s="47">
        <v>921.85702004394489</v>
      </c>
      <c r="J105" s="47"/>
      <c r="K105" s="47">
        <v>29163.836466184082</v>
      </c>
      <c r="L105" s="47">
        <v>2272837.127034442</v>
      </c>
      <c r="M105" s="47">
        <v>189869.39649937412</v>
      </c>
      <c r="N105" s="47"/>
      <c r="O105" s="47">
        <v>0</v>
      </c>
      <c r="P105" s="47">
        <v>0</v>
      </c>
      <c r="Q105" s="47">
        <v>0</v>
      </c>
      <c r="R105" s="47"/>
      <c r="S105" s="47">
        <v>0</v>
      </c>
      <c r="T105" s="47">
        <v>0</v>
      </c>
      <c r="U105" s="47">
        <v>0</v>
      </c>
      <c r="V105" s="47"/>
      <c r="W105" s="47">
        <v>0</v>
      </c>
      <c r="X105" s="47">
        <v>0</v>
      </c>
      <c r="Y105" s="47">
        <v>0</v>
      </c>
      <c r="Z105" s="289"/>
      <c r="AA105" s="289"/>
      <c r="AB105" s="289"/>
    </row>
    <row r="106" spans="1:209" hidden="1" collapsed="1" x14ac:dyDescent="0.25">
      <c r="A106" s="44" t="s">
        <v>1017</v>
      </c>
      <c r="B106" s="90">
        <v>5049</v>
      </c>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289"/>
      <c r="AA106" s="289"/>
      <c r="AB106" s="289"/>
    </row>
    <row r="107" spans="1:209" x14ac:dyDescent="0.25">
      <c r="A107" s="288" t="s">
        <v>2201</v>
      </c>
      <c r="B107" s="90">
        <v>8006</v>
      </c>
      <c r="C107" s="47">
        <v>0</v>
      </c>
      <c r="D107" s="47">
        <v>0</v>
      </c>
      <c r="E107" s="47">
        <v>0</v>
      </c>
      <c r="F107" s="47"/>
      <c r="G107" s="47">
        <v>7160591.6766101699</v>
      </c>
      <c r="H107" s="47">
        <v>28045650.733389828</v>
      </c>
      <c r="I107" s="47">
        <v>0</v>
      </c>
      <c r="J107" s="47"/>
      <c r="K107" s="47">
        <v>9540110.3267796598</v>
      </c>
      <c r="L107" s="47">
        <v>37365432.113220334</v>
      </c>
      <c r="M107" s="47">
        <v>0</v>
      </c>
      <c r="N107" s="47"/>
      <c r="O107" s="47">
        <v>0</v>
      </c>
      <c r="P107" s="47">
        <v>0</v>
      </c>
      <c r="Q107" s="47">
        <v>0</v>
      </c>
      <c r="R107" s="47"/>
      <c r="S107" s="47">
        <v>0</v>
      </c>
      <c r="T107" s="47">
        <v>0</v>
      </c>
      <c r="U107" s="47">
        <v>0</v>
      </c>
      <c r="V107" s="47"/>
      <c r="W107" s="47">
        <v>0</v>
      </c>
      <c r="X107" s="47">
        <v>0</v>
      </c>
      <c r="Y107" s="47">
        <v>0</v>
      </c>
      <c r="Z107" s="289"/>
      <c r="AA107" s="289"/>
      <c r="AB107" s="289"/>
    </row>
    <row r="108" spans="1:209" ht="15.75" hidden="1" thickBot="1" x14ac:dyDescent="0.3">
      <c r="C108" s="594"/>
      <c r="D108" s="594"/>
      <c r="E108" s="594"/>
      <c r="F108" s="594"/>
      <c r="G108" s="594"/>
      <c r="H108" s="594"/>
      <c r="I108" s="594"/>
      <c r="J108" s="594"/>
      <c r="K108" s="594"/>
      <c r="L108" s="594"/>
      <c r="M108" s="594"/>
      <c r="N108" s="594"/>
      <c r="O108" s="594"/>
      <c r="P108" s="594"/>
      <c r="Q108" s="594"/>
      <c r="R108" s="594"/>
      <c r="S108" s="594"/>
      <c r="T108" s="594"/>
      <c r="U108" s="594"/>
      <c r="V108" s="594"/>
      <c r="W108" s="594"/>
      <c r="X108" s="594"/>
      <c r="Y108" s="594"/>
      <c r="Z108" s="594"/>
    </row>
    <row r="109" spans="1:209" collapsed="1" x14ac:dyDescent="0.25">
      <c r="Z109" s="47"/>
    </row>
    <row r="110" spans="1:209" x14ac:dyDescent="0.25">
      <c r="B110" s="319"/>
      <c r="C110" s="595"/>
      <c r="D110" s="595"/>
      <c r="E110" s="595"/>
      <c r="F110" s="596"/>
      <c r="G110" s="595"/>
      <c r="H110" s="595"/>
      <c r="I110" s="595"/>
      <c r="J110" s="596"/>
      <c r="K110" s="595"/>
      <c r="L110" s="595"/>
      <c r="M110" s="595"/>
      <c r="N110" s="596"/>
      <c r="O110" s="595"/>
      <c r="P110" s="595"/>
      <c r="Q110" s="595"/>
      <c r="R110" s="596"/>
      <c r="S110" s="595"/>
      <c r="T110" s="595"/>
      <c r="U110" s="595"/>
      <c r="V110" s="596"/>
      <c r="W110" s="595"/>
      <c r="X110" s="595"/>
      <c r="Y110" s="595"/>
      <c r="Z110" s="47"/>
      <c r="AA110" s="47"/>
      <c r="AB110" s="47"/>
      <c r="AC110" s="47"/>
      <c r="AD110" s="47"/>
      <c r="AE110" s="47"/>
      <c r="AF110" s="47"/>
      <c r="AG110" s="47"/>
      <c r="AH110" s="47"/>
      <c r="AI110" s="47"/>
      <c r="AJ110" s="47"/>
      <c r="AK110" s="47"/>
      <c r="AL110" s="47"/>
      <c r="AM110" s="47"/>
      <c r="AN110" s="47"/>
      <c r="AO110" s="47"/>
      <c r="AP110" s="47"/>
      <c r="AQ110" s="47"/>
      <c r="AR110" s="47"/>
      <c r="AS110" s="47"/>
      <c r="AT110" s="47"/>
      <c r="AV110" s="90"/>
      <c r="AW110" s="47"/>
      <c r="AX110" s="47"/>
      <c r="AY110" s="47"/>
      <c r="AZ110" s="47"/>
      <c r="BA110" s="47"/>
      <c r="BB110" s="47"/>
      <c r="BC110" s="47"/>
      <c r="BD110" s="47"/>
      <c r="BE110" s="47"/>
      <c r="BF110" s="47"/>
      <c r="BG110" s="47"/>
      <c r="BH110" s="47"/>
      <c r="BI110" s="47"/>
      <c r="BJ110" s="47"/>
      <c r="BK110" s="47"/>
      <c r="BL110" s="47"/>
      <c r="BM110" s="47"/>
      <c r="BN110" s="47"/>
      <c r="BO110" s="47"/>
      <c r="BP110" s="47"/>
      <c r="BQ110" s="47"/>
      <c r="BS110" s="90"/>
      <c r="BT110" s="47"/>
      <c r="BU110" s="47"/>
      <c r="BV110" s="47"/>
      <c r="BW110" s="47"/>
      <c r="BX110" s="47"/>
      <c r="BY110" s="47"/>
      <c r="BZ110" s="47"/>
      <c r="CA110" s="47"/>
      <c r="CB110" s="47"/>
      <c r="CC110" s="47"/>
      <c r="CD110" s="47"/>
      <c r="CE110" s="47"/>
      <c r="CF110" s="47"/>
      <c r="CG110" s="47"/>
      <c r="CH110" s="47"/>
      <c r="CI110" s="47"/>
      <c r="CJ110" s="47"/>
      <c r="CK110" s="47"/>
      <c r="CL110" s="47"/>
      <c r="CM110" s="47"/>
      <c r="CN110" s="47"/>
      <c r="CP110" s="90"/>
      <c r="CQ110" s="47"/>
      <c r="CR110" s="47"/>
      <c r="CS110" s="47"/>
      <c r="CT110" s="47"/>
      <c r="CU110" s="47"/>
      <c r="CV110" s="47"/>
      <c r="CW110" s="47"/>
      <c r="CX110" s="47"/>
      <c r="CY110" s="47"/>
      <c r="CZ110" s="47"/>
      <c r="DA110" s="47"/>
      <c r="DB110" s="47"/>
      <c r="DC110" s="47"/>
      <c r="DD110" s="47"/>
      <c r="DE110" s="47"/>
      <c r="DF110" s="47"/>
      <c r="DG110" s="47"/>
      <c r="DH110" s="47"/>
      <c r="DI110" s="47"/>
      <c r="DJ110" s="47"/>
      <c r="DK110" s="47"/>
      <c r="DM110" s="90"/>
      <c r="DN110" s="47"/>
      <c r="DO110" s="47"/>
      <c r="DP110" s="47"/>
      <c r="DQ110" s="47"/>
      <c r="DR110" s="47"/>
      <c r="DS110" s="47"/>
      <c r="DT110" s="47"/>
      <c r="DU110" s="47"/>
      <c r="DV110" s="47"/>
      <c r="DW110" s="47"/>
      <c r="DX110" s="47"/>
      <c r="DY110" s="47"/>
      <c r="DZ110" s="47"/>
      <c r="EA110" s="47"/>
      <c r="EB110" s="47"/>
      <c r="EC110" s="47"/>
      <c r="ED110" s="47"/>
      <c r="EE110" s="47"/>
      <c r="EF110" s="47"/>
      <c r="EG110" s="47"/>
      <c r="EH110" s="47"/>
      <c r="EJ110" s="90"/>
      <c r="EK110" s="47"/>
      <c r="EL110" s="47"/>
      <c r="EM110" s="47"/>
      <c r="EN110" s="47"/>
      <c r="EO110" s="47"/>
      <c r="EP110" s="47"/>
      <c r="EQ110" s="47"/>
      <c r="ER110" s="47"/>
      <c r="ES110" s="47"/>
      <c r="ET110" s="47"/>
      <c r="EU110" s="47"/>
      <c r="EV110" s="47"/>
      <c r="EW110" s="47"/>
      <c r="EX110" s="47"/>
      <c r="EY110" s="47"/>
      <c r="EZ110" s="47"/>
      <c r="FA110" s="47"/>
      <c r="FB110" s="47"/>
      <c r="FC110" s="47"/>
      <c r="FD110" s="47"/>
      <c r="FE110" s="47"/>
      <c r="FG110" s="90"/>
      <c r="FH110" s="47"/>
      <c r="FI110" s="47"/>
      <c r="FJ110" s="47"/>
      <c r="FK110" s="47"/>
      <c r="FL110" s="47"/>
      <c r="FM110" s="47"/>
      <c r="FN110" s="47"/>
      <c r="FO110" s="47"/>
      <c r="FP110" s="47"/>
      <c r="FQ110" s="47"/>
      <c r="FR110" s="47"/>
      <c r="FS110" s="47"/>
      <c r="FT110" s="47"/>
      <c r="FU110" s="47"/>
      <c r="FV110" s="47"/>
      <c r="FW110" s="47"/>
      <c r="FX110" s="47"/>
      <c r="FY110" s="47"/>
      <c r="FZ110" s="47"/>
      <c r="GA110" s="47"/>
      <c r="GB110" s="47"/>
      <c r="GD110" s="90"/>
      <c r="GE110" s="47"/>
      <c r="GF110" s="47"/>
      <c r="GG110" s="47"/>
      <c r="GH110" s="47"/>
      <c r="GI110" s="47"/>
      <c r="GJ110" s="47"/>
      <c r="GK110" s="47"/>
      <c r="GL110" s="47"/>
      <c r="GM110" s="47"/>
      <c r="GN110" s="47"/>
      <c r="GO110" s="47"/>
      <c r="GP110" s="47"/>
      <c r="GQ110" s="47"/>
      <c r="GR110" s="47"/>
      <c r="GS110" s="47"/>
      <c r="GT110" s="47"/>
      <c r="GU110" s="47"/>
      <c r="GV110" s="47"/>
      <c r="GW110" s="47"/>
      <c r="GX110" s="47"/>
      <c r="GY110" s="47"/>
      <c r="HA110" s="90"/>
    </row>
    <row r="111" spans="1:209" collapsed="1" x14ac:dyDescent="0.25">
      <c r="B111" s="319"/>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row>
    <row r="114" spans="9:10" x14ac:dyDescent="0.25">
      <c r="I114" s="90"/>
      <c r="J114" s="319"/>
    </row>
    <row r="115" spans="9:10" x14ac:dyDescent="0.25">
      <c r="I115" s="90"/>
      <c r="J115" s="319"/>
    </row>
    <row r="116" spans="9:10" x14ac:dyDescent="0.25">
      <c r="I116" s="90"/>
      <c r="J116" s="319"/>
    </row>
    <row r="117" spans="9:10" x14ac:dyDescent="0.25">
      <c r="I117" s="90"/>
      <c r="J117" s="319"/>
    </row>
    <row r="118" spans="9:10" x14ac:dyDescent="0.25">
      <c r="I118" s="90"/>
      <c r="J118" s="319"/>
    </row>
    <row r="119" spans="9:10" x14ac:dyDescent="0.25">
      <c r="I119" s="90"/>
      <c r="J119" s="319"/>
    </row>
    <row r="120" spans="9:10" x14ac:dyDescent="0.25">
      <c r="I120" s="90"/>
      <c r="J120" s="319"/>
    </row>
    <row r="121" spans="9:10" x14ac:dyDescent="0.25">
      <c r="I121" s="90"/>
      <c r="J121" s="319"/>
    </row>
    <row r="122" spans="9:10" x14ac:dyDescent="0.25">
      <c r="I122" s="90"/>
      <c r="J122" s="319"/>
    </row>
    <row r="123" spans="9:10" x14ac:dyDescent="0.25">
      <c r="I123" s="90"/>
      <c r="J123" s="319"/>
    </row>
    <row r="124" spans="9:10" x14ac:dyDescent="0.25">
      <c r="I124" s="90"/>
      <c r="J124" s="319"/>
    </row>
    <row r="125" spans="9:10" x14ac:dyDescent="0.25">
      <c r="I125" s="90"/>
      <c r="J125" s="319"/>
    </row>
    <row r="126" spans="9:10" x14ac:dyDescent="0.25">
      <c r="I126" s="90"/>
      <c r="J126" s="319"/>
    </row>
    <row r="127" spans="9:10" x14ac:dyDescent="0.25">
      <c r="I127" s="90"/>
      <c r="J127" s="320"/>
    </row>
    <row r="128" spans="9:10" x14ac:dyDescent="0.25">
      <c r="I128" s="90"/>
      <c r="J128" s="319"/>
    </row>
    <row r="129" spans="9:10" x14ac:dyDescent="0.25">
      <c r="I129" s="90"/>
      <c r="J129" s="319"/>
    </row>
    <row r="130" spans="9:10" x14ac:dyDescent="0.25">
      <c r="I130" s="90"/>
      <c r="J130" s="319"/>
    </row>
    <row r="131" spans="9:10" x14ac:dyDescent="0.25">
      <c r="I131" s="90"/>
      <c r="J131" s="319"/>
    </row>
    <row r="132" spans="9:10" x14ac:dyDescent="0.25">
      <c r="J132" s="319"/>
    </row>
    <row r="133" spans="9:10" x14ac:dyDescent="0.25">
      <c r="J133" s="319"/>
    </row>
  </sheetData>
  <autoFilter ref="A3:Z108"/>
  <mergeCells count="12">
    <mergeCell ref="C2:F2"/>
    <mergeCell ref="S1:V1"/>
    <mergeCell ref="W1:Z1"/>
    <mergeCell ref="C1:F1"/>
    <mergeCell ref="G1:J1"/>
    <mergeCell ref="K1:N1"/>
    <mergeCell ref="O1:R1"/>
    <mergeCell ref="G2:J2"/>
    <mergeCell ref="K2:N2"/>
    <mergeCell ref="O2:R2"/>
    <mergeCell ref="S2:V2"/>
    <mergeCell ref="W2:Z2"/>
  </mergeCells>
  <phoneticPr fontId="19" type="noConversion"/>
  <printOptions horizontalCentered="1"/>
  <pageMargins left="0.25" right="0.25" top="0.75" bottom="0.75" header="0.3" footer="0.3"/>
  <pageSetup scale="52" fitToWidth="2" fitToHeight="0" orientation="landscape" r:id="rId1"/>
  <headerFooter alignWithMargins="0">
    <oddHeader>&amp;RWP- Plant Study 2011
&amp;P of &amp;N</oddHeader>
    <oddFooter>&amp;C&amp;A</oddFooter>
  </headerFooter>
  <colBreaks count="1" manualBreakCount="1">
    <brk id="14" min="3" max="10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Plant Total by Account</vt:lpstr>
      <vt:lpstr>High-Low Volt Summary</vt:lpstr>
      <vt:lpstr>High_Low Voltage Mix Summary</vt:lpstr>
      <vt:lpstr>Prior Year Comparison</vt:lpstr>
      <vt:lpstr>Assumptions</vt:lpstr>
      <vt:lpstr>TS by Location</vt:lpstr>
      <vt:lpstr>ISO w_System Splits</vt:lpstr>
      <vt:lpstr>DS by Location</vt:lpstr>
      <vt:lpstr>Mix Substation Location Summary</vt:lpstr>
      <vt:lpstr>TL COST SUMMARY</vt:lpstr>
      <vt:lpstr>Trans Line Reconciliation</vt:lpstr>
      <vt:lpstr>Antelope Bailey Split BA</vt:lpstr>
      <vt:lpstr>'Antelope Bailey Split BA'!Print_Area</vt:lpstr>
      <vt:lpstr>'DS by Location'!Print_Area</vt:lpstr>
      <vt:lpstr>'High_Low Voltage Mix Summary'!Print_Area</vt:lpstr>
      <vt:lpstr>'High-Low Volt Summary'!Print_Area</vt:lpstr>
      <vt:lpstr>'ISO w_System Splits'!Print_Area</vt:lpstr>
      <vt:lpstr>'Mix Substation Location Summary'!Print_Area</vt:lpstr>
      <vt:lpstr>'Plant Total by Account'!Print_Area</vt:lpstr>
      <vt:lpstr>'Prior Year Comparison'!Print_Area</vt:lpstr>
      <vt:lpstr>'TL COST SUMMARY'!Print_Area</vt:lpstr>
      <vt:lpstr>'TS by Location'!Print_Area</vt:lpstr>
      <vt:lpstr>'Antelope Bailey Split BA'!Print_Titles</vt:lpstr>
      <vt:lpstr>'DS by Location'!Print_Titles</vt:lpstr>
      <vt:lpstr>'ISO w_System Splits'!Print_Titles</vt:lpstr>
      <vt:lpstr>'Mix Substation Location Summary'!Print_Titles</vt:lpstr>
      <vt:lpstr>'TL COST SUMMARY'!Print_Titles</vt:lpstr>
      <vt:lpstr>'Trans Line Reconciliation'!Print_Titles</vt:lpstr>
      <vt:lpstr>'TS by Location'!Print_Titles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cp:lastModifiedBy/>
  <dcterms:created xsi:type="dcterms:W3CDTF">2012-05-16T21:28:54Z</dcterms:created>
  <dcterms:modified xsi:type="dcterms:W3CDTF">2012-06-11T20:45:47Z</dcterms:modified>
</cp:coreProperties>
</file>